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5120" windowHeight="7260" activeTab="0"/>
  </bookViews>
  <sheets>
    <sheet name="Recalend MINSAL PNUD S3  2015" sheetId="1" r:id="rId1"/>
    <sheet name="Consolidado prod. salud" sheetId="2" state="hidden" r:id="rId2"/>
    <sheet name="Plan compras anio 2 planificado" sheetId="3" state="hidden" r:id="rId3"/>
    <sheet name="Reprog MINSAL PNUD S3 Año 2015" sheetId="4" r:id="rId4"/>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_shared_1_0_0" localSheetId="3">#REF!+#REF!</definedName>
    <definedName name="__shared_1_0_0">#REF!+#REF!</definedName>
    <definedName name="__shared_1_1_0" localSheetId="3">IF(#REF!="N/A",#REF!+(#REF!-1),#REF!+(#REF!-1))</definedName>
    <definedName name="__shared_1_1_0">IF(#REF!="N/A",#REF!+(#REF!-1),#REF!+(#REF!-1))</definedName>
    <definedName name="__shared_1_10_0" localSheetId="3">IF(#REF!="PAM",(#REF!-#REF!),(#REF!-#REF!))</definedName>
    <definedName name="__shared_1_10_0">IF(#REF!="PAM",(#REF!-#REF!),(#REF!-#REF!))</definedName>
    <definedName name="__shared_1_100_0" localSheetId="3">IF(#REF!=0,"P",#REF!)</definedName>
    <definedName name="__shared_1_100_0">IF(#REF!=0,"P",#REF!)</definedName>
    <definedName name="__shared_1_101_0" localSheetId="3">IF(#REF!="N/A",#REF!+(#REF!-1),#REF!+(#REF!-1))</definedName>
    <definedName name="__shared_1_101_0">IF(#REF!="N/A",#REF!+(#REF!-1),#REF!+(#REF!-1))</definedName>
    <definedName name="__shared_1_102_0" localSheetId="3">IF(#REF!="N/A",#REF!,#REF!)</definedName>
    <definedName name="__shared_1_102_0">IF(#REF!="N/A",#REF!,#REF!)</definedName>
    <definedName name="__shared_1_103_0" localSheetId="3">IF(#REF!="PAM",(#REF!-#REF!),(#REF!-#REF!))</definedName>
    <definedName name="__shared_1_103_0">IF(#REF!="PAM",(#REF!-#REF!),(#REF!-#REF!))</definedName>
    <definedName name="__shared_1_104_0" localSheetId="3">IF(#REF!&lt;0,"PA",#REF!)</definedName>
    <definedName name="__shared_1_104_0">IF(#REF!&lt;0,"PA",#REF!)</definedName>
    <definedName name="__shared_1_105_0" localSheetId="3">IF(#REF!=0,"P",#REF!)</definedName>
    <definedName name="__shared_1_105_0">IF(#REF!=0,"P",#REF!)</definedName>
    <definedName name="__shared_1_106_0" localSheetId="3">IF(#REF!="N/A",#REF!+(#REF!-1),#REF!+(#REF!-1))</definedName>
    <definedName name="__shared_1_106_0">IF(#REF!="N/A",#REF!+(#REF!-1),#REF!+(#REF!-1))</definedName>
    <definedName name="__shared_1_107_0" localSheetId="3">IF(#REF!="N/A",#REF!,#REF!)</definedName>
    <definedName name="__shared_1_107_0">IF(#REF!="N/A",#REF!,#REF!)</definedName>
    <definedName name="__shared_1_108_0" localSheetId="3">IF(#REF!="PAM",(#REF!-#REF!),(#REF!-#REF!))</definedName>
    <definedName name="__shared_1_108_0">IF(#REF!="PAM",(#REF!-#REF!),(#REF!-#REF!))</definedName>
    <definedName name="__shared_1_109_0" localSheetId="3">IF(#REF!&lt;0,"PA",#REF!)</definedName>
    <definedName name="__shared_1_109_0">IF(#REF!&lt;0,"PA",#REF!)</definedName>
    <definedName name="__shared_1_11_0" localSheetId="3">IF(#REF!&lt;0,"PA",#REF!)</definedName>
    <definedName name="__shared_1_11_0">IF(#REF!&lt;0,"PA",#REF!)</definedName>
    <definedName name="__shared_1_110_0" localSheetId="3">IF(#REF!=0,"P",#REF!)</definedName>
    <definedName name="__shared_1_110_0">IF(#REF!=0,"P",#REF!)</definedName>
    <definedName name="__shared_1_111_0" localSheetId="3">#REF!+#REF!</definedName>
    <definedName name="__shared_1_111_0">#REF!+#REF!</definedName>
    <definedName name="__shared_1_112_0" localSheetId="3">IF(#REF!="N/A",#REF!+(#REF!-1),#REF!+(#REF!-1))</definedName>
    <definedName name="__shared_1_112_0">IF(#REF!="N/A",#REF!+(#REF!-1),#REF!+(#REF!-1))</definedName>
    <definedName name="__shared_1_113_0" localSheetId="3">#REF!+#REF!</definedName>
    <definedName name="__shared_1_113_0">#REF!+#REF!</definedName>
    <definedName name="__shared_1_114_0" localSheetId="3">#REF!+#REF!</definedName>
    <definedName name="__shared_1_114_0">#REF!+#REF!</definedName>
    <definedName name="__shared_1_12_0" localSheetId="3">IF(#REF!=0,"P",#REF!)</definedName>
    <definedName name="__shared_1_12_0">IF(#REF!=0,"P",#REF!)</definedName>
    <definedName name="__shared_1_13_0" localSheetId="3">IF(#REF!="N/A",#REF!+(#REF!-1),#REF!+(#REF!-1))</definedName>
    <definedName name="__shared_1_13_0">IF(#REF!="N/A",#REF!+(#REF!-1),#REF!+(#REF!-1))</definedName>
    <definedName name="__shared_1_14_0" localSheetId="3">IF(#REF!="N/A",#REF!,#REF!)</definedName>
    <definedName name="__shared_1_14_0">IF(#REF!="N/A",#REF!,#REF!)</definedName>
    <definedName name="__shared_1_15_0" localSheetId="3">IF(#REF!="PAM",(#REF!-#REF!),(#REF!-#REF!))</definedName>
    <definedName name="__shared_1_15_0">IF(#REF!="PAM",(#REF!-#REF!),(#REF!-#REF!))</definedName>
    <definedName name="__shared_1_16_0" localSheetId="3">IF(#REF!&lt;0,"PA",#REF!)</definedName>
    <definedName name="__shared_1_16_0">IF(#REF!&lt;0,"PA",#REF!)</definedName>
    <definedName name="__shared_1_17_0" localSheetId="3">IF(#REF!=0,"P",#REF!)</definedName>
    <definedName name="__shared_1_17_0">IF(#REF!=0,"P",#REF!)</definedName>
    <definedName name="__shared_1_18_0" localSheetId="3">IF(#REF!="N/A",#REF!+(#REF!-1),#REF!+(#REF!-1))</definedName>
    <definedName name="__shared_1_18_0">IF(#REF!="N/A",#REF!+(#REF!-1),#REF!+(#REF!-1))</definedName>
    <definedName name="__shared_1_19_0" localSheetId="3">IF(#REF!="N/A",#REF!,#REF!)</definedName>
    <definedName name="__shared_1_19_0">IF(#REF!="N/A",#REF!,#REF!)</definedName>
    <definedName name="__shared_1_2_0" localSheetId="3">IF(#REF!="N/A",#REF!,#REF!)</definedName>
    <definedName name="__shared_1_2_0">IF(#REF!="N/A",#REF!,#REF!)</definedName>
    <definedName name="__shared_1_20_0" localSheetId="3">IF(#REF!="PAM",(#REF!-#REF!),(#REF!-#REF!))</definedName>
    <definedName name="__shared_1_20_0">IF(#REF!="PAM",(#REF!-#REF!),(#REF!-#REF!))</definedName>
    <definedName name="__shared_1_21_0" localSheetId="3">IF(#REF!&lt;0,"PA",#REF!)</definedName>
    <definedName name="__shared_1_21_0">IF(#REF!&lt;0,"PA",#REF!)</definedName>
    <definedName name="__shared_1_22_0" localSheetId="3">IF(#REF!=0,"P",#REF!)</definedName>
    <definedName name="__shared_1_22_0">IF(#REF!=0,"P",#REF!)</definedName>
    <definedName name="__shared_1_23_0" localSheetId="3">#REF!+#REF!</definedName>
    <definedName name="__shared_1_23_0">#REF!+#REF!</definedName>
    <definedName name="__shared_1_24_0" localSheetId="3">IF(#REF!="PAM",(#REF!-#REF!),(#REF!-#REF!))</definedName>
    <definedName name="__shared_1_24_0">IF(#REF!="PAM",(#REF!-#REF!),(#REF!-#REF!))</definedName>
    <definedName name="__shared_1_25_0" localSheetId="3">IF(#REF!&lt;0,"PA",#REF!)</definedName>
    <definedName name="__shared_1_25_0">IF(#REF!&lt;0,"PA",#REF!)</definedName>
    <definedName name="__shared_1_26_0" localSheetId="3">IF(#REF!=0,"P",#REF!)</definedName>
    <definedName name="__shared_1_26_0">IF(#REF!=0,"P",#REF!)</definedName>
    <definedName name="__shared_1_27_0" localSheetId="3">#REF!+#REF!</definedName>
    <definedName name="__shared_1_27_0">#REF!+#REF!</definedName>
    <definedName name="__shared_1_28_0" localSheetId="3">IF(#REF!="N/A",#REF!+(#REF!-1),#REF!+(#REF!-1))</definedName>
    <definedName name="__shared_1_28_0">IF(#REF!="N/A",#REF!+(#REF!-1),#REF!+(#REF!-1))</definedName>
    <definedName name="__shared_1_29_0" localSheetId="3">IF(#REF!="N/A",#REF!,#REF!)</definedName>
    <definedName name="__shared_1_29_0">IF(#REF!="N/A",#REF!,#REF!)</definedName>
    <definedName name="__shared_1_3_0" localSheetId="3">IF(#REF!="PAM",(#REF!-#REF!),(#REF!-#REF!))</definedName>
    <definedName name="__shared_1_3_0">IF(#REF!="PAM",(#REF!-#REF!),(#REF!-#REF!))</definedName>
    <definedName name="__shared_1_30_0" localSheetId="3">IF(#REF!="PAM",(#REF!-#REF!),(#REF!-#REF!))</definedName>
    <definedName name="__shared_1_30_0">IF(#REF!="PAM",(#REF!-#REF!),(#REF!-#REF!))</definedName>
    <definedName name="__shared_1_31_0" localSheetId="3">IF(#REF!&lt;0,"PA",#REF!)</definedName>
    <definedName name="__shared_1_31_0">IF(#REF!&lt;0,"PA",#REF!)</definedName>
    <definedName name="__shared_1_32_0" localSheetId="3">IF(#REF!=0,"P",#REF!)</definedName>
    <definedName name="__shared_1_32_0">IF(#REF!=0,"P",#REF!)</definedName>
    <definedName name="__shared_1_33_0" localSheetId="3">IF(#REF!="N/A",#REF!,#REF!)</definedName>
    <definedName name="__shared_1_33_0">IF(#REF!="N/A",#REF!,#REF!)</definedName>
    <definedName name="__shared_1_34_0" localSheetId="3">IF(#REF!="PAM",(#REF!-#REF!),(#REF!-#REF!))</definedName>
    <definedName name="__shared_1_34_0">IF(#REF!="PAM",(#REF!-#REF!),(#REF!-#REF!))</definedName>
    <definedName name="__shared_1_35_0" localSheetId="3">IF(#REF!&lt;0,"PA",#REF!)</definedName>
    <definedName name="__shared_1_35_0">IF(#REF!&lt;0,"PA",#REF!)</definedName>
    <definedName name="__shared_1_36_0" localSheetId="3">IF(#REF!=0,"P",#REF!)</definedName>
    <definedName name="__shared_1_36_0">IF(#REF!=0,"P",#REF!)</definedName>
    <definedName name="__shared_1_37_0" localSheetId="3">#REF!+#REF!</definedName>
    <definedName name="__shared_1_37_0">#REF!+#REF!</definedName>
    <definedName name="__shared_1_38_0" localSheetId="3">#REF!+#REF!</definedName>
    <definedName name="__shared_1_38_0">#REF!+#REF!</definedName>
    <definedName name="__shared_1_39_0" localSheetId="3">IF(#REF!="N/A",#REF!+(#REF!-1),#REF!+(#REF!-1))</definedName>
    <definedName name="__shared_1_39_0">IF(#REF!="N/A",#REF!+(#REF!-1),#REF!+(#REF!-1))</definedName>
    <definedName name="__shared_1_4_0" localSheetId="3">IF(#REF!&lt;0,"PA",#REF!)</definedName>
    <definedName name="__shared_1_4_0">IF(#REF!&lt;0,"PA",#REF!)</definedName>
    <definedName name="__shared_1_40_0" localSheetId="3">IF(#REF!="N/A",#REF!,#REF!)</definedName>
    <definedName name="__shared_1_40_0">IF(#REF!="N/A",#REF!,#REF!)</definedName>
    <definedName name="__shared_1_41_0" localSheetId="3">IF(#REF!="PAM",(#REF!-#REF!),(#REF!-#REF!))</definedName>
    <definedName name="__shared_1_41_0">IF(#REF!="PAM",(#REF!-#REF!),(#REF!-#REF!))</definedName>
    <definedName name="__shared_1_42_0" localSheetId="3">IF(#REF!&lt;0,"PA",#REF!)</definedName>
    <definedName name="__shared_1_42_0">IF(#REF!&lt;0,"PA",#REF!)</definedName>
    <definedName name="__shared_1_43_0" localSheetId="3">IF(#REF!=0,"P",#REF!)</definedName>
    <definedName name="__shared_1_43_0">IF(#REF!=0,"P",#REF!)</definedName>
    <definedName name="__shared_1_44_0" localSheetId="3">IF(#REF!="N/A",#REF!+(#REF!-1),#REF!+(#REF!-1))</definedName>
    <definedName name="__shared_1_44_0">IF(#REF!="N/A",#REF!+(#REF!-1),#REF!+(#REF!-1))</definedName>
    <definedName name="__shared_1_45_0" localSheetId="3">IF(#REF!="N/A",#REF!,#REF!)</definedName>
    <definedName name="__shared_1_45_0">IF(#REF!="N/A",#REF!,#REF!)</definedName>
    <definedName name="__shared_1_46_0" localSheetId="3">IF(#REF!="PAM",(#REF!-#REF!),(#REF!-#REF!))</definedName>
    <definedName name="__shared_1_46_0">IF(#REF!="PAM",(#REF!-#REF!),(#REF!-#REF!))</definedName>
    <definedName name="__shared_1_47_0" localSheetId="3">IF(#REF!&lt;0,"PA",#REF!)</definedName>
    <definedName name="__shared_1_47_0">IF(#REF!&lt;0,"PA",#REF!)</definedName>
    <definedName name="__shared_1_48_0" localSheetId="3">IF(#REF!=0,"P",#REF!)</definedName>
    <definedName name="__shared_1_48_0">IF(#REF!=0,"P",#REF!)</definedName>
    <definedName name="__shared_1_49_0" localSheetId="3">IF(#REF!="PAM",(#REF!-#REF!),(#REF!-#REF!))</definedName>
    <definedName name="__shared_1_49_0">IF(#REF!="PAM",(#REF!-#REF!),(#REF!-#REF!))</definedName>
    <definedName name="__shared_1_5_0" localSheetId="3">IF(#REF!=0,"P",#REF!)</definedName>
    <definedName name="__shared_1_5_0">IF(#REF!=0,"P",#REF!)</definedName>
    <definedName name="__shared_1_50_0" localSheetId="3">IF(#REF!&lt;0,"PA",#REF!)</definedName>
    <definedName name="__shared_1_50_0">IF(#REF!&lt;0,"PA",#REF!)</definedName>
    <definedName name="__shared_1_51_0" localSheetId="3">IF(#REF!=0,"P",#REF!)</definedName>
    <definedName name="__shared_1_51_0">IF(#REF!=0,"P",#REF!)</definedName>
    <definedName name="__shared_1_52_0" localSheetId="3">IF(#REF!="PAM",(#REF!-#REF!),(#REF!-#REF!))</definedName>
    <definedName name="__shared_1_52_0">IF(#REF!="PAM",(#REF!-#REF!),(#REF!-#REF!))</definedName>
    <definedName name="__shared_1_53_0" localSheetId="3">IF(#REF!&lt;0,"PA",#REF!)</definedName>
    <definedName name="__shared_1_53_0">IF(#REF!&lt;0,"PA",#REF!)</definedName>
    <definedName name="__shared_1_54_0" localSheetId="3">IF(#REF!=0,"P",#REF!)</definedName>
    <definedName name="__shared_1_54_0">IF(#REF!=0,"P",#REF!)</definedName>
    <definedName name="__shared_1_55_0" localSheetId="3">IF(#REF!="PAM",(#REF!-#REF!),(#REF!-#REF!))</definedName>
    <definedName name="__shared_1_55_0">IF(#REF!="PAM",(#REF!-#REF!),(#REF!-#REF!))</definedName>
    <definedName name="__shared_1_56_0" localSheetId="3">IF(#REF!&lt;0,"PA",#REF!)</definedName>
    <definedName name="__shared_1_56_0">IF(#REF!&lt;0,"PA",#REF!)</definedName>
    <definedName name="__shared_1_57_0" localSheetId="3">IF(#REF!=0,"P",#REF!)</definedName>
    <definedName name="__shared_1_57_0">IF(#REF!=0,"P",#REF!)</definedName>
    <definedName name="__shared_1_58_0" localSheetId="3">IF(#REF!="N/A",#REF!+(#REF!-1),#REF!+(#REF!-1))</definedName>
    <definedName name="__shared_1_58_0">IF(#REF!="N/A",#REF!+(#REF!-1),#REF!+(#REF!-1))</definedName>
    <definedName name="__shared_1_59_0" localSheetId="3">IF(#REF!="N/A",#REF!,#REF!)</definedName>
    <definedName name="__shared_1_59_0">IF(#REF!="N/A",#REF!,#REF!)</definedName>
    <definedName name="__shared_1_6_0" localSheetId="3">IF(#REF!="N/A",#REF!+(#REF!-1),#REF!+(#REF!-1))</definedName>
    <definedName name="__shared_1_6_0">IF(#REF!="N/A",#REF!+(#REF!-1),#REF!+(#REF!-1))</definedName>
    <definedName name="__shared_1_60_0" localSheetId="3">IF(#REF!="PAM",(#REF!-#REF!),(#REF!-#REF!))</definedName>
    <definedName name="__shared_1_60_0">IF(#REF!="PAM",(#REF!-#REF!),(#REF!-#REF!))</definedName>
    <definedName name="__shared_1_61_0" localSheetId="3">IF(#REF!&lt;0,"PA",#REF!)</definedName>
    <definedName name="__shared_1_61_0">IF(#REF!&lt;0,"PA",#REF!)</definedName>
    <definedName name="__shared_1_62_0" localSheetId="3">IF(#REF!=0,"P",#REF!)</definedName>
    <definedName name="__shared_1_62_0">IF(#REF!=0,"P",#REF!)</definedName>
    <definedName name="__shared_1_63_0" localSheetId="3">#REF!+#REF!</definedName>
    <definedName name="__shared_1_63_0">#REF!+#REF!</definedName>
    <definedName name="__shared_1_64_0" localSheetId="3">IF(#REF!="N/A",#REF!+(#REF!-1),#REF!+(#REF!-1))</definedName>
    <definedName name="__shared_1_64_0">IF(#REF!="N/A",#REF!+(#REF!-1),#REF!+(#REF!-1))</definedName>
    <definedName name="__shared_1_65_0" localSheetId="3">IF(#REF!="N/A",#REF!,#REF!)</definedName>
    <definedName name="__shared_1_65_0">IF(#REF!="N/A",#REF!,#REF!)</definedName>
    <definedName name="__shared_1_66_0" localSheetId="3">IF(#REF!="PAM",(#REF!-#REF!),(#REF!-#REF!))</definedName>
    <definedName name="__shared_1_66_0">IF(#REF!="PAM",(#REF!-#REF!),(#REF!-#REF!))</definedName>
    <definedName name="__shared_1_67_0" localSheetId="3">IF(#REF!&lt;0,"PA",#REF!)</definedName>
    <definedName name="__shared_1_67_0">IF(#REF!&lt;0,"PA",#REF!)</definedName>
    <definedName name="__shared_1_68_0" localSheetId="3">IF(#REF!=0,"P",#REF!)</definedName>
    <definedName name="__shared_1_68_0">IF(#REF!=0,"P",#REF!)</definedName>
    <definedName name="__shared_1_69_0" localSheetId="3">IF(#REF!&lt;0,"PA",#REF!)</definedName>
    <definedName name="__shared_1_69_0">IF(#REF!&lt;0,"PA",#REF!)</definedName>
    <definedName name="__shared_1_7_0" localSheetId="3">IF(#REF!="N/A",#REF!,#REF!)</definedName>
    <definedName name="__shared_1_7_0">IF(#REF!="N/A",#REF!,#REF!)</definedName>
    <definedName name="__shared_1_70_0" localSheetId="3">IF(#REF!=0,"P",#REF!)</definedName>
    <definedName name="__shared_1_70_0">IF(#REF!=0,"P",#REF!)</definedName>
    <definedName name="__shared_1_71_0" localSheetId="3">IF(#REF!="N/A",#REF!+(#REF!-1),#REF!+(#REF!-1))</definedName>
    <definedName name="__shared_1_71_0">IF(#REF!="N/A",#REF!+(#REF!-1),#REF!+(#REF!-1))</definedName>
    <definedName name="__shared_1_72_0" localSheetId="3">IF(#REF!="N/A",#REF!,#REF!)</definedName>
    <definedName name="__shared_1_72_0">IF(#REF!="N/A",#REF!,#REF!)</definedName>
    <definedName name="__shared_1_73_0" localSheetId="3">IF(#REF!="PAM",(#REF!-#REF!),(#REF!-#REF!))</definedName>
    <definedName name="__shared_1_73_0">IF(#REF!="PAM",(#REF!-#REF!),(#REF!-#REF!))</definedName>
    <definedName name="__shared_1_74_0" localSheetId="3">IF(#REF!&lt;0,"PA",#REF!)</definedName>
    <definedName name="__shared_1_74_0">IF(#REF!&lt;0,"PA",#REF!)</definedName>
    <definedName name="__shared_1_75_0" localSheetId="3">IF(#REF!=0,"P",#REF!)</definedName>
    <definedName name="__shared_1_75_0">IF(#REF!=0,"P",#REF!)</definedName>
    <definedName name="__shared_1_76_0" localSheetId="3">#REF!+#REF!</definedName>
    <definedName name="__shared_1_76_0">#REF!+#REF!</definedName>
    <definedName name="__shared_1_77_0" localSheetId="3">IF(#REF!="N/A",#REF!+(#REF!-1),#REF!+(#REF!-1))</definedName>
    <definedName name="__shared_1_77_0">IF(#REF!="N/A",#REF!+(#REF!-1),#REF!+(#REF!-1))</definedName>
    <definedName name="__shared_1_78_0" localSheetId="3">IF(#REF!="PAM",(#REF!-#REF!),(#REF!-#REF!))</definedName>
    <definedName name="__shared_1_78_0">IF(#REF!="PAM",(#REF!-#REF!),(#REF!-#REF!))</definedName>
    <definedName name="__shared_1_79_0" localSheetId="3">IF(#REF!="N/A",#REF!+(#REF!-1),#REF!+(#REF!-1))</definedName>
    <definedName name="__shared_1_79_0">IF(#REF!="N/A",#REF!+(#REF!-1),#REF!+(#REF!-1))</definedName>
    <definedName name="__shared_1_8_0" localSheetId="3">IF(#REF!="N/A",#REF!+(#REF!-1),#REF!+(#REF!-1))</definedName>
    <definedName name="__shared_1_8_0">IF(#REF!="N/A",#REF!+(#REF!-1),#REF!+(#REF!-1))</definedName>
    <definedName name="__shared_1_80_0" localSheetId="3">IF(#REF!="N/A",#REF!,#REF!)</definedName>
    <definedName name="__shared_1_80_0">IF(#REF!="N/A",#REF!,#REF!)</definedName>
    <definedName name="__shared_1_81_0" localSheetId="3">IF(#REF!="PAM",(#REF!-#REF!),(#REF!-#REF!))</definedName>
    <definedName name="__shared_1_81_0">IF(#REF!="PAM",(#REF!-#REF!),(#REF!-#REF!))</definedName>
    <definedName name="__shared_1_82_0" localSheetId="3">IF(#REF!&lt;0,"PA",#REF!)</definedName>
    <definedName name="__shared_1_82_0">IF(#REF!&lt;0,"PA",#REF!)</definedName>
    <definedName name="__shared_1_83_0" localSheetId="3">IF(#REF!=0,"P",#REF!)</definedName>
    <definedName name="__shared_1_83_0">IF(#REF!=0,"P",#REF!)</definedName>
    <definedName name="__shared_1_84_0" localSheetId="3">IF(#REF!="N/A",#REF!+(#REF!-1),#REF!+(#REF!-1))</definedName>
    <definedName name="__shared_1_84_0">IF(#REF!="N/A",#REF!+(#REF!-1),#REF!+(#REF!-1))</definedName>
    <definedName name="__shared_1_85_0" localSheetId="3">IF(#REF!="N/A",#REF!,#REF!)</definedName>
    <definedName name="__shared_1_85_0">IF(#REF!="N/A",#REF!,#REF!)</definedName>
    <definedName name="__shared_1_86_0" localSheetId="3">IF(#REF!="PAM",(#REF!-#REF!),(#REF!-#REF!))</definedName>
    <definedName name="__shared_1_86_0">IF(#REF!="PAM",(#REF!-#REF!),(#REF!-#REF!))</definedName>
    <definedName name="__shared_1_87_0" localSheetId="3">IF(#REF!&lt;0,"PA",#REF!)</definedName>
    <definedName name="__shared_1_87_0">IF(#REF!&lt;0,"PA",#REF!)</definedName>
    <definedName name="__shared_1_88_0" localSheetId="3">IF(#REF!=0,"P",#REF!)</definedName>
    <definedName name="__shared_1_88_0">IF(#REF!=0,"P",#REF!)</definedName>
    <definedName name="__shared_1_89_0" localSheetId="3">#REF!+#REF!</definedName>
    <definedName name="__shared_1_89_0">#REF!+#REF!</definedName>
    <definedName name="__shared_1_9_0" localSheetId="3">IF(#REF!="N/A",#REF!,#REF!)</definedName>
    <definedName name="__shared_1_9_0">IF(#REF!="N/A",#REF!,#REF!)</definedName>
    <definedName name="__shared_1_90_0" localSheetId="3">IF(#REF!="PAM",(#REF!-#REF!),(#REF!-#REF!))</definedName>
    <definedName name="__shared_1_90_0">IF(#REF!="PAM",(#REF!-#REF!),(#REF!-#REF!))</definedName>
    <definedName name="__shared_1_91_0" localSheetId="3">IF(#REF!&lt;0,"PA",#REF!)</definedName>
    <definedName name="__shared_1_91_0">IF(#REF!&lt;0,"PA",#REF!)</definedName>
    <definedName name="__shared_1_92_0" localSheetId="3">IF(#REF!=0,"P",#REF!)</definedName>
    <definedName name="__shared_1_92_0">IF(#REF!=0,"P",#REF!)</definedName>
    <definedName name="__shared_1_93_0" localSheetId="3">IF(#REF!="N/A",#REF!+(#REF!-1),#REF!+(#REF!-1))</definedName>
    <definedName name="__shared_1_93_0">IF(#REF!="N/A",#REF!+(#REF!-1),#REF!+(#REF!-1))</definedName>
    <definedName name="__shared_1_94_0" localSheetId="3">IF(#REF!="N/A",#REF!,#REF!)</definedName>
    <definedName name="__shared_1_94_0">IF(#REF!="N/A",#REF!,#REF!)</definedName>
    <definedName name="__shared_1_95_0" localSheetId="3">#REF!+#REF!</definedName>
    <definedName name="__shared_1_95_0">#REF!+#REF!</definedName>
    <definedName name="__shared_1_96_0" localSheetId="3">IF(#REF!="N/A",#REF!+(#REF!-1),#REF!+(#REF!-1))</definedName>
    <definedName name="__shared_1_96_0">IF(#REF!="N/A",#REF!+(#REF!-1),#REF!+(#REF!-1))</definedName>
    <definedName name="__shared_1_97_0" localSheetId="3">IF(#REF!="N/A",#REF!,#REF!)</definedName>
    <definedName name="__shared_1_97_0">IF(#REF!="N/A",#REF!,#REF!)</definedName>
    <definedName name="__shared_1_98_0" localSheetId="3">IF(#REF!="PAM",(#REF!-#REF!),(#REF!-#REF!))</definedName>
    <definedName name="__shared_1_98_0">IF(#REF!="PAM",(#REF!-#REF!),(#REF!-#REF!))</definedName>
    <definedName name="__shared_1_99_0" localSheetId="3">IF(#REF!&lt;0,"PA",#REF!)</definedName>
    <definedName name="__shared_1_99_0">IF(#REF!&lt;0,"PA",#REF!)</definedName>
    <definedName name="_xlnm._FilterDatabase" localSheetId="2" hidden="1">'Plan compras anio 2 planificado'!$AS$9:$AS$12</definedName>
    <definedName name="_xlnm._FilterDatabase" localSheetId="0" hidden="1">'Recalend MINSAL PNUD S3  2015'!$A$30:$Q$53</definedName>
    <definedName name="Already" localSheetId="1">NA()</definedName>
    <definedName name="Already" localSheetId="2">#REF!</definedName>
    <definedName name="Already">#REF!</definedName>
    <definedName name="BP" localSheetId="1">NA()</definedName>
    <definedName name="BP" localSheetId="2">#REF!</definedName>
    <definedName name="BP">#REF!</definedName>
    <definedName name="Detalle_2015">#REF!</definedName>
    <definedName name="Expenditure" localSheetId="1">NA()</definedName>
    <definedName name="Expenditure" localSheetId="2">#REF!</definedName>
    <definedName name="Expenditure">#REF!</definedName>
    <definedName name="FA" localSheetId="1">NA()</definedName>
    <definedName name="FA" localSheetId="2">#REF!</definedName>
    <definedName name="FA">#REF!</definedName>
    <definedName name="Function" localSheetId="1">NA()</definedName>
    <definedName name="Function" localSheetId="2">#REF!</definedName>
    <definedName name="Function">#REF!</definedName>
    <definedName name="Incomplete" localSheetId="1">NA()</definedName>
    <definedName name="Incomplete" localSheetId="2">#REF!</definedName>
    <definedName name="Incomplete">#REF!</definedName>
    <definedName name="OE" localSheetId="1">NA()</definedName>
    <definedName name="OE" localSheetId="2">#REF!</definedName>
    <definedName name="OE">#REF!</definedName>
    <definedName name="P" localSheetId="1">NA()</definedName>
    <definedName name="P" localSheetId="2">#REF!</definedName>
    <definedName name="P">#REF!</definedName>
    <definedName name="Ready" localSheetId="1">NA()</definedName>
    <definedName name="Ready" localSheetId="2">#REF!</definedName>
    <definedName name="Ready">#REF!</definedName>
    <definedName name="Region" localSheetId="1">NA()</definedName>
    <definedName name="Region" localSheetId="2">#REF!</definedName>
    <definedName name="Region">#REF!</definedName>
    <definedName name="Sector" localSheetId="1">NA()</definedName>
    <definedName name="Sector" localSheetId="2">#REF!</definedName>
    <definedName name="Sector">#REF!</definedName>
    <definedName name="SF" localSheetId="1">NA()</definedName>
    <definedName name="SF" localSheetId="2">#REF!</definedName>
    <definedName name="SF">#REF!</definedName>
    <definedName name="Status" localSheetId="1">NA()</definedName>
    <definedName name="Status" localSheetId="2">#REF!</definedName>
    <definedName name="Status">#REF!</definedName>
    <definedName name="User" localSheetId="1">NA()</definedName>
    <definedName name="User" localSheetId="2">#REF!</definedName>
    <definedName name="User">#REF!</definedName>
  </definedNames>
  <calcPr fullCalcOnLoad="1"/>
</workbook>
</file>

<file path=xl/comments1.xml><?xml version="1.0" encoding="utf-8"?>
<comments xmlns="http://schemas.openxmlformats.org/spreadsheetml/2006/main">
  <authors>
    <author>user</author>
  </authors>
  <commentList>
    <comment ref="V21" authorId="0">
      <text>
        <r>
          <rPr>
            <b/>
            <sz val="9"/>
            <rFont val="Tahoma"/>
            <family val="2"/>
          </rPr>
          <t>user:</t>
        </r>
        <r>
          <rPr>
            <sz val="9"/>
            <rFont val="Tahoma"/>
            <family val="2"/>
          </rPr>
          <t xml:space="preserve">
Los $ 263,122.81 no se utilizaran por ser considerados como Ahorro Potencial.
Los $ 84,134.84 no forman parte del PSM
</t>
        </r>
      </text>
    </comment>
    <comment ref="U34" authorId="0">
      <text>
        <r>
          <rPr>
            <b/>
            <sz val="9"/>
            <rFont val="Tahoma"/>
            <family val="2"/>
          </rPr>
          <t>user:</t>
        </r>
        <r>
          <rPr>
            <sz val="9"/>
            <rFont val="Tahoma"/>
            <family val="2"/>
          </rPr>
          <t xml:space="preserve">
La diferencia de $ 259.76 por aumento en el costo de la ultima compra sera tomada de otras Líneas con disponibilidad al momento de adjudicar</t>
        </r>
      </text>
    </comment>
    <comment ref="Z102" authorId="0">
      <text>
        <r>
          <rPr>
            <b/>
            <sz val="9"/>
            <rFont val="Tahoma"/>
            <family val="2"/>
          </rPr>
          <t>user:</t>
        </r>
        <r>
          <rPr>
            <sz val="9"/>
            <rFont val="Tahoma"/>
            <family val="2"/>
          </rPr>
          <t xml:space="preserve">
$ 763,306.20 Monto Correspondiente al PSM que se solicita recalendarizar para ejecutarse durante el S4 (Jul-Dic 2015) </t>
        </r>
      </text>
    </comment>
    <comment ref="Z103" authorId="0">
      <text>
        <r>
          <rPr>
            <b/>
            <sz val="9"/>
            <rFont val="Tahoma"/>
            <family val="2"/>
          </rPr>
          <t>user:</t>
        </r>
        <r>
          <rPr>
            <sz val="9"/>
            <rFont val="Tahoma"/>
            <family val="2"/>
          </rPr>
          <t xml:space="preserve">
$ 497,421.20 Monto Correspondiente a otras actividades que no pertenecen al  PSM que se solicita recalendarizar para ejecutarse durante el S4 (Jul-Dic 2015) </t>
        </r>
      </text>
    </comment>
  </commentList>
</comments>
</file>

<file path=xl/comments2.xml><?xml version="1.0" encoding="utf-8"?>
<comments xmlns="http://schemas.openxmlformats.org/spreadsheetml/2006/main">
  <authors>
    <author>user</author>
  </authors>
  <commentList>
    <comment ref="B31" authorId="0">
      <text>
        <r>
          <rPr>
            <b/>
            <sz val="9"/>
            <rFont val="Tahoma"/>
            <family val="2"/>
          </rPr>
          <t>user:</t>
        </r>
        <r>
          <rPr>
            <sz val="9"/>
            <rFont val="Tahoma"/>
            <family val="2"/>
          </rPr>
          <t xml:space="preserve">
Compra declarada desierta el 27 de Agosto 2015.</t>
        </r>
      </text>
    </comment>
    <comment ref="B32" authorId="0">
      <text>
        <r>
          <rPr>
            <b/>
            <sz val="9"/>
            <rFont val="Tahoma"/>
            <family val="2"/>
          </rPr>
          <t>user:</t>
        </r>
        <r>
          <rPr>
            <sz val="9"/>
            <rFont val="Tahoma"/>
            <family val="2"/>
          </rPr>
          <t xml:space="preserve">
Compra declarada desierta 27/082015</t>
        </r>
      </text>
    </comment>
  </commentList>
</comments>
</file>

<file path=xl/comments3.xml><?xml version="1.0" encoding="utf-8"?>
<comments xmlns="http://schemas.openxmlformats.org/spreadsheetml/2006/main">
  <authors>
    <author>user</author>
  </authors>
  <commentList>
    <comment ref="W28" authorId="0">
      <text>
        <r>
          <rPr>
            <b/>
            <sz val="9"/>
            <rFont val="Tahoma"/>
            <family val="2"/>
          </rPr>
          <t>user:</t>
        </r>
        <r>
          <rPr>
            <sz val="9"/>
            <rFont val="Tahoma"/>
            <family val="2"/>
          </rPr>
          <t xml:space="preserve">
Debido al atraso en las compras efectuadas por PNUD los cuales la tendencia historica es de un promedio de dos años para gestionar, comprar y entregar los productos de salud, razon por la cual este monto se considera que no podra ser ejecutado durante el año 2015, ya que estamos recibiendo productos solicitado en el año 2013 del presupuesto 2014</t>
        </r>
      </text>
    </comment>
    <comment ref="S56" authorId="0">
      <text>
        <r>
          <rPr>
            <b/>
            <sz val="9"/>
            <rFont val="Tahoma"/>
            <family val="2"/>
          </rPr>
          <t>user:</t>
        </r>
        <r>
          <rPr>
            <sz val="9"/>
            <rFont val="Tahoma"/>
            <family val="2"/>
          </rPr>
          <t xml:space="preserve">
Lineas 56-59,62-63 se colocara la SC semana sept ultima
</t>
        </r>
      </text>
    </comment>
    <comment ref="AB196" authorId="0">
      <text>
        <r>
          <rPr>
            <b/>
            <sz val="9"/>
            <rFont val="Tahoma"/>
            <family val="2"/>
          </rPr>
          <t>user:</t>
        </r>
        <r>
          <rPr>
            <sz val="9"/>
            <rFont val="Tahoma"/>
            <family val="2"/>
          </rPr>
          <t xml:space="preserve">
Compras de Emergencia $ 119,734.50; $29,469.00 Pirimetamina; 21,426.00 Cremas Vaginales para ITS</t>
        </r>
      </text>
    </comment>
  </commentList>
</comments>
</file>

<file path=xl/sharedStrings.xml><?xml version="1.0" encoding="utf-8"?>
<sst xmlns="http://schemas.openxmlformats.org/spreadsheetml/2006/main" count="1141" uniqueCount="421">
  <si>
    <t>Informacion general</t>
  </si>
  <si>
    <t>Pais  / RP :</t>
  </si>
  <si>
    <t>EL SALVADOR</t>
  </si>
  <si>
    <t>N. Subvencion:</t>
  </si>
  <si>
    <t>SLV-H-MINSAL</t>
  </si>
  <si>
    <t>Fecha(s) de presentacion al MCP:</t>
  </si>
  <si>
    <t>Fecha de solicitud al FM:</t>
  </si>
  <si>
    <t>FONDOS EN MINSAL</t>
  </si>
  <si>
    <t>RECALENDARIZACION  APROBADAS DEL PERIODO 2 (JULIO-DICIEMBRE 2014)  DESEMBOLSO RECIBIDO EL 29 DE MAYO 2015.</t>
  </si>
  <si>
    <t>Monto a recalendarizarse por periodo</t>
  </si>
  <si>
    <t>Monto total</t>
  </si>
  <si>
    <r>
      <t xml:space="preserve">Justificación </t>
    </r>
  </si>
  <si>
    <t>Respuesta del FM</t>
  </si>
  <si>
    <t>Module</t>
  </si>
  <si>
    <t>Intervention</t>
  </si>
  <si>
    <t>Cost grouping</t>
  </si>
  <si>
    <t>Presupuesto original
Semestre 1 Año 2015</t>
  </si>
  <si>
    <t>Saldo disponible
 Semestre 1 Año 2015</t>
  </si>
  <si>
    <t>Q12015</t>
  </si>
  <si>
    <t>Q42015</t>
  </si>
  <si>
    <t>Q32015</t>
  </si>
  <si>
    <t>Gastos al 31/08/2015</t>
  </si>
  <si>
    <t>PO Activas al 31 de Agosto 2015</t>
  </si>
  <si>
    <t>Procesos en Curso al 31 de Agosto de2015</t>
  </si>
  <si>
    <t>Monto Aprobado condicionado a Plan de Fortalecimiento</t>
  </si>
  <si>
    <t>Explicacion</t>
  </si>
  <si>
    <t xml:space="preserve">Program management (HIV) </t>
  </si>
  <si>
    <t xml:space="preserve"> Planning, Coordination and management</t>
  </si>
  <si>
    <t>8. Infrastructure (INF)</t>
  </si>
  <si>
    <t>Se solicita recalendarizacion debido a que  se ha ejecuto la cantidad de $14,040.00 de los 87,000.00 aprobados por el FM y  el resto se encuentra en elaboracion de condiciones para realizar el  proceso de compra a traves de Mercado Bursatil. ya que el primer proceso fue licitacion declarada decierta por no recibir ofertas.  Sin omitir manifestar que existen $ 174,000,00 dolares que fueron  desembolsados en la ultima semana de mayo 2015.Los cuales estan condicionados a la oficializacion del Plan de Fortalecimiento de Almacenes. Este proceso  se encuentra en revision en la Gerencia de Operaciones y la Unidad de Abastecimiento.</t>
  </si>
  <si>
    <t>3. External professional services (EPS)</t>
  </si>
  <si>
    <t>Se solicita recalendarizar debido a que el proceso de adquisicion de fortalecimiento al personal del RP, se esta realizando por segunda vez en  la UACI institucional, ya que  el primer proceso quedo decierto por no recepcionarse ofertas. No omitimos mencionar que  el proceso fue iniciaco posterior a la aprobacion de FM de  fecha mayo 2015</t>
  </si>
  <si>
    <t>Prevention key populations-Prisioners</t>
  </si>
  <si>
    <t>HIV testing and Counseling</t>
  </si>
  <si>
    <t>9. Non - health equipment (NHP</t>
  </si>
  <si>
    <t>Se pide recalendarizar estos fondos para la adquisicion de vehículos, esto debido a que se estan buscando economias de fondos GOES para cancelar como contrapartida el pago de IVA, ya que los proveedores no venden vehiculos sin incluir el IVA.No omitimos mencionar que  el proceso fue iniciaco posterior a la aprobacion de FM de  fecha mayo 2015</t>
  </si>
  <si>
    <t>6. Health Products - Equipment (HPE)</t>
  </si>
  <si>
    <t>Se solicita recalendarizar, debido a que se realizo el proceso por  libre gestión, pero las ofertas recibidas superaron el presupuesto y se quedo el proceso desierto. Este se ha presentado nuevamente a la UACI institucional para adquirir el mobiliario para equipamiento de las clínicas de los centros penitenciarios y clinicas VICITS y Clinicas de Dia; No omitimos mencionar que  el proceso fue iniciaco posterior a la aprobacion de FM de  fecha mayo 2015</t>
  </si>
  <si>
    <t xml:space="preserve">Treatment, care and support - </t>
  </si>
  <si>
    <t>Diagnosis and treatment of STIs</t>
  </si>
  <si>
    <t>Prevention, Diagnosis and treatment of Opportunistic Infections</t>
  </si>
  <si>
    <t>Treatment adherence</t>
  </si>
  <si>
    <t>10. Communication materials and publications (CMP)</t>
  </si>
  <si>
    <t>Se solicita recalendarizar en vista que se realizo de compra por libre gestión y no fue posible adjudicarla por no tener ofertas, por lo que hoy se esta realizando un segundo proceso a traves de mercado bursatil; No omitimos mencionar que  el proceso fue iniciaco posterior a la aprobacion de FM de  fecha mayo 2015</t>
  </si>
  <si>
    <t>Total solicitud:</t>
  </si>
  <si>
    <t>TOTAL</t>
  </si>
  <si>
    <t>Todos los montos en USD</t>
  </si>
  <si>
    <t>NOTA</t>
  </si>
  <si>
    <t>NOTA: Estas recalendarizacion se solicita por segunda vez debido a que los fondos fueron desembolsados el 29 de Mayo de 2015.</t>
  </si>
  <si>
    <t>RECALENDARIZACION DEL PERIODO S3 ( ENERO A JUNIO 2015) SOLICITADO PARA EJECION EN S4 JUL-DIC.2015</t>
  </si>
  <si>
    <t>4. Health Products - Pharmaceutical Products (HPPP)</t>
  </si>
  <si>
    <t>Se solicita recalendarizacion debido a que se ha realizado proceso de licitacion y no se recepcionaron ofertas. Por lo que se esta realizando proceso de adquisicion a traves de UACI MINSAL. Como compra directa; No omitimos mencionar que  el proceso fue iniciaco posterior a la aprobacion de FM de  fecha mayo 2015.</t>
  </si>
  <si>
    <t xml:space="preserve"> ART</t>
  </si>
  <si>
    <t>Se solicita recalendarizacion debido a que se ha realizado proceso de licitacion y no se recepcionaron ofertas. Por lo que se esta realizando proceso de adquisicion a traves de OPS; No omitimos mencionar que  el proceso fue iniciaco posterior a la aprobacion de FM de  fecha mayo 2015</t>
  </si>
  <si>
    <t>Se solicita recalendarizacion debido a que se ha realizado proceso de licitacion y no se recepcionaron ofertas. Por lo que se esta realizando proceso de adquisicion a traves de UACI MINSAL. Como compra directa; No omitimos mencionar que  el proceso fue iniciaco posterior a la aprobacion de FM de  fecha mayo 2015</t>
  </si>
  <si>
    <t xml:space="preserve">PMTCT - </t>
  </si>
  <si>
    <t>Prong 3: Preventing vertical HIV transmission</t>
  </si>
  <si>
    <t xml:space="preserve">5. Health Products - Non-Pharmacueticals </t>
  </si>
  <si>
    <t xml:space="preserve">
Se solicita recalendarizacion par la adquisicion de estos productos debido a que  son ofertados con fechas de caducidad de acuerdo a cada tipo y principio antigenico del reactivo, las compras en transito y contratos firmados a finales del año 2014, generaron desfase en la ejecucion, corriendose el riesgo de perdidas por vencimiento de productos; en tal sentido el MINSAL ha adecuado las bases para la adquisicion de estos productos solcitanto entregas escalonadas de acuerdo a las existencias de los contratos del año1 NMF, dichos procesos se encuentran un diferentes etapas en la UACI por que solicitamos realizar  la ejecucion para el semestre siguiente con el fin de  mejorar los resultados  garantizando que el proveedor puede abastecernos y mantener buenas rotaciones de vencimientos. No omitimos mencionar que  el proceso fue iniciaco posterior a la aprobacion de FM de  fecha mayo 2015
</t>
  </si>
  <si>
    <t>Treatment, care and support -</t>
  </si>
  <si>
    <t xml:space="preserve"> Pre ART</t>
  </si>
  <si>
    <t>Pre and Post-exposure prophylaxis (PrEP</t>
  </si>
  <si>
    <t>TB/HIV collaborative interventions</t>
  </si>
  <si>
    <t xml:space="preserve"> Treatment monitoring</t>
  </si>
  <si>
    <t>Prevention for other Populations-Trans</t>
  </si>
  <si>
    <t>Prevention key populations-MSM</t>
  </si>
  <si>
    <t xml:space="preserve">Prevention key populations-SWs </t>
  </si>
  <si>
    <t>PMTCT -</t>
  </si>
  <si>
    <t xml:space="preserve"> Prong 3: Preventing vertical HIV transmission</t>
  </si>
  <si>
    <t xml:space="preserve"> Prong 4: Treatment, care, support to mothers living with HIV and their families</t>
  </si>
  <si>
    <t>7. Procurement and supply-chain management costs (PSM)</t>
  </si>
  <si>
    <t>Se solicita recalendarizar este monto para las compras en transito que requieren internacion. No omitimos mencionar que  el proceso fue iniciaco posterior a la aprobacion de FM de  fecha mayo 2015</t>
  </si>
  <si>
    <t>Se solicita recalendarizar estos fondos debido al trabajo que ha realizado la Unidad Tècnica de Ingenieria para la elaboracion de la Carpeta Tècnica requisito indispensable para iniciar esta readcuacion debido a la alta demanda y escasos recursos de la unidad; procesos que seran presentados para la adquisicion de servicios a la UACI Institucional.No omitimos mencionar que  el proceso fue iniciaco posterior a la aprobacion de FM de  fecha mayo 2015</t>
  </si>
  <si>
    <t xml:space="preserve">M&amp;E (HIV) - </t>
  </si>
  <si>
    <t>Administrative and finance data sources</t>
  </si>
  <si>
    <t>9. Non - health equipment (NHP)</t>
  </si>
  <si>
    <t>Se solicita recalendarizacion debido a que se han realizado el proceso de compra en la UACI Institucional quedando desiertas por no recibirse ofertas por lo que nuevamente se hara un nuevo proceso de compra Directa.No omitimos mencionar que  el proceso fue iniciaco posterior a la aprobacion de FM de  fecha mayo 2015</t>
  </si>
  <si>
    <t>Behavioral Change Programs</t>
  </si>
  <si>
    <t>Prevention key populations-Prisioners - Behavioral Change Programs</t>
  </si>
  <si>
    <t>Se solicita Recalendarizaciòn para identificar al equipo tècnico de las unidades comunitarias de salud familiar que atienden a las personas privadas de libertad en todos los centros penitenciarios del pais; este proceso se realizara en el proximo semestre debido a rotacion de recursos y nuevas asignaciones de personal a los equipos.No omitimos mencionar que  el proceso fue iniciaco posterior a la aprobacion de FM de  fecha mayo 2015</t>
  </si>
  <si>
    <t>Se solicita recalendarizarlo para el proximo semestre debida a que estaba en elaboracion de Arte de los formularios actualizados para la captura de la informacion de indicador de descarte de co-infección TB/VIH y para la profilaxis con Isonicida.No omitimos mencionar que  el proceso fue iniciaco posterior a la aprobacion de FM de  fecha mayo 2015</t>
  </si>
  <si>
    <t>11. Programme administration costs (PA)</t>
  </si>
  <si>
    <t>Se solicita recalendarizar las siguientes actividades:Papeleria e impresor $ 8,200,00 debido a que se realizo el primer proceso por ofertas que superaban el presupuesto disponible; poliza de Seguros $ 6840,70 , se esta en proceso de levantamiento total de activos fijos a Nivel Nacional con el proposito de realizar el proceso de compra de la poliza . No omitimos mencionar que  el proceso fue iniciaco posterior a la aprobacion de FM de  fecha mayo 2015</t>
  </si>
  <si>
    <t xml:space="preserve"> Recalendarizaciones del Presupuesto</t>
  </si>
  <si>
    <t>Total Recalendarizaciones MINSAL del S1 año 2015</t>
  </si>
  <si>
    <t>Total Recalendarizaciones PNUD del S1 año 2015</t>
  </si>
  <si>
    <t>Este monto se solicita recalendarizar debido a que la Prorroga de Convenio NIM fue legalizada en Junio 2015 y las adquisisciones se encuentran en Proceso de Compra. (Según Convenio NIM Adjunto y Acta del MCP)</t>
  </si>
  <si>
    <t>Monto presentado el 9/07/2015</t>
  </si>
  <si>
    <t>DIFERENCIA</t>
  </si>
  <si>
    <t>AUMENTO O DISMINUCION</t>
  </si>
  <si>
    <t>Probable Ejecutar</t>
  </si>
  <si>
    <t>totales</t>
  </si>
  <si>
    <t>Nota: Los cambios obedecen a que no todos los renglones licitados fueron adjundicados por lo que estos se recalendarizaran para proceso del otro periodo</t>
  </si>
  <si>
    <t>Las lineas  azules son las que  no se habian presentado debido a que estaban en compromiso y no se completo la compra por incremento en costo unitario</t>
  </si>
  <si>
    <t>FONDOS EN PNUD</t>
  </si>
  <si>
    <t>Reprogramaciones Aprobadas por FG en Agosto 2015 - Revision Sustantiva en Firme</t>
  </si>
  <si>
    <t>Program Management (HIV)</t>
  </si>
  <si>
    <t>Planning, Coordination and management</t>
  </si>
  <si>
    <t>1. Human resources (HR</t>
  </si>
  <si>
    <t>Este monto se solicita recalendarizar debido a que la Prorroga de Convenio NIM fue legalizada en Junio 2015 y las adquisisciones se encuentran en Proceso de Compra. Este monto incluye $ 8,485.98 para cubrir salarios de Octubre a Diciembre solicitados a FG (Según Convenio NIM Adjunto y Acta del MCP)</t>
  </si>
  <si>
    <t>Treatment, care and support</t>
  </si>
  <si>
    <t>2. Travel related costs (TRC)</t>
  </si>
  <si>
    <t>PMTCT - Prong 3: Preventing vertical HIV transmission</t>
  </si>
  <si>
    <t>Preventing vertical HIV transmission</t>
  </si>
  <si>
    <t>4. Health Products - Pharmaceutical Products (HPPP)-</t>
  </si>
  <si>
    <t>M&amp;E (HIV)</t>
  </si>
  <si>
    <t>- Survey</t>
  </si>
  <si>
    <t>5. Health Products  - Non-Pharmacueticals (HPNP)</t>
  </si>
  <si>
    <t>7. Procurement and Supply-Chain Management costs (PSM)</t>
  </si>
  <si>
    <t>ART</t>
  </si>
  <si>
    <t xml:space="preserve">10. Comunication material Publication  </t>
  </si>
  <si>
    <t>Treatment monitoring</t>
  </si>
  <si>
    <t>Presupuesto resumido revisado</t>
  </si>
  <si>
    <t>Plan de compras revisado (si aplica)</t>
  </si>
  <si>
    <t>Evidencia de hipotesis utilizadas para calculo de costos</t>
  </si>
  <si>
    <t>14 de Septiembre de 2015</t>
  </si>
  <si>
    <t>Plan de Compras Año 2 MINSAL</t>
  </si>
  <si>
    <t>Detalle de medicamentos y productos de salud</t>
  </si>
  <si>
    <t>Módulo</t>
  </si>
  <si>
    <t>Intervención</t>
  </si>
  <si>
    <t>Agente compras</t>
  </si>
  <si>
    <t>Producto</t>
  </si>
  <si>
    <t>Unidad</t>
  </si>
  <si>
    <t>Número de unidades</t>
  </si>
  <si>
    <t>Precio Unitario$$$</t>
  </si>
  <si>
    <t>presupuesto$$$</t>
  </si>
  <si>
    <t>Plan de Compras Real</t>
  </si>
  <si>
    <t>Number of Unit</t>
  </si>
  <si>
    <t>Unit Price</t>
  </si>
  <si>
    <t>Budget</t>
  </si>
  <si>
    <t>Description</t>
  </si>
  <si>
    <t>TIPO</t>
  </si>
  <si>
    <t>Año 1</t>
  </si>
  <si>
    <t>unidades adquiridas</t>
  </si>
  <si>
    <t>Unidades Aprobadas Año 2</t>
  </si>
  <si>
    <t>Año 3</t>
  </si>
  <si>
    <t>Cantidades propuesto por MINSAL</t>
  </si>
  <si>
    <t>Monto Unitario Aprobado Año 2</t>
  </si>
  <si>
    <t>Gastos (cash basis)</t>
  </si>
  <si>
    <t>Monto Unitario Actualizado propuesto</t>
  </si>
  <si>
    <t>Presupuesto Aprobado Año 2</t>
  </si>
  <si>
    <t>Presupuesto Ajustado en Base a Precios Unitarios Actualizado</t>
  </si>
  <si>
    <t>Cantidades Adquiridas Reales</t>
  </si>
  <si>
    <t>Gastos incurridos en Enero a Junio 2015 (pagos)</t>
  </si>
  <si>
    <t>Compromisos Reportados al 30 de Junio de 2015</t>
  </si>
  <si>
    <t>Recalendarizaciones Solicitadas y Reportadas Año 2 MINSAL</t>
  </si>
  <si>
    <t>Gastos al 31 de Agosto 2015 /MINSAL-PNUD</t>
  </si>
  <si>
    <t>PO Activas al 31 de Agosto 2015 /MINSAL-PNUD</t>
  </si>
  <si>
    <t>Procesos en Curso/MINSAL-PNUD</t>
  </si>
  <si>
    <t>Disponibilidad al 31 de Agosto 2015</t>
  </si>
  <si>
    <t>Y2</t>
  </si>
  <si>
    <t>Y3</t>
  </si>
  <si>
    <t>Y1</t>
  </si>
  <si>
    <t>Total</t>
  </si>
  <si>
    <t>Prevención Población PEMAR - Trabajadoras sexuales</t>
  </si>
  <si>
    <t>Consejería y testeo</t>
  </si>
  <si>
    <t>MINSAL</t>
  </si>
  <si>
    <t>tests rápido VIH sangre</t>
  </si>
  <si>
    <t>prueba</t>
  </si>
  <si>
    <t>Debido a incremento del precio unitario planificado se necesita autorizacion para reprogramar y completar la cantidad planificada.</t>
  </si>
  <si>
    <t>pruebas</t>
  </si>
  <si>
    <t>Prevención  Población PEMAR - Trans</t>
  </si>
  <si>
    <t>Debido a incremento del precio unitario planificado se necesita autorizacion para reprogramar y completar la cantidad planificadas. Así tambien se han evaluado las diferentes adquisiciones del periodo identificando economias de otros productos por los que permitiria complementar la brecha identificada y cubrir las compras planificadas para el año 2015</t>
  </si>
  <si>
    <t>Prevención  Población PEMAR - HSH</t>
  </si>
  <si>
    <t>Prevención Población Clave - Privados de libertad</t>
  </si>
  <si>
    <t>tests rápido en sangre</t>
  </si>
  <si>
    <t>Diagnostico</t>
  </si>
  <si>
    <t xml:space="preserve">prueba rápida diagnóstico Treponema pallidum </t>
  </si>
  <si>
    <t>No fcticos</t>
  </si>
  <si>
    <t>equipo de esterlización - autoclaves</t>
  </si>
  <si>
    <t>pieza</t>
  </si>
  <si>
    <t>Modulos odontologicos</t>
  </si>
  <si>
    <t>sillón+lámpara+compresor</t>
  </si>
  <si>
    <t>Kit de insumos odontologicos</t>
  </si>
  <si>
    <t>kit</t>
  </si>
  <si>
    <t>Tratamiento, monitoreo y diagnóstico</t>
  </si>
  <si>
    <t>Pruebas confirmatorias VIH y sífilis</t>
  </si>
  <si>
    <t>pruebas confirmatorias HIV 1/2, Elisa de tercera generación. Set de 100</t>
  </si>
  <si>
    <t>pruebas confirmatorias HIV 1/2, Elisa de cuarta generación. Set de 100</t>
  </si>
  <si>
    <t>pruebas confirmatorias HIV 1/2, método Western Blott. Set de 18</t>
  </si>
  <si>
    <t>reactivos elisa para treponema pallidum. Set de 96</t>
  </si>
  <si>
    <t>reactivos FTA-ABS. Set de 100 pruebas</t>
  </si>
  <si>
    <t>Tratamiento Antiretroviral</t>
  </si>
  <si>
    <t>OPS</t>
  </si>
  <si>
    <t>Efavirenze600mg+emtricitabine 200mg+tenofovir 300mg BOTE</t>
  </si>
  <si>
    <t>frasco</t>
  </si>
  <si>
    <t>ARV</t>
  </si>
  <si>
    <t>Tratamientos Primera Línea TDF/FTC/EFV 300/200/600 mg</t>
  </si>
  <si>
    <t>Tratamientos Segunda Línea - TDF/FTC 300/200 mg</t>
  </si>
  <si>
    <t>Tratamientos Segunda Línea LPV/RTV 200/50 mg</t>
  </si>
  <si>
    <t>Monitoreo de tratamiento antiretroviral</t>
  </si>
  <si>
    <t>Reactivos de genotipaje . Set de 30</t>
  </si>
  <si>
    <t>PNUD</t>
  </si>
  <si>
    <t>Reactivos CD4. Set de 50</t>
  </si>
  <si>
    <t>Reactivos para carga viral. Set de 48</t>
  </si>
  <si>
    <t>Prevencion, diagnostico y tratamiento de infecciones oportunistas</t>
  </si>
  <si>
    <t xml:space="preserve">Anfotericina B 50 Mg polvo para dilución IV. </t>
  </si>
  <si>
    <t>vial</t>
  </si>
  <si>
    <t>Mxs</t>
  </si>
  <si>
    <t>Pirimetamina 25 mg blister de 30 tabletas</t>
  </si>
  <si>
    <t>tableta</t>
  </si>
  <si>
    <t>Itraconazol 100 mg capsula, x 28</t>
  </si>
  <si>
    <t>Fluconazol 2 mg/ml, frasco vial de 100 ml</t>
  </si>
  <si>
    <t>Ganciclovir 500 mg IV, polvo reconstituyente en forma de sal disòdica</t>
  </si>
  <si>
    <t>Fluconazol 150mg / 100 tablets</t>
  </si>
  <si>
    <t>Reactivos de neumocistis. Set de 24</t>
  </si>
  <si>
    <t xml:space="preserve">Pruebas de Histoplasma.  Set de 100 </t>
  </si>
  <si>
    <t>Kits</t>
  </si>
  <si>
    <t>Pruebas de Hepatitis B. Set de 100 pruebas</t>
  </si>
  <si>
    <t>Pruebas de Hepatitis C Biorad. Set de 100 pruebas</t>
  </si>
  <si>
    <t xml:space="preserve">Monolisa  neutraliza. Set 480 pruebas </t>
  </si>
  <si>
    <t xml:space="preserve">Monolisa reactividad de color. Set de 25 </t>
  </si>
  <si>
    <t>Toxoplamosis IgM. Set de 100</t>
  </si>
  <si>
    <t>toxoplasmosis IgG. Set de 100</t>
  </si>
  <si>
    <t>Prueba confirmatoria Hepatitis C. Inmunoblot . Set de 24</t>
  </si>
  <si>
    <t>Prueba Elisa Hepatitis C - Hepanostika . Set de 192</t>
  </si>
  <si>
    <t>Carro de curación</t>
  </si>
  <si>
    <t>unidad</t>
  </si>
  <si>
    <t>Tensiómetro</t>
  </si>
  <si>
    <t>Tambos para torundas</t>
  </si>
  <si>
    <t>Estetoscopios</t>
  </si>
  <si>
    <t>Mesa de preparación de medicamentos</t>
  </si>
  <si>
    <t>Profilaxis post-exposición</t>
  </si>
  <si>
    <t>ARVs para protocolo abusos sexuales - AZT/3TC</t>
  </si>
  <si>
    <t>ARVs para protocolo abusos sexuales - Lopi/rito</t>
  </si>
  <si>
    <t>pruebas rápidas para VIH (en sangre)</t>
  </si>
  <si>
    <t>Prueba de determinación de antígeno de superficie Hepatitis B. Set de 100</t>
  </si>
  <si>
    <t xml:space="preserve">Prueba Elisa para determinación de anticuerpos Hepatitis C Axsym. Set de 100 </t>
  </si>
  <si>
    <t>Diagnóstico y tratamiento de ITSs en las VICITS</t>
  </si>
  <si>
    <t xml:space="preserve">Prueba rápida diagnóstico Treponema pallidum </t>
  </si>
  <si>
    <t>Prueba rápida sífilis (RPR) para detección de reaginas (de confirmación)</t>
  </si>
  <si>
    <t>Pruebas PCR para clamidia y gonorrea</t>
  </si>
  <si>
    <t>Pruebas PCR para VPH</t>
  </si>
  <si>
    <t>Pruebas PCR para herpes</t>
  </si>
  <si>
    <t>doxiciclina  100 mg</t>
  </si>
  <si>
    <t>clotrimazol vaginal tubo con aplicador</t>
  </si>
  <si>
    <t>tubo</t>
  </si>
  <si>
    <t>metronidazol gel vaginal tubo</t>
  </si>
  <si>
    <t>Sistema de sangrado al vacío priorizado (tubo, soporte y aguja)</t>
  </si>
  <si>
    <t>Unidad (tubo+soporte+aguja)</t>
  </si>
  <si>
    <t>Hepatitis B criovial+pipeta t. compartida para ambas mxs*</t>
  </si>
  <si>
    <t>vial+pipeta</t>
  </si>
  <si>
    <t>Hepatitis C criovial*</t>
  </si>
  <si>
    <t xml:space="preserve">Referencia de pruebas de VIH para confirmación (criovial+pipeta t.) </t>
  </si>
  <si>
    <t xml:space="preserve">Referencia de pruebas de sífilis para confirmación (criovial+pipeta t.) </t>
  </si>
  <si>
    <t xml:space="preserve">Productos para embalaje de muestras para ITS </t>
  </si>
  <si>
    <t>TB/HIV collaborative intervention</t>
  </si>
  <si>
    <t>Para prueba GeneXpert</t>
  </si>
  <si>
    <t>cartucho</t>
  </si>
  <si>
    <t xml:space="preserve">Pruebas de sensibilidad para H, E, R y S.  </t>
  </si>
  <si>
    <t>se de 4 frascos de 50 g</t>
  </si>
  <si>
    <t>Espectofotómetro</t>
  </si>
  <si>
    <t>Centrífugas</t>
  </si>
  <si>
    <t>PH metro</t>
  </si>
  <si>
    <t>Baños maría</t>
  </si>
  <si>
    <t>Balanza semianalítica</t>
  </si>
  <si>
    <t>Agitadores</t>
  </si>
  <si>
    <t>Refrigeradoras</t>
  </si>
  <si>
    <t>Cocinas</t>
  </si>
  <si>
    <t>Anemómetro</t>
  </si>
  <si>
    <t>Radiometer</t>
  </si>
  <si>
    <t>Kit de tubos</t>
  </si>
  <si>
    <t>Prueba de ajuste de respiradores</t>
  </si>
  <si>
    <t>Colorimetro</t>
  </si>
  <si>
    <t>Mascarillas</t>
  </si>
  <si>
    <t>Gabachas descartables</t>
  </si>
  <si>
    <t>Gafas de polycarbonato</t>
  </si>
  <si>
    <t>Este es monto total</t>
  </si>
  <si>
    <t>Prevención de transmisión vertical</t>
  </si>
  <si>
    <t xml:space="preserve">Compra de ADN proviral </t>
  </si>
  <si>
    <t>test rápidos VIH en sangre</t>
  </si>
  <si>
    <t>Leche maternizada</t>
  </si>
  <si>
    <t>lata 400 gr.</t>
  </si>
  <si>
    <t>AZT/3TC 300/150</t>
  </si>
  <si>
    <t>Lopinavir/ritonavir 200/50</t>
  </si>
  <si>
    <t>AZT endovenoso</t>
  </si>
  <si>
    <t>AZT 50 mg/5 ml</t>
  </si>
  <si>
    <t>botella</t>
  </si>
  <si>
    <t>Hieleras para conservación de muestras</t>
  </si>
  <si>
    <t>Refrigeradoras para conservación de muestras</t>
  </si>
  <si>
    <t>Contenedores para desechos bioinfecciosos</t>
  </si>
  <si>
    <t xml:space="preserve">Termometros para refrigeradoras </t>
  </si>
  <si>
    <t>Sillones para toma de muestras</t>
  </si>
  <si>
    <t>Centrifugas para procesamiento de muestras Para laboratorios de referencia</t>
  </si>
  <si>
    <t>Monitoreo y evaluación</t>
  </si>
  <si>
    <t>Estudio de resistencia primaria</t>
  </si>
  <si>
    <t>genotipificacion para estudio de resistencia primaria</t>
  </si>
  <si>
    <t>-</t>
  </si>
  <si>
    <t xml:space="preserve">TUBO PLASTICO AL VACIO DE (16 X 100) MILIMETROS, CON GEL SEPARADOR, CON ACTIVADOR DE COAGULACION, (TAPON ROJO-AMARILLO ), CAPACIDAD 10 MILILITROS
</t>
  </si>
  <si>
    <t>Pruebas</t>
  </si>
  <si>
    <t>Productos de salud no farmacéuticos</t>
  </si>
  <si>
    <t>ARVs</t>
  </si>
  <si>
    <t>Otros medicamentos</t>
  </si>
  <si>
    <t>Diferencia respecto al total de columna O</t>
  </si>
  <si>
    <t>Estimación de necesidades</t>
  </si>
  <si>
    <t>Cantidad de Pruebas</t>
  </si>
  <si>
    <t xml:space="preserve"> Financiamiento Fondo Mundial Plan de Adquisiciones 2015</t>
  </si>
  <si>
    <t>Pruebas rápidas</t>
  </si>
  <si>
    <t>Carga Viral</t>
  </si>
  <si>
    <t>ADN Proviral</t>
  </si>
  <si>
    <t>CD4</t>
  </si>
  <si>
    <t>Costo de Pruebas</t>
  </si>
  <si>
    <t>Financiamiento Disponible</t>
  </si>
  <si>
    <t>Financiamiento Propio Hospitales</t>
  </si>
  <si>
    <t>GOES</t>
  </si>
  <si>
    <t>Fondo Mundial</t>
  </si>
  <si>
    <t>Brecha de Financiamiento</t>
  </si>
  <si>
    <t>Plan de Compras Año 2 PNUD</t>
  </si>
  <si>
    <t>Total de Necesidades para Julio a Diciembre 2015</t>
  </si>
  <si>
    <t>TOTAL DE RECALENDARIZACIONES REPORTADAS EN PU AL30 DE JUNIO 2015</t>
  </si>
  <si>
    <t>Total Recalendarizaciones MINSAL-PNUD necesarias para ejecutarse en el P4 (Julio a Diciembre 2015)</t>
  </si>
  <si>
    <t>Total Recalendarizaciones MINSAL solicitadas para ejecutarse en el P4  (Julio a Diciembre 2015)</t>
  </si>
  <si>
    <t>Total Recalendarizaciones PNUD solicitadas para ejecutarse en el P4  (Julio a Diciembre 2015)</t>
  </si>
  <si>
    <t>SUB TOTAL DE RECALENDARIZACIONES REPORTADAS EN PU AL30 DE JUNIO 2015 COMPRAS EN MINSAL</t>
  </si>
  <si>
    <t>SUB TOTAL DE RECALENDARIZACIONES REPORTADAS EN PU AL30 DE JUNIO 2015 COMPRAS EN PNUD</t>
  </si>
  <si>
    <t>SUBTOTALES</t>
  </si>
  <si>
    <t>TOTALES DEL PLAN DE COMPRAS</t>
  </si>
  <si>
    <t>Recalendarizaciones Reportadas según PU al 30 de Junio 2015</t>
  </si>
  <si>
    <t>Recalendarizaciones Actualizadas - Ajustadas al 31 de Agosto 2015</t>
  </si>
  <si>
    <t>Nota: Esta presentacion es nueva debido a que hasta la semana pasado los reporto PNUD:</t>
  </si>
  <si>
    <t>INTERESES DE FONDOS EN EJECUCION EN PNUD 2013 Y 2014</t>
  </si>
  <si>
    <t>3. External professional services (EPS)-</t>
  </si>
  <si>
    <t>Program management (HIV)</t>
  </si>
  <si>
    <t>INTERESES PNUD 2013 Y 2014</t>
  </si>
  <si>
    <t>Q22015</t>
  </si>
  <si>
    <t>Saldo disponible
 Semestre 2Año 2014</t>
  </si>
  <si>
    <t>Presupuesto original
Semestre 2 Año 2014</t>
  </si>
  <si>
    <t>Destino</t>
  </si>
  <si>
    <t xml:space="preserve">Fuente </t>
  </si>
  <si>
    <t>REPROGRAMACION DEL PERIODO S3 (ENERO-JUNIO 2015)</t>
  </si>
  <si>
    <t>Monto Solicitado para pagos de Servicios de Auditoria Año 2014 y Año 2015</t>
  </si>
  <si>
    <t>Las filas Amarillas representan las actividades que estan en Curso de Compra/ Pagos.</t>
  </si>
  <si>
    <t>Monto que sera liberado para utilizar en 2017 y 2018</t>
  </si>
  <si>
    <t xml:space="preserve">Cantidades No Adquiridas </t>
  </si>
  <si>
    <t>Listado consolidado de productos de salud</t>
  </si>
  <si>
    <t>Productos de salud prioritarios</t>
  </si>
  <si>
    <t>Precio Unitario (USD)</t>
  </si>
  <si>
    <t>Presupuesto</t>
  </si>
  <si>
    <t>RP</t>
  </si>
  <si>
    <t>Año 2</t>
  </si>
  <si>
    <t xml:space="preserve">ADN proviral </t>
  </si>
  <si>
    <t>set</t>
  </si>
  <si>
    <t>Cartuchos GeneXpert</t>
  </si>
  <si>
    <t>Sub-Total</t>
  </si>
  <si>
    <t>Otros productos de salud (equipamiento menor e insumos)</t>
  </si>
  <si>
    <t>tubo+soporte +aguja</t>
  </si>
  <si>
    <t>1 frasco de 50g /medicamento</t>
  </si>
  <si>
    <t>Sub-total</t>
  </si>
  <si>
    <t>Total productos de salud</t>
  </si>
  <si>
    <t>Recalendarizaciones Solicitadas Año 1 PNUD</t>
  </si>
  <si>
    <t>Total de Recalendarizaciones Solicitadas y Reportadas al 30 de Junio de 2015/ MINSAL-PNUD (Suma V+W)</t>
  </si>
  <si>
    <t>TUBO CRIOVIAL  (12 - 13) x (90 - 91) MILIMETROS, FONDO REDONDO, CAPACIDAD (4.5 - 5) MILILITROS,UNIDADES.</t>
  </si>
  <si>
    <t>TUBO CRIOGENICO DE POLIPROPILENO, TRANSPARENTE CON PAREDES FINAS PARA PCR, LIBRE DE DNASA, RNASA, PIOGENOS Y METALES, CAPACIDAD 2 MILILITROS, CON TAPON DE ROSCA.</t>
  </si>
  <si>
    <t>PIPETA TRANSFER DE POLIPROPILENO O POLIESTIRENO,                                                                                                                               TALLO LARGO, CAPACIDAD (3 - 4) MILILITROS, CON BULBO, DESCARTABLE,ESTÉRIL EMPAQUE PRIMARIO INDIVIDUAL.</t>
  </si>
  <si>
    <t>Actualizado al 18 de Septiembre  2015</t>
  </si>
  <si>
    <t>Intervención ITS</t>
  </si>
  <si>
    <t>Monitoreo al Tratamiento de ARV</t>
  </si>
  <si>
    <t>Pruebas Rápidas en Sangre para VIH</t>
  </si>
  <si>
    <t>Total de Compromisos</t>
  </si>
  <si>
    <t>MINSAL - Medicamentos</t>
  </si>
  <si>
    <t>MINSAL - Productos de Salud y Otros</t>
  </si>
  <si>
    <t>MINSAL - Totales</t>
  </si>
  <si>
    <t>Plan de Compras Versión Actualizada 18 de Septiembre 2015</t>
  </si>
  <si>
    <t>Monto de Recalendarizaciones PSM</t>
  </si>
  <si>
    <t>Variación</t>
  </si>
  <si>
    <r>
      <t xml:space="preserve">$ 5,419.20 Son Compras de Pruebas de Histoplasma.  Set de 100 que se estan realizando en MINSAL, para cubrir necesidades de la Intervención </t>
    </r>
    <r>
      <rPr>
        <b/>
        <sz val="11"/>
        <color indexed="8"/>
        <rFont val="Arial"/>
        <family val="2"/>
      </rPr>
      <t>"Prevencion, diagnostico y tratamiento de infecciones oportunistas" -</t>
    </r>
    <r>
      <rPr>
        <sz val="11"/>
        <color theme="1"/>
        <rFont val="Arial"/>
        <family val="2"/>
      </rPr>
      <t>Fila 73 del PSM</t>
    </r>
  </si>
  <si>
    <r>
      <t xml:space="preserve">$ 53,280.00 son compras  realizadas a travez del MINSAL de Reactivos para genotipo que son necesarias para la Intervención del </t>
    </r>
    <r>
      <rPr>
        <b/>
        <sz val="11"/>
        <color indexed="8"/>
        <rFont val="Arial"/>
        <family val="2"/>
      </rPr>
      <t>"Monitoreo al Tratamiento de ARV"</t>
    </r>
    <r>
      <rPr>
        <sz val="11"/>
        <color theme="1"/>
        <rFont val="Arial"/>
        <family val="2"/>
      </rPr>
      <t>-Fila 61 del PSM</t>
    </r>
  </si>
  <si>
    <t>Explicación de la Variación</t>
  </si>
  <si>
    <r>
      <t xml:space="preserve">$ 208,074.25 Son compras de ARV que fueron pagados durante el Semestre 1 (Enero-Junio 2015)  por  MINSAL, para cubrir necesidades de la Intervención </t>
    </r>
    <r>
      <rPr>
        <b/>
        <sz val="11"/>
        <color indexed="8"/>
        <rFont val="Arial"/>
        <family val="2"/>
      </rPr>
      <t>"Tratamiento Antiretroviral" -</t>
    </r>
    <r>
      <rPr>
        <sz val="11"/>
        <color theme="1"/>
        <rFont val="Arial"/>
        <family val="2"/>
      </rPr>
      <t>Fila 56 del PSM</t>
    </r>
  </si>
  <si>
    <r>
      <t>$ 64,470.89 Son Compras de Consumibles para cubrir necesidades de la Intevención</t>
    </r>
    <r>
      <rPr>
        <b/>
        <sz val="11"/>
        <color indexed="8"/>
        <rFont val="Arial"/>
        <family val="2"/>
      </rPr>
      <t xml:space="preserve"> "Diagnóstico y tratamiento de ITSs en las VICITS"</t>
    </r>
    <r>
      <rPr>
        <sz val="11"/>
        <color theme="1"/>
        <rFont val="Arial"/>
        <family val="2"/>
      </rPr>
      <t xml:space="preserve"> (Sistema de Sangrado, Pipetas, Crioviales-Filas 107 a 112) del PSM,  que se estan realizando en el PNUD correspondientes al Año 2014</t>
    </r>
  </si>
  <si>
    <r>
      <t>(-)$ 16,027.61 Son Compras de Mascarillas que se han comprando en PNUD  para cubrir necesidades de la Intervención "</t>
    </r>
    <r>
      <rPr>
        <b/>
        <sz val="11"/>
        <color indexed="8"/>
        <rFont val="Arial"/>
        <family val="2"/>
      </rPr>
      <t>TB/HIV collaborative intervention"</t>
    </r>
    <r>
      <rPr>
        <sz val="11"/>
        <color theme="1"/>
        <rFont val="Arial"/>
        <family val="2"/>
      </rPr>
      <t>-Fila 130 del PSM</t>
    </r>
  </si>
  <si>
    <r>
      <t xml:space="preserve">$ 578,223.31 Monto correspondiente a Carga Viral que se ha adquirido del Año 2015 y fue reportada al 30 de Junio 2015 como Compromisos, forman parte de la Intervención  </t>
    </r>
    <r>
      <rPr>
        <b/>
        <sz val="11"/>
        <color indexed="8"/>
        <rFont val="Arial"/>
        <family val="2"/>
      </rPr>
      <t xml:space="preserve">"Monitoreo al Tratamiento de ARV"- </t>
    </r>
    <r>
      <rPr>
        <sz val="11"/>
        <color theme="1"/>
        <rFont val="Arial"/>
        <family val="2"/>
      </rPr>
      <t>Fila 63</t>
    </r>
  </si>
  <si>
    <r>
      <t>$ 1,215.88 Son Compras de Pruebas de Histoplasma.  Set de 100 que se estan realizando en PNUD, para cubrir necesidades de la Intervención</t>
    </r>
    <r>
      <rPr>
        <b/>
        <sz val="11"/>
        <color indexed="8"/>
        <rFont val="Arial"/>
        <family val="2"/>
      </rPr>
      <t xml:space="preserve"> "Prevencion, diagnostico y tratamiento de infecciones oportunistas"</t>
    </r>
    <r>
      <rPr>
        <sz val="11"/>
        <color theme="1"/>
        <rFont val="Arial"/>
        <family val="2"/>
      </rPr>
      <t xml:space="preserve"> -Fila 73 del PSM</t>
    </r>
  </si>
  <si>
    <t>Monto Disponible al  30- Junio 2015</t>
  </si>
  <si>
    <t>Monto Solicitado para pagos de Servicios de Auditoria de los procesos de compra que se realizan a travez del Convenio NIM en PNUD del Año 2014 y Año 2015</t>
  </si>
  <si>
    <t xml:space="preserve">Justificación </t>
  </si>
  <si>
    <t>Justificación</t>
  </si>
  <si>
    <t>Este monto corresponde a Compras de Equipos Refrigerantes como parte del Fortalecimiento a Almacenes, para garantizar cadena de frío de reactivos y medicamentos que lo requieran, este proceso de Compra se esta realizando atraves del Mercado Bursatil.</t>
  </si>
  <si>
    <t>Este monto corresponde a Compras de Equipos para Fortalecer Clínicas VICITS dentro del cual estan los Electrocauterios que se encuentran en proceso de entrega en el último trimestre del año por parte del suministrante; estos equipos son necesarios para brindar tratamiento a Condilomas que es una ITS que es muy frecuente en esta población y de no ser tratada puede complicarse con cáncer.</t>
  </si>
  <si>
    <t>Este monto ha sido pagado durante el Semestre 2 (Julio a Diciembre 2015) como parte de gastos de internación de ARV.</t>
  </si>
  <si>
    <t>Este monto se solicita para compra de Reactivos ADN Proviral que son necesarios para el diagnóstico en recien nacidos, este proceso se ha solicitado por compra directa a la UACI, se estima que dicha compra se realizara en el último trimestre del año.</t>
  </si>
  <si>
    <t>Este monto se solicita para compra de Reactivos de Treponema  FTA-ABS para Sifilis, el cual es necesario para confirmar flujograma diagnóstico en Poblaciones PEMAR;  este proceso se ha solicitado por compra directa a la UACI, se estima que dicha compra se realizara en el último trimestre del año.</t>
  </si>
  <si>
    <t>Este monto se solicita para compra de Reactivos para diagnóstico de Treponema para  Sifilis, el cual es necesario para iniciar el flujograma diagnóstico en Poblaciones PEMAR;  este proceso se hara a traves de Licitación Abierta, se estima que dicha compra se realizara en el último trimestre del año.</t>
  </si>
  <si>
    <t>Este monto se solicita para compra de Reactivos para diagnóstico de Treponema para  Sifilis, el cual es necesario para iniciar el flujograma diagnóstico en Poblaciones PEMAR;  este proceso se hara a traves de Licitación Abierta, se estima que dicha compra se realizara en el último trimestre del año.
Ademas se esta comprando consumibles para ITS que sirven para tomar las muestras y referir a los Laboratorios de la Red.</t>
  </si>
  <si>
    <t>Este monto corresponde a Compras de Reactivos para Hepatitis B y Hepatitis C. y Pruebas Rápidas VIH en Sangre para el componente de Profilaxis Pos exposición estas son necesarias debido al aumento en abusos sexuales; dichas compras se estiman realizar en el último trimestre del año.</t>
  </si>
  <si>
    <t>Este monto corresponde a compras realizadas de Carga Viral el cual se ha pagado en el mes de Septiembre 2015.</t>
  </si>
  <si>
    <t>Este monto  corresponde a Reactivos para confirmaciones de Hepatitis B y C,  en Población PEMAR y concluir flujogramas diagnótico vigente; ademas compras de Reactivos neumosistis e Histoplasmosis que son importantes para establecer diagnóstico de las principales patologias que infectan a personas con VIH.</t>
  </si>
  <si>
    <t>Este monto es necesario para adquirir contenedores bioinfeccisos que se necesitan para los puntos de toma de muestras de las embarazadas.</t>
  </si>
  <si>
    <t>Estos montos se han solicitado para compra de Reactivos de Genotipage y consumibles que son necesarios para el Estudio de Resistencia Primaria a los antirretrovirales, dichas compras se estan realizando a travez del PNUD.</t>
  </si>
  <si>
    <t>Compras de Reactivos de Genotipo que pertenecen al 2014 y se estan realizando en PNUD, para monitoreo al tratamiento de ARV.</t>
  </si>
  <si>
    <r>
      <t>(-)$ 17,500.00 Son Compras de Mascarillas que se estan comprando en MINSAL  para cubrir necesidades de la Intervención</t>
    </r>
    <r>
      <rPr>
        <b/>
        <sz val="11"/>
        <color indexed="8"/>
        <rFont val="Arial"/>
        <family val="2"/>
      </rPr>
      <t xml:space="preserve"> "TB/HIV collaborative intervention"-</t>
    </r>
    <r>
      <rPr>
        <sz val="11"/>
        <color theme="1"/>
        <rFont val="Arial"/>
        <family val="2"/>
      </rPr>
      <t>Fila 130 del PSM</t>
    </r>
  </si>
  <si>
    <r>
      <t>(-) $ 49,120.48 Son Compras de Consumibles para cubrir necesidades de la Intevención</t>
    </r>
    <r>
      <rPr>
        <b/>
        <sz val="11"/>
        <color indexed="8"/>
        <rFont val="Arial"/>
        <family val="2"/>
      </rPr>
      <t xml:space="preserve"> "Diagnóstico y tratamiento de ITSs en las VICITS"</t>
    </r>
    <r>
      <rPr>
        <sz val="11"/>
        <color theme="1"/>
        <rFont val="Arial"/>
        <family val="2"/>
      </rPr>
      <t xml:space="preserve"> (Sistema de Sangrado, Pipetas, Crioviales-Filas 107 a 112) del PSM,  que se estan realizando en el MINSAL.
(+) $15,861.12 Son Compras que esta realizando el PNUD de Contenedores de descarte Bioinfeccioso que se derivan del Proyecto SSF</t>
    </r>
  </si>
  <si>
    <t>Es te monto corresponde a  consumibles para ITS que sirven para tomar las muestras y referir a los Laboratorios de la Red, dicha compra se han realizado a traves de PNUD.
Ademas adquisición de contenedores para descarte seguro de corto punzantes.</t>
  </si>
  <si>
    <t>Compras de Reactivos  Histoplasmosis que son importantes para establecer diagnóstico de las principales patologias que infectan a personas con VIH.</t>
  </si>
  <si>
    <t>Este monto incluye adquisicion de Mascarillas y gafas que se han realizado a travez de compra directa, las cuales se requieren para el componente de Coinfección que son necesarias para protección del personal que realiza tomas de muestras.</t>
  </si>
  <si>
    <t>Este monto corresponde a adquisición de cremas vaginales para población PEMAR, dicho proceso se estima se finalizara durante el último trimestre del año 2015.</t>
  </si>
  <si>
    <t>Este monto se utilizo para la compra de ARV pendiente del S1, a traves de OPS.</t>
  </si>
  <si>
    <t>Este monto corresponde a compras de medicamentos para Infecciones Oportunistas en personas con VIH, la cual se esta realizando bajo la modalidad de compras de Emergencia.</t>
  </si>
  <si>
    <t>Este monto corresponde a la adquisición de Sucedaneos de Leche Materna que es necesaria para evitar la Transmision Madre-Hijo; dicho proceso se esta realizando a traves del Mercado Bursatil.</t>
  </si>
  <si>
    <t>Este monto corresponde al Fortalecimiento de los sistemas de Monitoreo de las Redes del SUMEVE y SEPS, los cuales son necesarios para dar respuesta al seguimiento de los indicadores.</t>
  </si>
  <si>
    <t>Este monto se ha adquirido promocionales para los Grupos de Apoyo en los PL</t>
  </si>
  <si>
    <t>Este proceso es para imprimir Libretas de Registro y descarte del componente de Coinfección; se estima adquirir en el último trimestre del año 2015</t>
  </si>
  <si>
    <t>Este monto corresponde a la compra de impresor y papeleria para las necesidades administrativas del Proyecto; estos productos ya se recibieron en el Almacen.</t>
  </si>
  <si>
    <t>Este monto corresponde al Salario del Personal de Apoyo en PNUD para el año 2015.</t>
  </si>
  <si>
    <t>Este monto corresponde a costos de pasantía en curso de Salud de (Prevención y Atención) Salud  Anal a Clínica La Condesa en DF México, la que es necesaria para fortalecimiento de capacidades a médicos que brindan atención en clinicas VICITS a poblaciones metas (incluye costos de boleto aéreo, gastos de alojamiento y alimentación), este monto forma parte de la reprogramación aprobada por Fondo Mundial en el mes de agosto 2015.</t>
  </si>
  <si>
    <t>Se adquiriran 7 aires acondicionados a $2,000.00 monto total, $ 14,000.00 los cuales se distribuiran para fortalecer siete laboratorios de UCSF de la Region Oriental los cuales geográficamente estan ubicados en zona climaticas muy altas de hasta 41°C).</t>
  </si>
  <si>
    <t xml:space="preserve">Esta linea corresponde para la impresión de 1000 ejemplares de la nueva Guia de Atencion actualizada de acuerdo a la implementacion de la estrategia 2,0 de la OPS, a un costo estimado de $ 4.00 cada una. Esta actividad es necesaria para distribuirlos para actualización y fortalecimiento del personal que brinda atención en los diferentes niveles de atención a la población afectada por el VIH.  </t>
  </si>
  <si>
    <t>El monto de $16,027.61 corresponden a la compra de marcarillas cuya entrega será realizada en el último trimestre del año, el monto de $13,424.05 corresponde a la compra de reactivos de Gene Xpert cuya adquisición está en proceso esperando que la entrega se realice en el primer trimestre del año. Ambos productos son necesarios para cumplimiento de flujograma diagnóstico a personas coinfectadas TB/VIH.</t>
  </si>
  <si>
    <t>Esta disponibilidad presupuestaria  total de $21,500 se solicita autorizacion para que sean utilizados para la compra de lo siguiente:5 Equipos de cómputo portátil,a $1,200.00 total $ $6,000.00 5 cañones multimedia a $ 1000,00 c/u total $5,000.00 estos seran distribuidos uno de cada uno por Region de salud que hacen monitoreo en VIH.  y para los laboratorios de las clínicas VICITS se adquiriran 6 computadoras de escritorio con su mesa e impresor las cuales se distribuiran   una en  Zacatecoluca, una Cojutepeque, una Aguilares y tres en la vicits de chalatenango monto por cada una $ 1,500.00 total $ 9,000.00.</t>
  </si>
  <si>
    <t>Este monto incluye adquisición de Refrigeradoras, hieleras y 10 termómetros que son necesarias para los puntos de toma de muestra de las embarazadas que garantizan aumento de cobertura en este grupo de embarazadas, fortaleciendo el componente de ETMI, para traslado y conservación de muestras para   pruebas de VIH para embarazadas, en establecimientos donde no hay laboratorios  con el objetivo de mejorar  la  captación de embarazadas en puntos distantes y no perder la oportunidad de realizarles la prueba de VIH. Las refrigeradoras ya no se adquiriran debido a que con la compra anteriro se logro obtener economias debido a que se obtuvo una oferta menor a estimada y se compraron las 50 que se requerian.</t>
  </si>
  <si>
    <t>Este monto sera utilizado para cubrir los gastos de ISS y del GMS según lo aprobado por el Fondo Mundial, basado en las compras pendientes de ser ejecutados.</t>
  </si>
  <si>
    <t xml:space="preserve">Con este monto se remplazara la plante electrica de la Unidad móvil de VIH la cual cumplió su tiempo de vida util, es un laboratorio móvil con el que se realizan pruebas en centros penales y en poblaciones claves. Además se adquiriran 16 aires acondicionados los cuales serán instalados: 1 Centro Penal de Mariona, 1 en UCSF Mejicanos que presta atención a la población PL. Otros 5 en los siguientes Hospitales:  Sensuntepeque ( 1 Sala de reuniones de los grupos de apoyo, 2 para el área de la clínica de atención integral), 2 Aires acondicionados para Hospitales Rosales y Neumológico ( Área de Infectologia) y 8 para las UCSF que trabajan  apoyando la respuesta al VIH (Almacén y farmacia de la UCSF Candelaria de la frontera, Farmacia de la Chinamas, Sala de reunión de los grupos de apoyo de la UCSF Carlos Borromeo, Farmacia y consultorio de la UCSF San Lorenzo, Farmacia y sala de reuniones de grupos de apoyo en la UCSF de Pasaquina, Almacén de medicamentos y condones de la UCSF de Puerto Acajutla). Estos son necesarios para brindar condiciones optimas de atención a las poblaciones afectadas por el VIH, poblaciones claves, conservación de medicamentos debido a las altas temperaturas a nivel nacional durante la mayoría del año. </t>
  </si>
  <si>
    <t xml:space="preserve">Este monto será  utiilizado para realizar  adquisición de material para Recorrido Participativo en Prevención del VIH que incluye impresiones de material educativo, el cual es necesario para trabajar con adolescentes y jóvenes de población clave. </t>
  </si>
  <si>
    <t xml:space="preserve">Es te monto corresponde a las impresiones de los formularios de recolección de información que alimentan el SUMEVE y el SEPS que son los sistemas de información que nos permiten dar seguimiento a los indicadores. Estos formularios son necesarios para el registro y captación de las personas tamizadas, diagnóstico y seguimiento de VIH, registro de pre y post consejerías que serán distribuidos a nivel nacional en los establecimientos de primero, segundo y tercer nivel. Son instrumentos utilizados para la vigilancia epidemiológica rutinaria. </t>
  </si>
  <si>
    <t xml:space="preserve">Esta línea se utilizará para la adquisición de papelería que se utiliza para el fortalecimiento de las Unidades Móviles y del Programa Nacional de VIH, forma parte de procesos que quedaron adjudicados a finales del año 2014 y forman parte del Plan de Compras 2015 del convenio NIM. Estos insumos se necesitan para correspondencia, registro del trabajo diario del PN y las Unidades móviles.  </t>
  </si>
  <si>
    <t>Este monto incluye US$3,150 que fueron aprobados por FM para completar la compra  de pruebas de genotipaje (ver anexo 2 Rprogramacion condiiconada decision Fila 53)</t>
  </si>
  <si>
    <t>Montos correspondientes a compras de reactivos de genotipo que se encuentran en proceso de adjudicación en PNUD y que forman parte de los US$ 142,657 de la fila 80</t>
  </si>
  <si>
    <t xml:space="preserve">PNUD </t>
  </si>
  <si>
    <t xml:space="preserve">MINSAL </t>
  </si>
  <si>
    <t xml:space="preserve">Productos salud </t>
  </si>
  <si>
    <t xml:space="preserve">Otros productos </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</si>
</sst>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2]* #,##0.00_);_([$€-2]* \(#,##0.00\);_([$€-2]* \-??_)"/>
    <numFmt numFmtId="181" formatCode="#,##0.00\ ;\-#,##0.00\ ;\-#\ ;@\ "/>
    <numFmt numFmtId="182" formatCode="&quot; $&quot;#,##0.00\ ;&quot; $(&quot;#,##0.00\);&quot; $-&quot;#\ ;@\ "/>
    <numFmt numFmtId="183" formatCode="_(\$* #,##0.00_);_(\$* \(#,##0.00\);_(\$* \-??_);_(@_)"/>
    <numFmt numFmtId="184" formatCode="[$$-409]#,##0.00;[Red]\-[$$-409]#,##0.00"/>
    <numFmt numFmtId="185" formatCode="_ &quot;$U &quot;* #,##0.00_ ;_ &quot;$U &quot;* \-#,##0.00_ ;_ &quot;$U &quot;* \-??_ ;_ @_ "/>
    <numFmt numFmtId="186" formatCode="000"/>
    <numFmt numFmtId="187" formatCode="_ * #,##0.00_ ;_ * \-#,##0.00_ ;_ * \-??_ ;_ @_ "/>
    <numFmt numFmtId="188" formatCode="_ * #,##0_ ;_ * \-#,##0_ ;_ * \-??_ ;_ @_ "/>
    <numFmt numFmtId="189" formatCode="#.##0"/>
    <numFmt numFmtId="190" formatCode="#.##000"/>
    <numFmt numFmtId="191" formatCode="[$$-440A]#,##0.00"/>
    <numFmt numFmtId="192" formatCode="_-* #,##0.00_-;\-* #,##0.00_-;_-* \-??_-;_-@_-"/>
    <numFmt numFmtId="193" formatCode="_(* #,##0.00_);_(* \(#,##0.00\);_(* \-??_);_(@_)"/>
    <numFmt numFmtId="194" formatCode="0.0"/>
    <numFmt numFmtId="195" formatCode="#,000"/>
    <numFmt numFmtId="196" formatCode="_ &quot;$U &quot;* #,##0.000_ ;_ &quot;$U &quot;* \-#,##0.000_ ;_ &quot;$U &quot;* \-??_ ;_ @_ "/>
    <numFmt numFmtId="197" formatCode="_ &quot;$U &quot;* #,##0.0000_ ;_ &quot;$U &quot;* \-#,##0.0000_ ;_ &quot;$U &quot;* \-??_ ;_ @_ "/>
    <numFmt numFmtId="198" formatCode="_ &quot;$U &quot;* #,##0.00000_ ;_ &quot;$U &quot;* \-#,##0.00000_ ;_ &quot;$U &quot;* \-??_ ;_ @_ "/>
    <numFmt numFmtId="199" formatCode="_(* #,##0.00000_);_(* \(#,##0.00000\);_(* &quot;-&quot;?????_);_(@_)"/>
    <numFmt numFmtId="200" formatCode="0.000"/>
    <numFmt numFmtId="201" formatCode="_-&quot;$&quot;* #,##0.0_-;\-&quot;$&quot;* #,##0.0_-;_-&quot;$&quot;* &quot;-&quot;??_-;_-@_-"/>
    <numFmt numFmtId="202" formatCode="_-&quot;$&quot;* #,##0_-;\-&quot;$&quot;* #,##0_-;_-&quot;$&quot;* &quot;-&quot;??_-;_-@_-"/>
  </numFmts>
  <fonts count="90">
    <font>
      <sz val="11"/>
      <color theme="1"/>
      <name val="Arial"/>
      <family val="2"/>
    </font>
    <font>
      <sz val="11"/>
      <color indexed="8"/>
      <name val="Calibri"/>
      <family val="2"/>
    </font>
    <font>
      <sz val="11"/>
      <color indexed="8"/>
      <name val="Arial"/>
      <family val="2"/>
    </font>
    <font>
      <b/>
      <sz val="12"/>
      <name val="Arial"/>
      <family val="2"/>
    </font>
    <font>
      <sz val="12"/>
      <name val="Arial"/>
      <family val="2"/>
    </font>
    <font>
      <b/>
      <sz val="26"/>
      <color indexed="10"/>
      <name val="Arial"/>
      <family val="2"/>
    </font>
    <font>
      <sz val="16"/>
      <color indexed="8"/>
      <name val="Arial"/>
      <family val="2"/>
    </font>
    <font>
      <sz val="22"/>
      <color indexed="8"/>
      <name val="Arial"/>
      <family val="2"/>
    </font>
    <font>
      <b/>
      <sz val="18"/>
      <color indexed="10"/>
      <name val="Arial"/>
      <family val="2"/>
    </font>
    <font>
      <b/>
      <sz val="18"/>
      <color indexed="8"/>
      <name val="Georgia"/>
      <family val="1"/>
    </font>
    <font>
      <b/>
      <sz val="12"/>
      <color indexed="8"/>
      <name val="Georgia"/>
      <family val="1"/>
    </font>
    <font>
      <b/>
      <sz val="9"/>
      <color indexed="60"/>
      <name val="Georgia"/>
      <family val="1"/>
    </font>
    <font>
      <b/>
      <sz val="11"/>
      <color indexed="8"/>
      <name val="Georgia"/>
      <family val="1"/>
    </font>
    <font>
      <b/>
      <sz val="12"/>
      <color indexed="10"/>
      <name val="Georgia"/>
      <family val="1"/>
    </font>
    <font>
      <b/>
      <sz val="11"/>
      <color indexed="8"/>
      <name val="Arial"/>
      <family val="2"/>
    </font>
    <font>
      <sz val="11"/>
      <name val="Arial"/>
      <family val="2"/>
    </font>
    <font>
      <sz val="10"/>
      <color indexed="8"/>
      <name val="Arial"/>
      <family val="2"/>
    </font>
    <font>
      <b/>
      <sz val="20"/>
      <color indexed="8"/>
      <name val="Arial"/>
      <family val="2"/>
    </font>
    <font>
      <i/>
      <sz val="10"/>
      <color indexed="8"/>
      <name val="Arial"/>
      <family val="2"/>
    </font>
    <font>
      <b/>
      <sz val="14"/>
      <color indexed="8"/>
      <name val="Arial"/>
      <family val="2"/>
    </font>
    <font>
      <sz val="20"/>
      <color indexed="8"/>
      <name val="Arial"/>
      <family val="2"/>
    </font>
    <font>
      <b/>
      <sz val="16"/>
      <color indexed="8"/>
      <name val="Arial"/>
      <family val="2"/>
    </font>
    <font>
      <b/>
      <sz val="11"/>
      <color indexed="10"/>
      <name val="Arial"/>
      <family val="2"/>
    </font>
    <font>
      <b/>
      <sz val="16"/>
      <color indexed="9"/>
      <name val="Arial"/>
      <family val="2"/>
    </font>
    <font>
      <b/>
      <sz val="24"/>
      <color indexed="8"/>
      <name val="Arial"/>
      <family val="2"/>
    </font>
    <font>
      <i/>
      <sz val="11"/>
      <color indexed="8"/>
      <name val="Arial"/>
      <family val="2"/>
    </font>
    <font>
      <sz val="11"/>
      <color indexed="10"/>
      <name val="Arial"/>
      <family val="2"/>
    </font>
    <font>
      <sz val="10"/>
      <name val="Arial"/>
      <family val="2"/>
    </font>
    <font>
      <sz val="10"/>
      <name val="Calibri"/>
      <family val="2"/>
    </font>
    <font>
      <sz val="10"/>
      <name val="Arial Unicode MS"/>
      <family val="2"/>
    </font>
    <font>
      <b/>
      <sz val="11"/>
      <color indexed="8"/>
      <name val="Calibri"/>
      <family val="2"/>
    </font>
    <font>
      <b/>
      <sz val="18"/>
      <name val="Arial"/>
      <family val="2"/>
    </font>
    <font>
      <b/>
      <sz val="10"/>
      <name val="Arial"/>
      <family val="2"/>
    </font>
    <font>
      <sz val="10"/>
      <color indexed="10"/>
      <name val="Arial"/>
      <family val="2"/>
    </font>
    <font>
      <sz val="20"/>
      <name val="Arial"/>
      <family val="2"/>
    </font>
    <font>
      <sz val="10"/>
      <color indexed="12"/>
      <name val="Arial"/>
      <family val="2"/>
    </font>
    <font>
      <b/>
      <sz val="10"/>
      <color indexed="10"/>
      <name val="Arial"/>
      <family val="2"/>
    </font>
    <font>
      <sz val="10"/>
      <color indexed="20"/>
      <name val="Arial"/>
      <family val="2"/>
    </font>
    <font>
      <sz val="9"/>
      <name val="Arial"/>
      <family val="2"/>
    </font>
    <font>
      <sz val="9"/>
      <color indexed="8"/>
      <name val="Arial"/>
      <family val="2"/>
    </font>
    <font>
      <sz val="11"/>
      <name val="Calibri"/>
      <family val="2"/>
    </font>
    <font>
      <sz val="10"/>
      <color indexed="9"/>
      <name val="Arial"/>
      <family val="2"/>
    </font>
    <font>
      <b/>
      <sz val="12"/>
      <color indexed="8"/>
      <name val="Calibri"/>
      <family val="2"/>
    </font>
    <font>
      <b/>
      <sz val="10"/>
      <color indexed="9"/>
      <name val="Trebuchet MS"/>
      <family val="2"/>
    </font>
    <font>
      <sz val="10"/>
      <color indexed="8"/>
      <name val="Trebuchet MS"/>
      <family val="2"/>
    </font>
    <font>
      <b/>
      <sz val="10"/>
      <color indexed="9"/>
      <name val="Arial"/>
      <family val="2"/>
    </font>
    <font>
      <b/>
      <sz val="9"/>
      <name val="Tahoma"/>
      <family val="2"/>
    </font>
    <font>
      <sz val="9"/>
      <name val="Tahoma"/>
      <family val="2"/>
    </font>
    <font>
      <b/>
      <sz val="11"/>
      <color indexed="9"/>
      <name val="Arial"/>
      <family val="2"/>
    </font>
    <font>
      <sz val="11"/>
      <color indexed="9"/>
      <name val="Arial"/>
      <family val="2"/>
    </font>
    <font>
      <b/>
      <i/>
      <sz val="10"/>
      <color indexed="8"/>
      <name val="Arial"/>
      <family val="2"/>
    </font>
    <font>
      <b/>
      <sz val="18"/>
      <color indexed="8"/>
      <name val="Arial"/>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name val="Arial"/>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8"/>
      <name val="Tahoma"/>
      <family val="2"/>
    </font>
    <font>
      <sz val="11"/>
      <color theme="1"/>
      <name val="Calibri"/>
      <family val="2"/>
    </font>
    <font>
      <sz val="11"/>
      <color theme="0"/>
      <name val="Calibri"/>
      <family val="2"/>
    </font>
    <font>
      <b/>
      <sz val="11"/>
      <color rgb="FFFA7D00"/>
      <name val="Calibri"/>
      <family val="2"/>
    </font>
    <font>
      <sz val="11"/>
      <color rgb="FF9C0006"/>
      <name val="Calibri"/>
      <family val="2"/>
    </font>
    <font>
      <sz val="11"/>
      <color rgb="FF9C65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1"/>
      <name val="Arial"/>
      <family val="2"/>
    </font>
    <font>
      <sz val="11"/>
      <color theme="0"/>
      <name val="Arial"/>
      <family val="2"/>
    </font>
    <font>
      <b/>
      <sz val="11"/>
      <color theme="0"/>
      <name val="Arial"/>
      <family val="2"/>
    </font>
    <font>
      <b/>
      <sz val="8"/>
      <name val="Arial"/>
      <family val="2"/>
    </font>
  </fonts>
  <fills count="8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
      <patternFill patternType="solid">
        <fgColor rgb="FFF2F2F2"/>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EB9C"/>
        <bgColor indexed="64"/>
      </patternFill>
    </fill>
    <fill>
      <patternFill patternType="solid">
        <fgColor indexed="15"/>
        <bgColor indexed="64"/>
      </patternFill>
    </fill>
    <fill>
      <patternFill patternType="solid">
        <fgColor indexed="11"/>
        <bgColor indexed="64"/>
      </patternFill>
    </fill>
    <fill>
      <patternFill patternType="solid">
        <fgColor indexed="26"/>
        <bgColor indexed="64"/>
      </patternFill>
    </fill>
    <fill>
      <patternFill patternType="solid">
        <fgColor indexed="10"/>
        <bgColor indexed="64"/>
      </patternFill>
    </fill>
    <fill>
      <patternFill patternType="solid">
        <fgColor indexed="13"/>
        <bgColor indexed="64"/>
      </patternFill>
    </fill>
    <fill>
      <patternFill patternType="solid">
        <fgColor indexed="53"/>
        <bgColor indexed="64"/>
      </patternFill>
    </fill>
    <fill>
      <patternFill patternType="solid">
        <fgColor indexed="51"/>
        <bgColor indexed="64"/>
      </patternFill>
    </fill>
    <fill>
      <patternFill patternType="solid">
        <fgColor indexed="34"/>
        <bgColor indexed="64"/>
      </patternFill>
    </fill>
    <fill>
      <patternFill patternType="solid">
        <fgColor indexed="40"/>
        <bgColor indexed="64"/>
      </patternFill>
    </fill>
    <fill>
      <patternFill patternType="solid">
        <fgColor indexed="26"/>
        <bgColor indexed="64"/>
      </patternFill>
    </fill>
    <fill>
      <patternFill patternType="solid">
        <fgColor indexed="44"/>
        <bgColor indexed="64"/>
      </patternFill>
    </fill>
    <fill>
      <patternFill patternType="solid">
        <fgColor indexed="27"/>
        <bgColor indexed="64"/>
      </patternFill>
    </fill>
    <fill>
      <patternFill patternType="solid">
        <fgColor indexed="22"/>
        <bgColor indexed="64"/>
      </patternFill>
    </fill>
    <fill>
      <patternFill patternType="solid">
        <fgColor indexed="62"/>
        <bgColor indexed="64"/>
      </patternFill>
    </fill>
    <fill>
      <patternFill patternType="solid">
        <fgColor indexed="13"/>
        <bgColor indexed="64"/>
      </patternFill>
    </fill>
    <fill>
      <patternFill patternType="solid">
        <fgColor indexed="29"/>
        <bgColor indexed="64"/>
      </patternFill>
    </fill>
    <fill>
      <patternFill patternType="solid">
        <fgColor indexed="43"/>
        <bgColor indexed="64"/>
      </patternFill>
    </fill>
    <fill>
      <patternFill patternType="solid">
        <fgColor indexed="29"/>
        <bgColor indexed="64"/>
      </patternFill>
    </fill>
    <fill>
      <patternFill patternType="solid">
        <fgColor indexed="60"/>
        <bgColor indexed="64"/>
      </patternFill>
    </fill>
    <fill>
      <patternFill patternType="solid">
        <fgColor indexed="51"/>
        <bgColor indexed="64"/>
      </patternFill>
    </fill>
    <fill>
      <patternFill patternType="solid">
        <fgColor indexed="13"/>
        <bgColor indexed="64"/>
      </patternFill>
    </fill>
    <fill>
      <patternFill patternType="solid">
        <fgColor indexed="50"/>
        <bgColor indexed="64"/>
      </patternFill>
    </fill>
    <fill>
      <patternFill patternType="solid">
        <fgColor indexed="40"/>
        <bgColor indexed="64"/>
      </patternFill>
    </fill>
    <fill>
      <patternFill patternType="solid">
        <fgColor indexed="61"/>
        <bgColor indexed="64"/>
      </patternFill>
    </fill>
    <fill>
      <patternFill patternType="solid">
        <fgColor indexed="43"/>
        <bgColor indexed="64"/>
      </patternFill>
    </fill>
    <fill>
      <patternFill patternType="solid">
        <fgColor indexed="23"/>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indexed="30"/>
        <bgColor indexed="64"/>
      </patternFill>
    </fill>
    <fill>
      <patternFill patternType="solid">
        <fgColor indexed="53"/>
        <bgColor indexed="64"/>
      </patternFill>
    </fill>
    <fill>
      <patternFill patternType="solid">
        <fgColor indexed="46"/>
        <bgColor indexed="64"/>
      </patternFill>
    </fill>
    <fill>
      <patternFill patternType="solid">
        <fgColor indexed="29"/>
        <bgColor indexed="64"/>
      </patternFill>
    </fill>
    <fill>
      <patternFill patternType="solid">
        <fgColor theme="3" tint="0.39998000860214233"/>
        <bgColor indexed="64"/>
      </patternFill>
    </fill>
    <fill>
      <patternFill patternType="solid">
        <fgColor rgb="FFFFFF00"/>
        <bgColor indexed="64"/>
      </patternFill>
    </fill>
    <fill>
      <patternFill patternType="solid">
        <fgColor theme="3" tint="0.7999799847602844"/>
        <bgColor indexed="64"/>
      </patternFill>
    </fill>
    <fill>
      <patternFill patternType="solid">
        <fgColor indexed="30"/>
        <bgColor indexed="64"/>
      </patternFill>
    </fill>
  </fills>
  <borders count="78">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border>
    <border>
      <left style="medium"/>
      <right style="medium"/>
      <top style="medium"/>
      <bottom/>
    </border>
    <border>
      <left/>
      <right style="medium"/>
      <top/>
      <bottom/>
    </border>
    <border>
      <left style="medium"/>
      <right style="thin"/>
      <top style="thin"/>
      <bottom style="thin"/>
    </border>
    <border>
      <left/>
      <right style="thin"/>
      <top style="thin"/>
      <bottom style="thin"/>
    </border>
    <border>
      <left/>
      <right/>
      <top style="thin"/>
      <bottom style="thin"/>
    </border>
    <border>
      <left style="medium"/>
      <right style="medium"/>
      <top style="medium"/>
      <bottom style="thin"/>
    </border>
    <border>
      <left style="medium"/>
      <right style="medium"/>
      <top style="thin"/>
      <bottom style="thin"/>
    </border>
    <border>
      <left style="medium"/>
      <right style="thin"/>
      <top style="medium"/>
      <bottom style="medium"/>
    </border>
    <border>
      <left/>
      <right style="thin"/>
      <top style="medium"/>
      <bottom style="medium"/>
    </border>
    <border>
      <left/>
      <right/>
      <top style="medium"/>
      <bottom style="medium"/>
    </border>
    <border>
      <left style="thin"/>
      <right style="medium"/>
      <top style="medium"/>
      <bottom style="medium"/>
    </border>
    <border>
      <left style="thin"/>
      <right style="thin"/>
      <top style="medium"/>
      <bottom style="medium"/>
    </border>
    <border>
      <left style="medium"/>
      <right style="medium"/>
      <top style="thin"/>
      <bottom/>
    </border>
    <border>
      <left style="medium"/>
      <right style="medium"/>
      <top style="medium"/>
      <bottom style="medium"/>
    </border>
    <border>
      <left style="medium"/>
      <right style="thin"/>
      <top/>
      <bottom style="medium"/>
    </border>
    <border>
      <left/>
      <right style="thin"/>
      <top/>
      <bottom style="medium"/>
    </border>
    <border>
      <left/>
      <right/>
      <top/>
      <bottom style="medium"/>
    </border>
    <border>
      <left style="thin"/>
      <right/>
      <top style="medium"/>
      <bottom style="medium"/>
    </border>
    <border>
      <left style="medium"/>
      <right/>
      <top style="medium"/>
      <bottom style="medium"/>
    </border>
    <border>
      <left style="thin"/>
      <right style="thin"/>
      <top style="medium"/>
      <bottom style="thin"/>
    </border>
    <border>
      <left style="medium"/>
      <right/>
      <top style="medium"/>
      <bottom/>
    </border>
    <border>
      <left/>
      <right/>
      <top style="medium"/>
      <bottom/>
    </border>
    <border>
      <left/>
      <right style="medium"/>
      <top style="medium"/>
      <bottom/>
    </border>
    <border>
      <left/>
      <right/>
      <top style="thin"/>
      <bottom style="medium"/>
    </border>
    <border>
      <left/>
      <right style="medium"/>
      <top style="thin"/>
      <bottom style="medium"/>
    </border>
    <border>
      <left style="medium"/>
      <right/>
      <top style="medium"/>
      <bottom style="thin"/>
    </border>
    <border>
      <left style="thin"/>
      <right/>
      <top style="thin"/>
      <bottom style="thin"/>
    </border>
    <border>
      <left/>
      <right/>
      <top style="medium">
        <color indexed="58"/>
      </top>
      <bottom/>
    </border>
    <border>
      <left/>
      <right style="thin"/>
      <top style="medium"/>
      <bottom/>
    </border>
    <border>
      <left style="medium"/>
      <right style="medium"/>
      <top/>
      <bottom style="thin"/>
    </border>
    <border>
      <left style="thin"/>
      <right style="thin"/>
      <top/>
      <bottom style="medium"/>
    </border>
    <border>
      <left style="thin"/>
      <right style="medium"/>
      <top/>
      <bottom style="medium"/>
    </border>
    <border>
      <left style="thin"/>
      <right style="thin"/>
      <top/>
      <bottom style="thin"/>
    </border>
    <border>
      <left/>
      <right style="medium"/>
      <top/>
      <bottom style="medium"/>
    </border>
    <border>
      <left>
        <color indexed="63"/>
      </left>
      <right>
        <color indexed="63"/>
      </right>
      <top>
        <color indexed="63"/>
      </top>
      <bottom style="thin">
        <color indexed="58"/>
      </bottom>
    </border>
    <border>
      <left style="thin">
        <color indexed="58"/>
      </left>
      <right>
        <color indexed="63"/>
      </right>
      <top>
        <color indexed="63"/>
      </top>
      <bottom>
        <color indexed="63"/>
      </bottom>
    </border>
    <border>
      <left>
        <color indexed="63"/>
      </left>
      <right style="thin">
        <color indexed="58"/>
      </right>
      <top>
        <color indexed="63"/>
      </top>
      <bottom>
        <color indexed="63"/>
      </bottom>
    </border>
    <border>
      <left style="thin">
        <color indexed="58"/>
      </left>
      <right>
        <color indexed="63"/>
      </right>
      <top>
        <color indexed="63"/>
      </top>
      <bottom style="thin">
        <color indexed="58"/>
      </bottom>
    </border>
    <border>
      <left>
        <color indexed="63"/>
      </left>
      <right style="thin">
        <color indexed="58"/>
      </right>
      <top style="thin">
        <color indexed="58"/>
      </top>
      <bottom style="thin">
        <color indexed="58"/>
      </bottom>
    </border>
    <border>
      <left style="thin">
        <color indexed="58"/>
      </left>
      <right>
        <color indexed="63"/>
      </right>
      <top style="thin">
        <color indexed="58"/>
      </top>
      <bottom style="thin">
        <color indexed="58"/>
      </bottom>
    </border>
    <border>
      <left>
        <color indexed="63"/>
      </left>
      <right>
        <color indexed="63"/>
      </right>
      <top style="thin">
        <color indexed="58"/>
      </top>
      <bottom style="thin">
        <color indexed="58"/>
      </bottom>
    </border>
    <border>
      <left>
        <color indexed="63"/>
      </left>
      <right style="thin">
        <color indexed="58"/>
      </right>
      <top>
        <color indexed="63"/>
      </top>
      <bottom style="thin">
        <color indexed="58"/>
      </bottom>
    </border>
    <border>
      <left style="medium"/>
      <right>
        <color indexed="63"/>
      </right>
      <top/>
      <bottom style="thin"/>
    </border>
    <border>
      <left/>
      <right/>
      <top style="medium"/>
      <bottom style="thin"/>
    </border>
    <border>
      <left/>
      <right style="medium"/>
      <top style="medium"/>
      <bottom style="thin"/>
    </border>
    <border>
      <left style="thin"/>
      <right/>
      <top/>
      <bottom style="thin"/>
    </border>
    <border>
      <left style="medium"/>
      <right/>
      <top style="thin"/>
      <bottom style="medium"/>
    </border>
    <border>
      <left/>
      <right style="medium"/>
      <top style="medium"/>
      <bottom style="medium"/>
    </border>
    <border>
      <left style="medium"/>
      <right style="medium"/>
      <top/>
      <bottom/>
    </border>
    <border>
      <left style="medium"/>
      <right style="thin"/>
      <top style="thin"/>
      <bottom/>
    </border>
    <border>
      <left style="medium"/>
      <right style="thin"/>
      <top/>
      <bottom/>
    </border>
    <border>
      <left style="medium"/>
      <right style="thin"/>
      <top/>
      <bottom style="thin"/>
    </border>
    <border>
      <left style="medium"/>
      <right/>
      <top style="thin"/>
      <bottom style="thin"/>
    </border>
    <border>
      <left/>
      <right style="medium"/>
      <top style="thin"/>
      <bottom style="thin"/>
    </border>
    <border>
      <left/>
      <right/>
      <top style="medium">
        <color indexed="58"/>
      </top>
      <bottom style="medium">
        <color indexed="58"/>
      </bottom>
    </border>
    <border>
      <left style="thin"/>
      <right/>
      <top style="thin"/>
      <bottom/>
    </border>
    <border>
      <left/>
      <right/>
      <top style="thin"/>
      <bottom/>
    </border>
    <border>
      <left/>
      <right style="thin"/>
      <top style="thin"/>
      <bottom/>
    </border>
    <border>
      <left/>
      <right/>
      <top/>
      <bottom style="thin"/>
    </border>
    <border>
      <left/>
      <right style="thin"/>
      <top/>
      <bottom style="thin"/>
    </border>
    <border>
      <left style="thin"/>
      <right style="thin"/>
      <top style="thin"/>
      <bottom/>
    </border>
  </borders>
  <cellStyleXfs count="161">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61" fillId="22" borderId="0" applyNumberFormat="0" applyBorder="0" applyAlignment="0" applyProtection="0"/>
    <xf numFmtId="0" fontId="61" fillId="13" borderId="0" applyNumberFormat="0" applyBorder="0" applyAlignment="0" applyProtection="0"/>
    <xf numFmtId="0" fontId="61" fillId="14" borderId="0" applyNumberFormat="0" applyBorder="0" applyAlignment="0" applyProtection="0"/>
    <xf numFmtId="0" fontId="61" fillId="12" borderId="0" applyNumberFormat="0" applyBorder="0" applyAlignment="0" applyProtection="0"/>
    <xf numFmtId="0" fontId="61" fillId="22" borderId="0" applyNumberFormat="0" applyBorder="0" applyAlignment="0" applyProtection="0"/>
    <xf numFmtId="0" fontId="61" fillId="3"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18" borderId="0" applyNumberFormat="0" applyBorder="0" applyAlignment="0" applyProtection="0"/>
    <xf numFmtId="0" fontId="75"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0" fontId="61" fillId="22"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1" fillId="22" borderId="0" applyNumberFormat="0" applyBorder="0" applyAlignment="0" applyProtection="0"/>
    <xf numFmtId="0" fontId="61" fillId="31" borderId="0" applyNumberFormat="0" applyBorder="0" applyAlignment="0" applyProtection="0"/>
    <xf numFmtId="0" fontId="53" fillId="32" borderId="0" applyNumberFormat="0" applyBorder="0" applyAlignment="0" applyProtection="0"/>
    <xf numFmtId="0" fontId="52" fillId="33" borderId="0" applyNumberFormat="0" applyBorder="0" applyAlignment="0" applyProtection="0"/>
    <xf numFmtId="0" fontId="56" fillId="2" borderId="1" applyNumberFormat="0" applyAlignment="0" applyProtection="0"/>
    <xf numFmtId="0" fontId="76" fillId="34" borderId="2" applyNumberFormat="0" applyAlignment="0" applyProtection="0"/>
    <xf numFmtId="0" fontId="1" fillId="0" borderId="0">
      <alignment/>
      <protection/>
    </xf>
    <xf numFmtId="0" fontId="1" fillId="0" borderId="0">
      <alignment horizontal="left"/>
      <protection/>
    </xf>
    <xf numFmtId="0" fontId="58" fillId="35" borderId="3" applyNumberFormat="0" applyAlignment="0" applyProtection="0"/>
    <xf numFmtId="0" fontId="57" fillId="0" borderId="4" applyNumberFormat="0" applyFill="0" applyAlignment="0" applyProtection="0"/>
    <xf numFmtId="187" fontId="27" fillId="0" borderId="0" applyFill="0" applyBorder="0" applyAlignment="0" applyProtection="0"/>
    <xf numFmtId="187" fontId="27" fillId="0" borderId="0" applyFill="0" applyBorder="0" applyAlignment="0" applyProtection="0"/>
    <xf numFmtId="192" fontId="27" fillId="0" borderId="0" applyFill="0" applyBorder="0" applyAlignment="0" applyProtection="0"/>
    <xf numFmtId="193" fontId="27" fillId="0" borderId="0" applyFill="0" applyBorder="0" applyAlignment="0" applyProtection="0"/>
    <xf numFmtId="185" fontId="27" fillId="0" borderId="0" applyFill="0" applyBorder="0" applyAlignment="0" applyProtection="0"/>
    <xf numFmtId="185" fontId="27" fillId="0" borderId="0" applyFill="0" applyBorder="0" applyAlignment="0" applyProtection="0"/>
    <xf numFmtId="183" fontId="27" fillId="0" borderId="0" applyFill="0" applyBorder="0" applyAlignment="0" applyProtection="0"/>
    <xf numFmtId="183" fontId="27" fillId="0" borderId="0" applyFill="0" applyBorder="0" applyAlignment="0" applyProtection="0"/>
    <xf numFmtId="0" fontId="65" fillId="0" borderId="0" applyNumberFormat="0" applyFill="0" applyBorder="0" applyAlignment="0" applyProtection="0"/>
    <xf numFmtId="0" fontId="75" fillId="36" borderId="0" applyNumberFormat="0" applyBorder="0" applyAlignment="0" applyProtection="0"/>
    <xf numFmtId="0" fontId="75" fillId="37" borderId="0" applyNumberFormat="0" applyBorder="0" applyAlignment="0" applyProtection="0"/>
    <xf numFmtId="0" fontId="75" fillId="38" borderId="0" applyNumberFormat="0" applyBorder="0" applyAlignment="0" applyProtection="0"/>
    <xf numFmtId="0" fontId="75" fillId="39" borderId="0" applyNumberFormat="0" applyBorder="0" applyAlignment="0" applyProtection="0"/>
    <xf numFmtId="0" fontId="75" fillId="40" borderId="0" applyNumberFormat="0" applyBorder="0" applyAlignment="0" applyProtection="0"/>
    <xf numFmtId="0" fontId="75" fillId="41" borderId="0" applyNumberFormat="0" applyBorder="0" applyAlignment="0" applyProtection="0"/>
    <xf numFmtId="0" fontId="54" fillId="3" borderId="1" applyNumberFormat="0" applyAlignment="0" applyProtection="0"/>
    <xf numFmtId="0" fontId="1" fillId="0" borderId="0">
      <alignment/>
      <protection/>
    </xf>
    <xf numFmtId="180" fontId="27" fillId="0" borderId="0" applyFill="0" applyBorder="0" applyAlignment="0" applyProtection="0"/>
    <xf numFmtId="0" fontId="28" fillId="0" borderId="0">
      <alignment/>
      <protection/>
    </xf>
    <xf numFmtId="0" fontId="60"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77" fillId="42" borderId="0" applyNumberFormat="0" applyBorder="0" applyAlignment="0" applyProtection="0"/>
    <xf numFmtId="179" fontId="2" fillId="0" borderId="0" applyFont="0" applyFill="0" applyBorder="0" applyAlignment="0" applyProtection="0"/>
    <xf numFmtId="177" fontId="2" fillId="0" borderId="0" applyFont="0" applyFill="0" applyBorder="0" applyAlignment="0" applyProtection="0"/>
    <xf numFmtId="187" fontId="27" fillId="0" borderId="0" applyFill="0" applyBorder="0" applyAlignment="0" applyProtection="0"/>
    <xf numFmtId="181" fontId="1" fillId="0" borderId="0">
      <alignment/>
      <protection/>
    </xf>
    <xf numFmtId="44" fontId="2" fillId="0" borderId="0" applyFont="0" applyFill="0" applyBorder="0" applyAlignment="0" applyProtection="0"/>
    <xf numFmtId="176" fontId="2" fillId="0" borderId="0" applyFont="0" applyFill="0" applyBorder="0" applyAlignment="0" applyProtection="0"/>
    <xf numFmtId="44" fontId="27" fillId="0" borderId="0" applyFill="0" applyBorder="0" applyAlignment="0" applyProtection="0"/>
    <xf numFmtId="194" fontId="27" fillId="0" borderId="0" applyFill="0" applyBorder="0" applyAlignment="0" applyProtection="0"/>
    <xf numFmtId="194" fontId="27" fillId="0" borderId="0" applyFill="0" applyBorder="0" applyAlignment="0" applyProtection="0"/>
    <xf numFmtId="182" fontId="1" fillId="0" borderId="0">
      <alignment/>
      <protection/>
    </xf>
    <xf numFmtId="182" fontId="1" fillId="0" borderId="0">
      <alignment/>
      <protection/>
    </xf>
    <xf numFmtId="185" fontId="27" fillId="0" borderId="0" applyFill="0" applyBorder="0" applyAlignment="0" applyProtection="0"/>
    <xf numFmtId="0" fontId="78" fillId="43" borderId="0" applyNumberFormat="0" applyBorder="0" applyAlignment="0" applyProtection="0"/>
    <xf numFmtId="0" fontId="1" fillId="0" borderId="0">
      <alignment/>
      <protection/>
    </xf>
    <xf numFmtId="0" fontId="1" fillId="0" borderId="0">
      <alignment/>
      <protection/>
    </xf>
    <xf numFmtId="0" fontId="27" fillId="0" borderId="0">
      <alignment/>
      <protection/>
    </xf>
    <xf numFmtId="0" fontId="1" fillId="0" borderId="0">
      <alignment/>
      <protection/>
    </xf>
    <xf numFmtId="0" fontId="28" fillId="0" borderId="0">
      <alignment/>
      <protection/>
    </xf>
    <xf numFmtId="0" fontId="27" fillId="0" borderId="0">
      <alignment/>
      <protection/>
    </xf>
    <xf numFmtId="0" fontId="27" fillId="0" borderId="0">
      <alignment/>
      <protection/>
    </xf>
    <xf numFmtId="0" fontId="2" fillId="0" borderId="0">
      <alignment/>
      <protection/>
    </xf>
    <xf numFmtId="0" fontId="2" fillId="0" borderId="0">
      <alignment/>
      <protection/>
    </xf>
    <xf numFmtId="0" fontId="28" fillId="0" borderId="0">
      <alignment/>
      <protection/>
    </xf>
    <xf numFmtId="0" fontId="29" fillId="0" borderId="0">
      <alignment/>
      <protection/>
    </xf>
    <xf numFmtId="0" fontId="28" fillId="0" borderId="0">
      <alignment/>
      <protection/>
    </xf>
    <xf numFmtId="0" fontId="1" fillId="0" borderId="0">
      <alignment/>
      <protection/>
    </xf>
    <xf numFmtId="0" fontId="27"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28" fillId="0" borderId="0">
      <alignment/>
      <protection/>
    </xf>
    <xf numFmtId="0" fontId="1" fillId="0" borderId="0">
      <alignment/>
      <protection/>
    </xf>
    <xf numFmtId="0" fontId="27" fillId="0" borderId="0">
      <alignment/>
      <protection/>
    </xf>
    <xf numFmtId="0" fontId="28" fillId="0" borderId="0">
      <alignment/>
      <protection/>
    </xf>
    <xf numFmtId="0" fontId="1" fillId="0" borderId="0">
      <alignment/>
      <protection/>
    </xf>
    <xf numFmtId="0" fontId="1" fillId="0" borderId="0">
      <alignment/>
      <protection/>
    </xf>
    <xf numFmtId="0" fontId="28" fillId="0" borderId="0">
      <alignment/>
      <protection/>
    </xf>
    <xf numFmtId="0" fontId="1" fillId="0" borderId="0">
      <alignment/>
      <protection/>
    </xf>
    <xf numFmtId="0" fontId="28" fillId="0" borderId="0">
      <alignment/>
      <protection/>
    </xf>
    <xf numFmtId="0" fontId="28" fillId="0" borderId="0">
      <alignment/>
      <protection/>
    </xf>
    <xf numFmtId="0" fontId="28" fillId="0" borderId="0">
      <alignment/>
      <protection/>
    </xf>
    <xf numFmtId="0" fontId="1" fillId="0" borderId="0">
      <alignment/>
      <protection/>
    </xf>
    <xf numFmtId="0" fontId="27" fillId="4" borderId="8" applyNumberFormat="0" applyAlignment="0" applyProtection="0"/>
    <xf numFmtId="0" fontId="55" fillId="2" borderId="9" applyNumberFormat="0" applyAlignment="0" applyProtection="0"/>
    <xf numFmtId="9" fontId="27" fillId="0" borderId="0" applyFill="0" applyBorder="0" applyAlignment="0" applyProtection="0"/>
    <xf numFmtId="9" fontId="27" fillId="0" borderId="0" applyFill="0" applyBorder="0" applyAlignment="0" applyProtection="0"/>
    <xf numFmtId="9" fontId="2" fillId="0" borderId="0" applyFont="0" applyFill="0" applyBorder="0" applyAlignment="0" applyProtection="0"/>
    <xf numFmtId="0" fontId="30" fillId="0" borderId="0">
      <alignment/>
      <protection/>
    </xf>
    <xf numFmtId="0" fontId="79" fillId="34" borderId="10" applyNumberFormat="0" applyAlignment="0" applyProtection="0"/>
    <xf numFmtId="0" fontId="1" fillId="44" borderId="0">
      <alignment/>
      <protection/>
    </xf>
    <xf numFmtId="0" fontId="1" fillId="44" borderId="0">
      <alignment/>
      <protection/>
    </xf>
    <xf numFmtId="0" fontId="1" fillId="45" borderId="0">
      <alignment/>
      <protection/>
    </xf>
    <xf numFmtId="0" fontId="1" fillId="46" borderId="0">
      <alignment/>
      <protection/>
    </xf>
    <xf numFmtId="0" fontId="1" fillId="47" borderId="0">
      <alignment/>
      <protection/>
    </xf>
    <xf numFmtId="0" fontId="1" fillId="48" borderId="0">
      <alignment/>
      <protection/>
    </xf>
    <xf numFmtId="0" fontId="1" fillId="47" borderId="0">
      <alignment/>
      <protection/>
    </xf>
    <xf numFmtId="184" fontId="1" fillId="49" borderId="0">
      <alignment/>
      <protection/>
    </xf>
    <xf numFmtId="184" fontId="1" fillId="50" borderId="0">
      <alignment/>
      <protection/>
    </xf>
    <xf numFmtId="184" fontId="1" fillId="51" borderId="0">
      <alignment/>
      <protection/>
    </xf>
    <xf numFmtId="0" fontId="1" fillId="45" borderId="0">
      <alignment/>
      <protection/>
    </xf>
    <xf numFmtId="0" fontId="28" fillId="0" borderId="0">
      <alignment/>
      <protection/>
    </xf>
    <xf numFmtId="0" fontId="59" fillId="0" borderId="0" applyNumberFormat="0" applyFill="0" applyBorder="0" applyAlignment="0" applyProtection="0"/>
    <xf numFmtId="0" fontId="80" fillId="0" borderId="0" applyNumberFormat="0" applyFill="0" applyBorder="0" applyAlignment="0" applyProtection="0"/>
    <xf numFmtId="0" fontId="66" fillId="0" borderId="0" applyNumberFormat="0" applyFill="0" applyBorder="0" applyAlignment="0" applyProtection="0"/>
    <xf numFmtId="0" fontId="81" fillId="0" borderId="0" applyNumberFormat="0" applyFill="0" applyBorder="0" applyAlignment="0" applyProtection="0"/>
    <xf numFmtId="0" fontId="82" fillId="0" borderId="11" applyNumberFormat="0" applyFill="0" applyAlignment="0" applyProtection="0"/>
    <xf numFmtId="0" fontId="83" fillId="0" borderId="12" applyNumberFormat="0" applyFill="0" applyAlignment="0" applyProtection="0"/>
    <xf numFmtId="0" fontId="84" fillId="0" borderId="13" applyNumberFormat="0" applyFill="0" applyAlignment="0" applyProtection="0"/>
    <xf numFmtId="0" fontId="30" fillId="0" borderId="0">
      <alignment horizontal="left"/>
      <protection/>
    </xf>
    <xf numFmtId="0" fontId="85" fillId="0" borderId="14" applyNumberFormat="0" applyFill="0" applyAlignment="0" applyProtection="0"/>
    <xf numFmtId="0" fontId="1" fillId="0" borderId="0">
      <alignment/>
      <protection/>
    </xf>
  </cellStyleXfs>
  <cellXfs count="692">
    <xf numFmtId="0" fontId="0" fillId="0" borderId="0" xfId="0" applyAlignment="1">
      <alignment/>
    </xf>
    <xf numFmtId="0" fontId="14" fillId="52" borderId="15" xfId="131" applyFont="1" applyFill="1" applyBorder="1" applyAlignment="1">
      <alignment horizontal="center" wrapText="1"/>
      <protection/>
    </xf>
    <xf numFmtId="0" fontId="0" fillId="0" borderId="15" xfId="0" applyBorder="1" applyAlignment="1">
      <alignment wrapText="1"/>
    </xf>
    <xf numFmtId="0" fontId="0" fillId="0" borderId="0" xfId="0" applyAlignment="1">
      <alignment wrapText="1"/>
    </xf>
    <xf numFmtId="0" fontId="0" fillId="0" borderId="0" xfId="0" applyBorder="1" applyAlignment="1">
      <alignment wrapText="1"/>
    </xf>
    <xf numFmtId="0" fontId="0" fillId="0" borderId="0" xfId="0" applyAlignment="1">
      <alignment vertical="center" wrapText="1"/>
    </xf>
    <xf numFmtId="0" fontId="12" fillId="53" borderId="16" xfId="0" applyFont="1" applyFill="1" applyBorder="1" applyAlignment="1">
      <alignment horizontal="center" vertical="center" wrapText="1"/>
    </xf>
    <xf numFmtId="0" fontId="12" fillId="53" borderId="17" xfId="0" applyFont="1" applyFill="1" applyBorder="1" applyAlignment="1">
      <alignment horizontal="center" vertical="center" wrapText="1"/>
    </xf>
    <xf numFmtId="0" fontId="13" fillId="54" borderId="18" xfId="0" applyFont="1" applyFill="1" applyBorder="1" applyAlignment="1">
      <alignment horizontal="center" vertical="center" wrapText="1"/>
    </xf>
    <xf numFmtId="0" fontId="0" fillId="55" borderId="19" xfId="0" applyFill="1" applyBorder="1" applyAlignment="1">
      <alignment vertical="center" wrapText="1"/>
    </xf>
    <xf numFmtId="0" fontId="0" fillId="55" borderId="20" xfId="0" applyFill="1" applyBorder="1" applyAlignment="1">
      <alignment vertical="center" wrapText="1"/>
    </xf>
    <xf numFmtId="0" fontId="0" fillId="55" borderId="21" xfId="0" applyFill="1" applyBorder="1" applyAlignment="1">
      <alignment vertical="center" wrapText="1"/>
    </xf>
    <xf numFmtId="44" fontId="2" fillId="55" borderId="22" xfId="93" applyFont="1" applyFill="1" applyBorder="1" applyAlignment="1">
      <alignment vertical="center" wrapText="1"/>
    </xf>
    <xf numFmtId="44" fontId="15" fillId="55" borderId="23" xfId="93" applyFont="1" applyFill="1" applyBorder="1" applyAlignment="1">
      <alignment vertical="center" wrapText="1"/>
    </xf>
    <xf numFmtId="0" fontId="0" fillId="55" borderId="24" xfId="0" applyFill="1" applyBorder="1" applyAlignment="1">
      <alignment vertical="center" wrapText="1"/>
    </xf>
    <xf numFmtId="0" fontId="0" fillId="55" borderId="25" xfId="0" applyFill="1" applyBorder="1" applyAlignment="1">
      <alignment vertical="center" wrapText="1"/>
    </xf>
    <xf numFmtId="0" fontId="0" fillId="55" borderId="26" xfId="0" applyFill="1" applyBorder="1" applyAlignment="1">
      <alignment vertical="center" wrapText="1"/>
    </xf>
    <xf numFmtId="44" fontId="2" fillId="55" borderId="24" xfId="93" applyFont="1" applyFill="1" applyBorder="1" applyAlignment="1">
      <alignment vertical="center" wrapText="1"/>
    </xf>
    <xf numFmtId="44" fontId="2" fillId="55" borderId="27" xfId="93" applyFont="1" applyFill="1" applyBorder="1" applyAlignment="1">
      <alignment vertical="center" wrapText="1"/>
    </xf>
    <xf numFmtId="0" fontId="16" fillId="55" borderId="15" xfId="0" applyFont="1" applyFill="1" applyBorder="1" applyAlignment="1">
      <alignment vertical="center" wrapText="1"/>
    </xf>
    <xf numFmtId="0" fontId="0" fillId="56" borderId="27" xfId="0" applyFill="1" applyBorder="1" applyAlignment="1">
      <alignment wrapText="1"/>
    </xf>
    <xf numFmtId="44" fontId="2" fillId="0" borderId="15" xfId="93" applyFont="1" applyBorder="1" applyAlignment="1">
      <alignment wrapText="1"/>
    </xf>
    <xf numFmtId="44" fontId="2" fillId="55" borderId="23" xfId="93" applyFont="1" applyFill="1" applyBorder="1" applyAlignment="1">
      <alignment vertical="center" wrapText="1"/>
    </xf>
    <xf numFmtId="3" fontId="0" fillId="55" borderId="28" xfId="0" applyNumberFormat="1" applyFill="1" applyBorder="1" applyAlignment="1">
      <alignment wrapText="1"/>
    </xf>
    <xf numFmtId="44" fontId="2" fillId="55" borderId="29" xfId="93" applyFont="1" applyFill="1" applyBorder="1" applyAlignment="1">
      <alignment horizontal="center" vertical="center" wrapText="1"/>
    </xf>
    <xf numFmtId="0" fontId="0" fillId="0" borderId="0" xfId="0" applyBorder="1" applyAlignment="1">
      <alignment vertical="center" wrapText="1"/>
    </xf>
    <xf numFmtId="44" fontId="2" fillId="55" borderId="30" xfId="93" applyFont="1" applyFill="1" applyBorder="1" applyAlignment="1">
      <alignment vertical="center" wrapText="1"/>
    </xf>
    <xf numFmtId="44" fontId="15" fillId="55" borderId="22" xfId="93" applyFont="1" applyFill="1" applyBorder="1" applyAlignment="1">
      <alignment vertical="center" wrapText="1"/>
    </xf>
    <xf numFmtId="44" fontId="15" fillId="55" borderId="30" xfId="93" applyFont="1" applyFill="1" applyBorder="1" applyAlignment="1">
      <alignment vertical="center" wrapText="1"/>
    </xf>
    <xf numFmtId="0" fontId="16" fillId="55" borderId="15" xfId="0" applyFont="1" applyFill="1" applyBorder="1" applyAlignment="1">
      <alignment wrapText="1"/>
    </xf>
    <xf numFmtId="0" fontId="0" fillId="55" borderId="31" xfId="0" applyFill="1" applyBorder="1" applyAlignment="1">
      <alignment wrapText="1"/>
    </xf>
    <xf numFmtId="0" fontId="0" fillId="55" borderId="32" xfId="0" applyFill="1" applyBorder="1" applyAlignment="1">
      <alignment wrapText="1"/>
    </xf>
    <xf numFmtId="0" fontId="0" fillId="55" borderId="33" xfId="0" applyFill="1" applyBorder="1" applyAlignment="1">
      <alignment wrapText="1"/>
    </xf>
    <xf numFmtId="44" fontId="14" fillId="55" borderId="30" xfId="93" applyFont="1" applyFill="1" applyBorder="1" applyAlignment="1">
      <alignment wrapText="1"/>
    </xf>
    <xf numFmtId="0" fontId="0" fillId="55" borderId="24" xfId="0" applyFill="1" applyBorder="1" applyAlignment="1">
      <alignment wrapText="1"/>
    </xf>
    <xf numFmtId="0" fontId="0" fillId="55" borderId="28" xfId="0" applyFill="1" applyBorder="1" applyAlignment="1">
      <alignment wrapText="1"/>
    </xf>
    <xf numFmtId="3" fontId="0" fillId="55" borderId="34" xfId="0" applyNumberFormat="1" applyFill="1" applyBorder="1" applyAlignment="1">
      <alignment wrapText="1"/>
    </xf>
    <xf numFmtId="44" fontId="14" fillId="55" borderId="30" xfId="93" applyFont="1" applyFill="1" applyBorder="1" applyAlignment="1">
      <alignment vertical="center" wrapText="1"/>
    </xf>
    <xf numFmtId="44" fontId="14" fillId="55" borderId="35" xfId="93" applyFont="1" applyFill="1" applyBorder="1" applyAlignment="1">
      <alignment vertical="center" wrapText="1"/>
    </xf>
    <xf numFmtId="44" fontId="14" fillId="55" borderId="15" xfId="93" applyFont="1" applyFill="1" applyBorder="1" applyAlignment="1">
      <alignment vertical="center" wrapText="1"/>
    </xf>
    <xf numFmtId="0" fontId="17" fillId="0" borderId="0" xfId="0" applyFont="1" applyBorder="1" applyAlignment="1">
      <alignment horizontal="left" wrapText="1"/>
    </xf>
    <xf numFmtId="44" fontId="0" fillId="0" borderId="0" xfId="0" applyNumberFormat="1" applyBorder="1" applyAlignment="1">
      <alignment wrapText="1"/>
    </xf>
    <xf numFmtId="0" fontId="14" fillId="0" borderId="0" xfId="0" applyFont="1" applyBorder="1" applyAlignment="1">
      <alignment wrapText="1"/>
    </xf>
    <xf numFmtId="3" fontId="14" fillId="55" borderId="0" xfId="0" applyNumberFormat="1" applyFont="1" applyFill="1" applyBorder="1" applyAlignment="1">
      <alignment wrapText="1"/>
    </xf>
    <xf numFmtId="44" fontId="14" fillId="55" borderId="36" xfId="93" applyFont="1" applyFill="1" applyBorder="1" applyAlignment="1">
      <alignment vertical="center" wrapText="1"/>
    </xf>
    <xf numFmtId="0" fontId="18" fillId="0" borderId="0" xfId="0" applyFont="1" applyBorder="1" applyAlignment="1">
      <alignment horizontal="right" wrapText="1"/>
    </xf>
    <xf numFmtId="4" fontId="0" fillId="0" borderId="0" xfId="0" applyNumberFormat="1" applyBorder="1" applyAlignment="1">
      <alignment wrapText="1"/>
    </xf>
    <xf numFmtId="0" fontId="19" fillId="0" borderId="37" xfId="0" applyFont="1" applyBorder="1" applyAlignment="1">
      <alignment wrapText="1"/>
    </xf>
    <xf numFmtId="0" fontId="0" fillId="0" borderId="38" xfId="0" applyBorder="1" applyAlignment="1">
      <alignment wrapText="1"/>
    </xf>
    <xf numFmtId="0" fontId="0" fillId="0" borderId="39" xfId="0" applyBorder="1" applyAlignment="1">
      <alignment wrapText="1"/>
    </xf>
    <xf numFmtId="0" fontId="0" fillId="0" borderId="40" xfId="0" applyBorder="1" applyAlignment="1">
      <alignment/>
    </xf>
    <xf numFmtId="0" fontId="0" fillId="0" borderId="41" xfId="0" applyBorder="1" applyAlignment="1">
      <alignment/>
    </xf>
    <xf numFmtId="0" fontId="20" fillId="0" borderId="0" xfId="0" applyFont="1" applyBorder="1" applyAlignment="1">
      <alignment horizontal="left" wrapText="1"/>
    </xf>
    <xf numFmtId="0" fontId="0" fillId="0" borderId="0" xfId="0" applyBorder="1" applyAlignment="1">
      <alignment/>
    </xf>
    <xf numFmtId="44" fontId="2" fillId="55" borderId="42" xfId="93" applyFont="1" applyFill="1" applyBorder="1" applyAlignment="1">
      <alignment vertical="center" wrapText="1"/>
    </xf>
    <xf numFmtId="44" fontId="2" fillId="54" borderId="22" xfId="93" applyFont="1" applyFill="1" applyBorder="1" applyAlignment="1">
      <alignment vertical="center" wrapText="1"/>
    </xf>
    <xf numFmtId="0" fontId="0" fillId="54" borderId="0" xfId="0" applyFill="1" applyBorder="1" applyAlignment="1">
      <alignment wrapText="1"/>
    </xf>
    <xf numFmtId="0" fontId="6" fillId="54" borderId="15" xfId="0" applyFont="1" applyFill="1" applyBorder="1" applyAlignment="1">
      <alignment wrapText="1"/>
    </xf>
    <xf numFmtId="44" fontId="21" fillId="54" borderId="15" xfId="0" applyNumberFormat="1" applyFont="1" applyFill="1" applyBorder="1" applyAlignment="1">
      <alignment wrapText="1"/>
    </xf>
    <xf numFmtId="44" fontId="21" fillId="54" borderId="43" xfId="0" applyNumberFormat="1" applyFont="1" applyFill="1" applyBorder="1" applyAlignment="1">
      <alignment wrapText="1"/>
    </xf>
    <xf numFmtId="0" fontId="0" fillId="54" borderId="0" xfId="0" applyFill="1" applyAlignment="1">
      <alignment wrapText="1"/>
    </xf>
    <xf numFmtId="0" fontId="0" fillId="55" borderId="0" xfId="0" applyFill="1" applyBorder="1" applyAlignment="1">
      <alignment vertical="center" wrapText="1"/>
    </xf>
    <xf numFmtId="0" fontId="6" fillId="0" borderId="15" xfId="0" applyFont="1" applyBorder="1" applyAlignment="1">
      <alignment wrapText="1"/>
    </xf>
    <xf numFmtId="44" fontId="21" fillId="0" borderId="15" xfId="0" applyNumberFormat="1" applyFont="1" applyBorder="1" applyAlignment="1">
      <alignment wrapText="1"/>
    </xf>
    <xf numFmtId="44" fontId="14" fillId="0" borderId="0" xfId="93" applyFont="1" applyAlignment="1">
      <alignment wrapText="1"/>
    </xf>
    <xf numFmtId="44" fontId="22" fillId="54" borderId="0" xfId="93" applyFont="1" applyFill="1" applyAlignment="1">
      <alignment wrapText="1"/>
    </xf>
    <xf numFmtId="44" fontId="14" fillId="54" borderId="0" xfId="93" applyFont="1" applyFill="1" applyAlignment="1">
      <alignment wrapText="1"/>
    </xf>
    <xf numFmtId="44" fontId="0" fillId="0" borderId="15" xfId="0" applyNumberFormat="1" applyBorder="1" applyAlignment="1">
      <alignment wrapText="1"/>
    </xf>
    <xf numFmtId="44" fontId="23" fillId="0" borderId="0" xfId="0" applyNumberFormat="1" applyFont="1" applyBorder="1" applyAlignment="1">
      <alignment wrapText="1"/>
    </xf>
    <xf numFmtId="44" fontId="0" fillId="0" borderId="0" xfId="0" applyNumberFormat="1" applyAlignment="1">
      <alignment wrapText="1"/>
    </xf>
    <xf numFmtId="0" fontId="14" fillId="57" borderId="0" xfId="0" applyFont="1" applyFill="1" applyBorder="1" applyAlignment="1">
      <alignment wrapText="1"/>
    </xf>
    <xf numFmtId="0" fontId="13" fillId="54" borderId="0" xfId="0" applyFont="1" applyFill="1" applyBorder="1" applyAlignment="1">
      <alignment horizontal="center" vertical="center" wrapText="1"/>
    </xf>
    <xf numFmtId="0" fontId="0" fillId="56" borderId="26" xfId="0" applyFill="1" applyBorder="1" applyAlignment="1">
      <alignment wrapText="1"/>
    </xf>
    <xf numFmtId="44" fontId="2" fillId="58" borderId="15" xfId="93" applyFont="1" applyFill="1" applyBorder="1" applyAlignment="1">
      <alignment wrapText="1"/>
    </xf>
    <xf numFmtId="44" fontId="14" fillId="55" borderId="22" xfId="93" applyFont="1" applyFill="1" applyBorder="1" applyAlignment="1">
      <alignment vertical="center" wrapText="1"/>
    </xf>
    <xf numFmtId="44" fontId="14" fillId="55" borderId="42" xfId="93" applyFont="1" applyFill="1" applyBorder="1" applyAlignment="1">
      <alignment vertical="center" wrapText="1"/>
    </xf>
    <xf numFmtId="44" fontId="24" fillId="0" borderId="15" xfId="0" applyNumberFormat="1" applyFont="1" applyBorder="1" applyAlignment="1">
      <alignment wrapText="1"/>
    </xf>
    <xf numFmtId="0" fontId="0" fillId="58" borderId="0" xfId="0" applyFill="1" applyAlignment="1">
      <alignment wrapText="1"/>
    </xf>
    <xf numFmtId="0" fontId="25" fillId="0" borderId="0" xfId="0" applyFont="1" applyAlignment="1">
      <alignment/>
    </xf>
    <xf numFmtId="4" fontId="0" fillId="0" borderId="0" xfId="0" applyNumberFormat="1" applyAlignment="1">
      <alignment wrapText="1"/>
    </xf>
    <xf numFmtId="185" fontId="31" fillId="0" borderId="0" xfId="100" applyFont="1" applyFill="1" applyBorder="1" applyAlignment="1" applyProtection="1">
      <alignment/>
      <protection/>
    </xf>
    <xf numFmtId="0" fontId="27" fillId="48" borderId="0" xfId="104" applyFill="1" applyAlignment="1">
      <alignment horizontal="center" vertical="center"/>
      <protection/>
    </xf>
    <xf numFmtId="0" fontId="27" fillId="0" borderId="0" xfId="104" applyAlignment="1">
      <alignment wrapText="1"/>
      <protection/>
    </xf>
    <xf numFmtId="0" fontId="27" fillId="59" borderId="0" xfId="104" applyFill="1" applyAlignment="1">
      <alignment vertical="center" wrapText="1"/>
      <protection/>
    </xf>
    <xf numFmtId="0" fontId="27" fillId="0" borderId="0" xfId="104" applyAlignment="1">
      <alignment vertical="center" wrapText="1"/>
      <protection/>
    </xf>
    <xf numFmtId="0" fontId="27" fillId="48" borderId="0" xfId="104" applyFill="1" applyAlignment="1">
      <alignment vertical="center" wrapText="1"/>
      <protection/>
    </xf>
    <xf numFmtId="185" fontId="27" fillId="59" borderId="0" xfId="100" applyFont="1" applyFill="1" applyBorder="1" applyAlignment="1" applyProtection="1">
      <alignment vertical="center" wrapText="1"/>
      <protection/>
    </xf>
    <xf numFmtId="185" fontId="2" fillId="0" borderId="0" xfId="100" applyFont="1" applyFill="1" applyBorder="1" applyAlignment="1" applyProtection="1">
      <alignment vertical="center" wrapText="1"/>
      <protection/>
    </xf>
    <xf numFmtId="185" fontId="27" fillId="59" borderId="0" xfId="100" applyFill="1" applyBorder="1" applyAlignment="1" applyProtection="1">
      <alignment vertical="center" wrapText="1"/>
      <protection/>
    </xf>
    <xf numFmtId="185" fontId="27" fillId="48" borderId="0" xfId="100" applyFill="1" applyBorder="1" applyAlignment="1" applyProtection="1">
      <alignment vertical="center" wrapText="1"/>
      <protection/>
    </xf>
    <xf numFmtId="185" fontId="27" fillId="60" borderId="0" xfId="100" applyFill="1" applyBorder="1" applyAlignment="1" applyProtection="1">
      <alignment vertical="center" wrapText="1"/>
      <protection/>
    </xf>
    <xf numFmtId="0" fontId="27" fillId="0" borderId="0" xfId="104">
      <alignment/>
      <protection/>
    </xf>
    <xf numFmtId="185" fontId="27" fillId="14" borderId="0" xfId="100" applyFill="1" applyBorder="1" applyAlignment="1" applyProtection="1">
      <alignment horizontal="center" vertical="center"/>
      <protection/>
    </xf>
    <xf numFmtId="0" fontId="27" fillId="0" borderId="0" xfId="104" applyFill="1">
      <alignment/>
      <protection/>
    </xf>
    <xf numFmtId="185" fontId="27" fillId="48" borderId="0" xfId="100" applyFill="1" applyBorder="1" applyAlignment="1" applyProtection="1">
      <alignment horizontal="center" vertical="center" wrapText="1"/>
      <protection/>
    </xf>
    <xf numFmtId="0" fontId="32" fillId="0" borderId="44" xfId="104" applyFont="1" applyFill="1" applyBorder="1" applyAlignment="1">
      <alignment horizontal="center" wrapText="1"/>
      <protection/>
    </xf>
    <xf numFmtId="0" fontId="32" fillId="0" borderId="0" xfId="104" applyFont="1" applyFill="1" applyBorder="1" applyAlignment="1">
      <alignment horizontal="center"/>
      <protection/>
    </xf>
    <xf numFmtId="185" fontId="32" fillId="48" borderId="0" xfId="100" applyFont="1" applyFill="1" applyBorder="1" applyAlignment="1" applyProtection="1">
      <alignment horizontal="center" vertical="center" wrapText="1"/>
      <protection/>
    </xf>
    <xf numFmtId="0" fontId="27" fillId="0" borderId="0" xfId="104" applyFill="1" applyBorder="1">
      <alignment/>
      <protection/>
    </xf>
    <xf numFmtId="0" fontId="27" fillId="14" borderId="0" xfId="104" applyFont="1" applyFill="1" applyBorder="1" applyAlignment="1">
      <alignment horizontal="left" vertical="center" wrapText="1"/>
      <protection/>
    </xf>
    <xf numFmtId="0" fontId="27" fillId="48" borderId="0" xfId="104" applyFont="1" applyFill="1" applyBorder="1" applyAlignment="1">
      <alignment horizontal="center" vertical="center"/>
      <protection/>
    </xf>
    <xf numFmtId="1" fontId="27" fillId="14" borderId="0" xfId="104" applyNumberFormat="1" applyFont="1" applyFill="1" applyBorder="1" applyAlignment="1">
      <alignment vertical="center" wrapText="1"/>
      <protection/>
    </xf>
    <xf numFmtId="1" fontId="27" fillId="48" borderId="0" xfId="104" applyNumberFormat="1" applyFont="1" applyFill="1" applyBorder="1" applyAlignment="1">
      <alignment vertical="center" wrapText="1"/>
      <protection/>
    </xf>
    <xf numFmtId="1" fontId="27" fillId="61" borderId="0" xfId="104" applyNumberFormat="1" applyFont="1" applyFill="1" applyBorder="1" applyAlignment="1">
      <alignment vertical="center" wrapText="1"/>
      <protection/>
    </xf>
    <xf numFmtId="1" fontId="27" fillId="48" borderId="0" xfId="104" applyNumberFormat="1" applyFont="1" applyFill="1" applyBorder="1" applyAlignment="1">
      <alignment horizontal="center" vertical="center" wrapText="1"/>
      <protection/>
    </xf>
    <xf numFmtId="185" fontId="27" fillId="61" borderId="0" xfId="100" applyFont="1" applyFill="1" applyBorder="1" applyAlignment="1" applyProtection="1">
      <alignment vertical="center" wrapText="1"/>
      <protection/>
    </xf>
    <xf numFmtId="186" fontId="2" fillId="14" borderId="0" xfId="100" applyNumberFormat="1" applyFont="1" applyFill="1" applyBorder="1" applyAlignment="1" applyProtection="1">
      <alignment vertical="center" wrapText="1"/>
      <protection/>
    </xf>
    <xf numFmtId="186" fontId="2" fillId="48" borderId="0" xfId="100" applyNumberFormat="1" applyFont="1" applyFill="1" applyBorder="1" applyAlignment="1" applyProtection="1">
      <alignment vertical="center" wrapText="1"/>
      <protection/>
    </xf>
    <xf numFmtId="185" fontId="27" fillId="61" borderId="0" xfId="100" applyFill="1" applyBorder="1" applyAlignment="1" applyProtection="1">
      <alignment vertical="center"/>
      <protection/>
    </xf>
    <xf numFmtId="185" fontId="33" fillId="60" borderId="0" xfId="100" applyFont="1" applyFill="1" applyBorder="1" applyAlignment="1" applyProtection="1">
      <alignment vertical="center" wrapText="1"/>
      <protection/>
    </xf>
    <xf numFmtId="0" fontId="27" fillId="14" borderId="0" xfId="104" applyFont="1" applyFill="1" applyBorder="1" applyAlignment="1">
      <alignment vertical="center" wrapText="1"/>
      <protection/>
    </xf>
    <xf numFmtId="0" fontId="27" fillId="0" borderId="0" xfId="104" applyFont="1" applyFill="1" applyBorder="1" applyAlignment="1">
      <alignment wrapText="1"/>
      <protection/>
    </xf>
    <xf numFmtId="0" fontId="27" fillId="0" borderId="0" xfId="104" applyFill="1" applyBorder="1" applyAlignment="1">
      <alignment/>
      <protection/>
    </xf>
    <xf numFmtId="0" fontId="27" fillId="0" borderId="0" xfId="104" applyFill="1" applyAlignment="1">
      <alignment/>
      <protection/>
    </xf>
    <xf numFmtId="0" fontId="27" fillId="48" borderId="0" xfId="104" applyFill="1" applyBorder="1" applyAlignment="1">
      <alignment horizontal="center" vertical="center"/>
      <protection/>
    </xf>
    <xf numFmtId="0" fontId="27" fillId="14" borderId="0" xfId="104" applyFont="1" applyFill="1" applyBorder="1" applyAlignment="1">
      <alignment horizontal="left" wrapText="1"/>
      <protection/>
    </xf>
    <xf numFmtId="185" fontId="27" fillId="61" borderId="0" xfId="100" applyFill="1" applyBorder="1" applyAlignment="1" applyProtection="1">
      <alignment vertical="center" wrapText="1"/>
      <protection/>
    </xf>
    <xf numFmtId="0" fontId="27" fillId="14" borderId="0" xfId="104" applyFont="1" applyFill="1" applyBorder="1" applyAlignment="1">
      <alignment wrapText="1"/>
      <protection/>
    </xf>
    <xf numFmtId="0" fontId="27" fillId="0" borderId="0" xfId="104" applyFont="1" applyFill="1" applyBorder="1" applyAlignment="1">
      <alignment horizontal="left" wrapText="1"/>
      <protection/>
    </xf>
    <xf numFmtId="1" fontId="2" fillId="48" borderId="0" xfId="91" applyNumberFormat="1" applyFont="1" applyFill="1" applyBorder="1" applyAlignment="1" applyProtection="1">
      <alignment horizontal="center" vertical="center" wrapText="1"/>
      <protection/>
    </xf>
    <xf numFmtId="0" fontId="27" fillId="0" borderId="0" xfId="104" applyFill="1" applyBorder="1" applyAlignment="1">
      <alignment wrapText="1"/>
      <protection/>
    </xf>
    <xf numFmtId="188" fontId="2" fillId="0" borderId="0" xfId="91" applyNumberFormat="1" applyFont="1" applyFill="1" applyBorder="1" applyAlignment="1" applyProtection="1">
      <alignment wrapText="1"/>
      <protection/>
    </xf>
    <xf numFmtId="1" fontId="2" fillId="14" borderId="0" xfId="91" applyNumberFormat="1" applyFont="1" applyFill="1" applyBorder="1" applyAlignment="1" applyProtection="1">
      <alignment vertical="center" wrapText="1"/>
      <protection/>
    </xf>
    <xf numFmtId="1" fontId="2" fillId="48" borderId="0" xfId="91" applyNumberFormat="1" applyFont="1" applyFill="1" applyBorder="1" applyAlignment="1" applyProtection="1">
      <alignment vertical="center" wrapText="1"/>
      <protection/>
    </xf>
    <xf numFmtId="1" fontId="27" fillId="61" borderId="0" xfId="91" applyNumberFormat="1" applyFont="1" applyFill="1" applyBorder="1" applyAlignment="1" applyProtection="1">
      <alignment vertical="center" wrapText="1"/>
      <protection/>
    </xf>
    <xf numFmtId="188" fontId="2" fillId="0" borderId="0" xfId="91" applyNumberFormat="1" applyFont="1" applyFill="1" applyBorder="1" applyAlignment="1" applyProtection="1">
      <alignment vertical="center" wrapText="1"/>
      <protection/>
    </xf>
    <xf numFmtId="187" fontId="2" fillId="0" borderId="0" xfId="91" applyNumberFormat="1" applyFont="1" applyFill="1" applyBorder="1" applyAlignment="1" applyProtection="1">
      <alignment vertical="center" wrapText="1"/>
      <protection/>
    </xf>
    <xf numFmtId="0" fontId="27" fillId="0" borderId="0" xfId="104" applyFill="1" applyBorder="1" applyAlignment="1">
      <alignment vertical="center" wrapText="1"/>
      <protection/>
    </xf>
    <xf numFmtId="0" fontId="27" fillId="0" borderId="0" xfId="104" applyFill="1" applyBorder="1" applyAlignment="1">
      <alignment vertical="center"/>
      <protection/>
    </xf>
    <xf numFmtId="0" fontId="27" fillId="0" borderId="0" xfId="104" applyFill="1" applyAlignment="1">
      <alignment vertical="center" wrapText="1"/>
      <protection/>
    </xf>
    <xf numFmtId="0" fontId="27" fillId="14" borderId="0" xfId="104" applyFill="1" applyBorder="1" applyAlignment="1">
      <alignment wrapText="1"/>
      <protection/>
    </xf>
    <xf numFmtId="0" fontId="27" fillId="0" borderId="0" xfId="104" applyFill="1" applyAlignment="1">
      <alignment wrapText="1"/>
      <protection/>
    </xf>
    <xf numFmtId="185" fontId="2" fillId="48" borderId="0" xfId="100" applyFont="1" applyFill="1" applyBorder="1" applyAlignment="1" applyProtection="1">
      <alignment vertical="center" wrapText="1"/>
      <protection/>
    </xf>
    <xf numFmtId="185" fontId="2" fillId="14" borderId="0" xfId="100" applyFont="1" applyFill="1" applyBorder="1" applyAlignment="1" applyProtection="1">
      <alignment vertical="center" wrapText="1"/>
      <protection/>
    </xf>
    <xf numFmtId="0" fontId="2" fillId="14" borderId="0" xfId="108" applyFont="1" applyFill="1" applyBorder="1" applyAlignment="1">
      <alignment horizontal="left" vertical="center" wrapText="1"/>
      <protection/>
    </xf>
    <xf numFmtId="0" fontId="27" fillId="62" borderId="0" xfId="104" applyFill="1" applyAlignment="1">
      <alignment vertical="center" wrapText="1"/>
      <protection/>
    </xf>
    <xf numFmtId="0" fontId="27" fillId="14" borderId="0" xfId="104" applyFont="1" applyFill="1" applyBorder="1" applyAlignment="1">
      <alignment horizontal="left" vertical="center"/>
      <protection/>
    </xf>
    <xf numFmtId="1" fontId="27" fillId="14" borderId="0" xfId="104" applyNumberFormat="1" applyFont="1" applyFill="1" applyBorder="1" applyAlignment="1">
      <alignment horizontal="right" vertical="center"/>
      <protection/>
    </xf>
    <xf numFmtId="1" fontId="27" fillId="48" borderId="0" xfId="104" applyNumberFormat="1" applyFont="1" applyFill="1" applyBorder="1" applyAlignment="1">
      <alignment horizontal="right" vertical="center"/>
      <protection/>
    </xf>
    <xf numFmtId="188" fontId="2" fillId="14" borderId="0" xfId="91" applyNumberFormat="1" applyFont="1" applyFill="1" applyBorder="1" applyAlignment="1" applyProtection="1">
      <alignment vertical="center" wrapText="1"/>
      <protection/>
    </xf>
    <xf numFmtId="0" fontId="27" fillId="0" borderId="0" xfId="104" applyFill="1" applyAlignment="1">
      <alignment vertical="center"/>
      <protection/>
    </xf>
    <xf numFmtId="188" fontId="2" fillId="48" borderId="0" xfId="91" applyNumberFormat="1" applyFont="1" applyFill="1" applyBorder="1" applyAlignment="1" applyProtection="1">
      <alignment vertical="center" wrapText="1"/>
      <protection/>
    </xf>
    <xf numFmtId="1" fontId="27" fillId="14" borderId="0" xfId="108" applyNumberFormat="1" applyFill="1" applyBorder="1" applyAlignment="1">
      <alignment horizontal="center" vertical="center"/>
      <protection/>
    </xf>
    <xf numFmtId="1" fontId="27" fillId="48" borderId="0" xfId="108" applyNumberFormat="1" applyFill="1" applyBorder="1" applyAlignment="1">
      <alignment horizontal="center" vertical="center"/>
      <protection/>
    </xf>
    <xf numFmtId="1" fontId="27" fillId="61" borderId="0" xfId="108" applyNumberFormat="1" applyFill="1" applyBorder="1" applyAlignment="1">
      <alignment horizontal="center" vertical="center"/>
      <protection/>
    </xf>
    <xf numFmtId="0" fontId="27" fillId="63" borderId="0" xfId="104" applyFill="1" applyAlignment="1">
      <alignment vertical="center" wrapText="1"/>
      <protection/>
    </xf>
    <xf numFmtId="0" fontId="2" fillId="14" borderId="0" xfId="108" applyFont="1" applyFill="1" applyBorder="1" applyAlignment="1">
      <alignment horizontal="left" wrapText="1"/>
      <protection/>
    </xf>
    <xf numFmtId="0" fontId="27" fillId="61" borderId="0" xfId="108" applyFill="1" applyBorder="1" applyAlignment="1">
      <alignment horizontal="center" vertical="center"/>
      <protection/>
    </xf>
    <xf numFmtId="0" fontId="27" fillId="14" borderId="0" xfId="108" applyFill="1" applyBorder="1" applyAlignment="1">
      <alignment horizontal="center" vertical="center"/>
      <protection/>
    </xf>
    <xf numFmtId="0" fontId="27" fillId="48" borderId="0" xfId="108" applyFill="1" applyBorder="1" applyAlignment="1">
      <alignment horizontal="center" vertical="center"/>
      <protection/>
    </xf>
    <xf numFmtId="0" fontId="2" fillId="14" borderId="0" xfId="108" applyFont="1" applyFill="1" applyBorder="1" applyAlignment="1">
      <alignment horizontal="left" vertical="center"/>
      <protection/>
    </xf>
    <xf numFmtId="185" fontId="37" fillId="60" borderId="0" xfId="100" applyFont="1" applyFill="1" applyBorder="1" applyAlignment="1" applyProtection="1">
      <alignment vertical="center" wrapText="1"/>
      <protection/>
    </xf>
    <xf numFmtId="185" fontId="27" fillId="61" borderId="0" xfId="100" applyFont="1" applyFill="1" applyBorder="1" applyAlignment="1" applyProtection="1">
      <alignment vertical="center"/>
      <protection/>
    </xf>
    <xf numFmtId="0" fontId="27" fillId="48" borderId="0" xfId="104" applyFont="1" applyFill="1" applyBorder="1" applyAlignment="1">
      <alignment horizontal="center" vertical="center" wrapText="1"/>
      <protection/>
    </xf>
    <xf numFmtId="0" fontId="2" fillId="14" borderId="0" xfId="108" applyFont="1" applyFill="1" applyBorder="1" applyAlignment="1">
      <alignment horizontal="center" vertical="center"/>
      <protection/>
    </xf>
    <xf numFmtId="0" fontId="2" fillId="48" borderId="0" xfId="108" applyFont="1" applyFill="1" applyBorder="1" applyAlignment="1">
      <alignment horizontal="center" vertical="center"/>
      <protection/>
    </xf>
    <xf numFmtId="0" fontId="27" fillId="61" borderId="0" xfId="108" applyFont="1" applyFill="1" applyBorder="1" applyAlignment="1">
      <alignment horizontal="center" vertical="center"/>
      <protection/>
    </xf>
    <xf numFmtId="188" fontId="33" fillId="0" borderId="0" xfId="91" applyNumberFormat="1" applyFont="1" applyFill="1" applyBorder="1" applyAlignment="1" applyProtection="1">
      <alignment vertical="center" wrapText="1"/>
      <protection/>
    </xf>
    <xf numFmtId="0" fontId="33" fillId="0" borderId="0" xfId="104" applyFont="1" applyFill="1" applyBorder="1" applyAlignment="1">
      <alignment vertical="center" wrapText="1"/>
      <protection/>
    </xf>
    <xf numFmtId="0" fontId="33" fillId="0" borderId="0" xfId="104" applyFont="1" applyFill="1" applyBorder="1" applyAlignment="1">
      <alignment vertical="center"/>
      <protection/>
    </xf>
    <xf numFmtId="0" fontId="33" fillId="0" borderId="0" xfId="104" applyFont="1" applyFill="1" applyAlignment="1">
      <alignment horizontal="left" vertical="center" wrapText="1"/>
      <protection/>
    </xf>
    <xf numFmtId="0" fontId="2" fillId="14" borderId="0" xfId="108" applyFont="1" applyFill="1" applyBorder="1" applyAlignment="1">
      <alignment horizontal="left"/>
      <protection/>
    </xf>
    <xf numFmtId="0" fontId="38" fillId="14" borderId="0" xfId="121" applyFont="1" applyFill="1" applyBorder="1" applyAlignment="1">
      <alignment horizontal="left" vertical="center" wrapText="1"/>
      <protection/>
    </xf>
    <xf numFmtId="0" fontId="39" fillId="14" borderId="0" xfId="121" applyFont="1" applyFill="1" applyBorder="1" applyAlignment="1">
      <alignment horizontal="left" vertical="center" wrapText="1"/>
      <protection/>
    </xf>
    <xf numFmtId="1" fontId="2" fillId="14" borderId="0" xfId="108" applyNumberFormat="1" applyFont="1" applyFill="1" applyBorder="1" applyAlignment="1">
      <alignment horizontal="center" vertical="center"/>
      <protection/>
    </xf>
    <xf numFmtId="1" fontId="2" fillId="48" borderId="0" xfId="108" applyNumberFormat="1" applyFont="1" applyFill="1" applyBorder="1" applyAlignment="1">
      <alignment horizontal="center" vertical="center"/>
      <protection/>
    </xf>
    <xf numFmtId="1" fontId="27" fillId="61" borderId="0" xfId="108" applyNumberFormat="1" applyFont="1" applyFill="1" applyBorder="1" applyAlignment="1">
      <alignment horizontal="center" vertical="center"/>
      <protection/>
    </xf>
    <xf numFmtId="185" fontId="27" fillId="61" borderId="0" xfId="100" applyFont="1" applyFill="1" applyBorder="1" applyAlignment="1" applyProtection="1">
      <alignment horizontal="right" vertical="center"/>
      <protection/>
    </xf>
    <xf numFmtId="0" fontId="36" fillId="0" borderId="0" xfId="104" applyFont="1" applyFill="1" applyAlignment="1">
      <alignment wrapText="1"/>
      <protection/>
    </xf>
    <xf numFmtId="1" fontId="2" fillId="14" borderId="0" xfId="108" applyNumberFormat="1" applyFont="1" applyFill="1" applyBorder="1" applyAlignment="1">
      <alignment horizontal="center"/>
      <protection/>
    </xf>
    <xf numFmtId="1" fontId="2" fillId="48" borderId="0" xfId="108" applyNumberFormat="1" applyFont="1" applyFill="1" applyBorder="1" applyAlignment="1">
      <alignment horizontal="center"/>
      <protection/>
    </xf>
    <xf numFmtId="0" fontId="27" fillId="0" borderId="0" xfId="104" applyFont="1" applyFill="1" applyAlignment="1">
      <alignment wrapText="1"/>
      <protection/>
    </xf>
    <xf numFmtId="0" fontId="27" fillId="14" borderId="0" xfId="104" applyFont="1" applyFill="1" applyAlignment="1">
      <alignment vertical="center" wrapText="1"/>
      <protection/>
    </xf>
    <xf numFmtId="0" fontId="27" fillId="61" borderId="0" xfId="104" applyFont="1" applyFill="1" applyAlignment="1">
      <alignment vertical="center" wrapText="1"/>
      <protection/>
    </xf>
    <xf numFmtId="185" fontId="27" fillId="61" borderId="0" xfId="100" applyFill="1" applyAlignment="1">
      <alignment vertical="center" wrapText="1"/>
    </xf>
    <xf numFmtId="0" fontId="27" fillId="0" borderId="0" xfId="104" applyFont="1" applyFill="1" applyAlignment="1">
      <alignment vertical="center" wrapText="1"/>
      <protection/>
    </xf>
    <xf numFmtId="1" fontId="27" fillId="14" borderId="0" xfId="108" applyNumberFormat="1" applyFill="1" applyBorder="1" applyAlignment="1">
      <alignment horizontal="center"/>
      <protection/>
    </xf>
    <xf numFmtId="1" fontId="27" fillId="48" borderId="0" xfId="108" applyNumberFormat="1" applyFill="1" applyBorder="1" applyAlignment="1">
      <alignment horizontal="center"/>
      <protection/>
    </xf>
    <xf numFmtId="0" fontId="27" fillId="14" borderId="0" xfId="104" applyFont="1" applyFill="1" applyAlignment="1">
      <alignment horizontal="center" vertical="center" wrapText="1"/>
      <protection/>
    </xf>
    <xf numFmtId="0" fontId="27" fillId="48" borderId="0" xfId="104" applyFont="1" applyFill="1" applyAlignment="1">
      <alignment horizontal="center" vertical="center" wrapText="1"/>
      <protection/>
    </xf>
    <xf numFmtId="0" fontId="27" fillId="61" borderId="0" xfId="104" applyFill="1" applyAlignment="1">
      <alignment horizontal="center" vertical="center" wrapText="1"/>
      <protection/>
    </xf>
    <xf numFmtId="0" fontId="27" fillId="14" borderId="0" xfId="104" applyFill="1" applyAlignment="1">
      <alignment horizontal="center" vertical="center" wrapText="1"/>
      <protection/>
    </xf>
    <xf numFmtId="0" fontId="27" fillId="14" borderId="0" xfId="104" applyFont="1" applyFill="1" applyAlignment="1">
      <alignment wrapText="1"/>
      <protection/>
    </xf>
    <xf numFmtId="0" fontId="27" fillId="14" borderId="0" xfId="104" applyFill="1" applyBorder="1">
      <alignment/>
      <protection/>
    </xf>
    <xf numFmtId="0" fontId="16" fillId="14" borderId="0" xfId="127" applyFont="1" applyFill="1" applyBorder="1" applyAlignment="1">
      <alignment horizontal="center" vertical="center"/>
      <protection/>
    </xf>
    <xf numFmtId="0" fontId="16" fillId="48" borderId="0" xfId="127" applyFont="1" applyFill="1" applyBorder="1" applyAlignment="1">
      <alignment horizontal="center" vertical="center"/>
      <protection/>
    </xf>
    <xf numFmtId="185" fontId="27" fillId="60" borderId="0" xfId="100" applyFill="1" applyAlignment="1">
      <alignment vertical="center" wrapText="1"/>
    </xf>
    <xf numFmtId="1" fontId="27" fillId="64" borderId="0" xfId="108" applyNumberFormat="1" applyFill="1" applyBorder="1" applyAlignment="1">
      <alignment horizontal="center" vertical="center"/>
      <protection/>
    </xf>
    <xf numFmtId="0" fontId="16" fillId="0" borderId="0" xfId="104" applyFont="1" applyFill="1" applyBorder="1" applyAlignment="1">
      <alignment vertical="center" wrapText="1"/>
      <protection/>
    </xf>
    <xf numFmtId="0" fontId="27" fillId="61" borderId="0" xfId="104" applyFill="1" applyBorder="1" applyAlignment="1">
      <alignment horizontal="center" vertical="center" wrapText="1"/>
      <protection/>
    </xf>
    <xf numFmtId="0" fontId="27" fillId="14" borderId="0" xfId="104" applyFill="1" applyBorder="1" applyAlignment="1">
      <alignment horizontal="center" vertical="center" wrapText="1"/>
      <protection/>
    </xf>
    <xf numFmtId="0" fontId="27" fillId="48" borderId="0" xfId="104" applyFont="1" applyFill="1" applyBorder="1" applyAlignment="1">
      <alignment vertical="center"/>
      <protection/>
    </xf>
    <xf numFmtId="189" fontId="27" fillId="14" borderId="0" xfId="108" applyNumberFormat="1" applyFill="1" applyBorder="1" applyAlignment="1">
      <alignment horizontal="center" vertical="center"/>
      <protection/>
    </xf>
    <xf numFmtId="189" fontId="27" fillId="48" borderId="0" xfId="108" applyNumberFormat="1" applyFill="1" applyBorder="1" applyAlignment="1">
      <alignment horizontal="center" vertical="center"/>
      <protection/>
    </xf>
    <xf numFmtId="189" fontId="27" fillId="61" borderId="0" xfId="108" applyNumberFormat="1" applyFill="1" applyBorder="1" applyAlignment="1">
      <alignment horizontal="center" vertical="center"/>
      <protection/>
    </xf>
    <xf numFmtId="0" fontId="27" fillId="14" borderId="0" xfId="104" applyFill="1" applyBorder="1" applyAlignment="1">
      <alignment vertical="center" wrapText="1"/>
      <protection/>
    </xf>
    <xf numFmtId="0" fontId="27" fillId="58" borderId="0" xfId="104" applyFill="1" applyAlignment="1">
      <alignment vertical="center"/>
      <protection/>
    </xf>
    <xf numFmtId="0" fontId="2" fillId="14" borderId="0" xfId="108" applyFont="1" applyFill="1" applyBorder="1">
      <alignment/>
      <protection/>
    </xf>
    <xf numFmtId="1" fontId="27" fillId="14" borderId="0" xfId="104" applyNumberFormat="1" applyFill="1" applyBorder="1" applyAlignment="1">
      <alignment horizontal="center" vertical="center" wrapText="1"/>
      <protection/>
    </xf>
    <xf numFmtId="1" fontId="27" fillId="48" borderId="0" xfId="104" applyNumberFormat="1" applyFill="1" applyBorder="1" applyAlignment="1">
      <alignment horizontal="center" vertical="center" wrapText="1"/>
      <protection/>
    </xf>
    <xf numFmtId="1" fontId="27" fillId="61" borderId="0" xfId="104" applyNumberFormat="1" applyFill="1" applyBorder="1" applyAlignment="1">
      <alignment horizontal="center" vertical="center" wrapText="1"/>
      <protection/>
    </xf>
    <xf numFmtId="185" fontId="27" fillId="61" borderId="0" xfId="100" applyFont="1" applyFill="1" applyBorder="1" applyAlignment="1" applyProtection="1">
      <alignment horizontal="center" vertical="center" wrapText="1"/>
      <protection/>
    </xf>
    <xf numFmtId="185" fontId="32" fillId="14" borderId="0" xfId="100" applyFont="1" applyFill="1" applyBorder="1" applyAlignment="1" applyProtection="1">
      <alignment horizontal="center" vertical="center" wrapText="1"/>
      <protection/>
    </xf>
    <xf numFmtId="185" fontId="27" fillId="61" borderId="0" xfId="100" applyFill="1" applyBorder="1" applyAlignment="1" applyProtection="1">
      <alignment horizontal="center" vertical="center" wrapText="1"/>
      <protection/>
    </xf>
    <xf numFmtId="1" fontId="2" fillId="14" borderId="0" xfId="91" applyNumberFormat="1" applyFont="1" applyFill="1" applyBorder="1" applyAlignment="1" applyProtection="1">
      <alignment horizontal="center" vertical="center" wrapText="1"/>
      <protection/>
    </xf>
    <xf numFmtId="1" fontId="27" fillId="61" borderId="0" xfId="91" applyNumberFormat="1" applyFont="1" applyFill="1" applyBorder="1" applyAlignment="1" applyProtection="1">
      <alignment horizontal="center" vertical="center" wrapText="1"/>
      <protection/>
    </xf>
    <xf numFmtId="185" fontId="2" fillId="14" borderId="0" xfId="100" applyFont="1" applyFill="1" applyBorder="1" applyAlignment="1" applyProtection="1">
      <alignment horizontal="center" vertical="center" wrapText="1"/>
      <protection/>
    </xf>
    <xf numFmtId="185" fontId="2" fillId="48" borderId="0" xfId="100" applyFont="1" applyFill="1" applyBorder="1" applyAlignment="1" applyProtection="1">
      <alignment horizontal="center" vertical="center" wrapText="1"/>
      <protection/>
    </xf>
    <xf numFmtId="188" fontId="27" fillId="0" borderId="0" xfId="104" applyNumberFormat="1" applyFill="1" applyAlignment="1">
      <alignment wrapText="1"/>
      <protection/>
    </xf>
    <xf numFmtId="185" fontId="35" fillId="60" borderId="0" xfId="100" applyFont="1" applyFill="1" applyBorder="1" applyAlignment="1" applyProtection="1">
      <alignment vertical="center" wrapText="1"/>
      <protection/>
    </xf>
    <xf numFmtId="190" fontId="27" fillId="61" borderId="0" xfId="108" applyNumberFormat="1" applyFont="1" applyFill="1" applyBorder="1" applyAlignment="1">
      <alignment horizontal="right" vertical="center"/>
      <protection/>
    </xf>
    <xf numFmtId="1" fontId="27" fillId="14" borderId="0" xfId="104" applyNumberFormat="1" applyFill="1" applyAlignment="1">
      <alignment horizontal="center" vertical="center" wrapText="1"/>
      <protection/>
    </xf>
    <xf numFmtId="1" fontId="27" fillId="48" borderId="0" xfId="104" applyNumberFormat="1" applyFill="1" applyAlignment="1">
      <alignment horizontal="center" vertical="center" wrapText="1"/>
      <protection/>
    </xf>
    <xf numFmtId="1" fontId="27" fillId="61" borderId="0" xfId="104" applyNumberFormat="1" applyFill="1" applyAlignment="1">
      <alignment horizontal="center" vertical="center" wrapText="1"/>
      <protection/>
    </xf>
    <xf numFmtId="185" fontId="27" fillId="61" borderId="0" xfId="100" applyFont="1" applyFill="1" applyBorder="1" applyAlignment="1" applyProtection="1">
      <alignment horizontal="right" vertical="center" wrapText="1"/>
      <protection/>
    </xf>
    <xf numFmtId="0" fontId="27" fillId="14" borderId="0" xfId="104" applyFill="1" applyAlignment="1">
      <alignment vertical="center"/>
      <protection/>
    </xf>
    <xf numFmtId="0" fontId="2" fillId="14" borderId="0" xfId="108" applyFont="1" applyFill="1" applyBorder="1" applyAlignment="1">
      <alignment vertical="center"/>
      <protection/>
    </xf>
    <xf numFmtId="0" fontId="27" fillId="14" borderId="0" xfId="104" applyFont="1" applyFill="1" applyAlignment="1">
      <alignment vertical="center"/>
      <protection/>
    </xf>
    <xf numFmtId="1" fontId="27" fillId="61" borderId="0" xfId="104" applyNumberFormat="1" applyFill="1" applyBorder="1" applyAlignment="1">
      <alignment vertical="center" wrapText="1"/>
      <protection/>
    </xf>
    <xf numFmtId="1" fontId="27" fillId="14" borderId="0" xfId="104" applyNumberFormat="1" applyFill="1" applyBorder="1" applyAlignment="1">
      <alignment vertical="center" wrapText="1"/>
      <protection/>
    </xf>
    <xf numFmtId="189" fontId="27" fillId="14" borderId="0" xfId="104" applyNumberFormat="1" applyFill="1" applyAlignment="1">
      <alignment vertical="center" wrapText="1"/>
      <protection/>
    </xf>
    <xf numFmtId="189" fontId="27" fillId="48" borderId="0" xfId="104" applyNumberFormat="1" applyFill="1" applyAlignment="1">
      <alignment vertical="center" wrapText="1"/>
      <protection/>
    </xf>
    <xf numFmtId="0" fontId="27" fillId="61" borderId="0" xfId="104" applyFont="1" applyFill="1" applyAlignment="1">
      <alignment horizontal="center" vertical="center" wrapText="1"/>
      <protection/>
    </xf>
    <xf numFmtId="185" fontId="27" fillId="60" borderId="0" xfId="100" applyFill="1" applyBorder="1" applyAlignment="1" applyProtection="1">
      <alignment horizontal="center" vertical="center" wrapText="1"/>
      <protection/>
    </xf>
    <xf numFmtId="189" fontId="27" fillId="14" borderId="0" xfId="104" applyNumberFormat="1" applyFill="1" applyAlignment="1">
      <alignment horizontal="center" vertical="center" wrapText="1"/>
      <protection/>
    </xf>
    <xf numFmtId="0" fontId="40" fillId="14" borderId="0" xfId="114" applyFont="1" applyFill="1" applyBorder="1" applyAlignment="1" applyProtection="1">
      <alignment horizontal="left" vertical="center" wrapText="1"/>
      <protection/>
    </xf>
    <xf numFmtId="0" fontId="41" fillId="0" borderId="0" xfId="104" applyFont="1" applyFill="1">
      <alignment/>
      <protection/>
    </xf>
    <xf numFmtId="185" fontId="33" fillId="0" borderId="0" xfId="104" applyNumberFormat="1" applyFont="1" applyFill="1" applyAlignment="1">
      <alignment wrapText="1"/>
      <protection/>
    </xf>
    <xf numFmtId="187" fontId="41" fillId="0" borderId="0" xfId="91" applyFont="1" applyAlignment="1">
      <alignment/>
    </xf>
    <xf numFmtId="0" fontId="41" fillId="0" borderId="0" xfId="104" applyFont="1">
      <alignment/>
      <protection/>
    </xf>
    <xf numFmtId="187" fontId="41" fillId="0" borderId="0" xfId="104" applyNumberFormat="1" applyFont="1">
      <alignment/>
      <protection/>
    </xf>
    <xf numFmtId="185" fontId="27" fillId="0" borderId="0" xfId="104" applyNumberFormat="1" applyAlignment="1">
      <alignment wrapText="1"/>
      <protection/>
    </xf>
    <xf numFmtId="187" fontId="41" fillId="0" borderId="0" xfId="91" applyFont="1" applyBorder="1" applyAlignment="1">
      <alignment/>
    </xf>
    <xf numFmtId="171" fontId="41" fillId="0" borderId="0" xfId="104" applyNumberFormat="1" applyFont="1" applyBorder="1">
      <alignment/>
      <protection/>
    </xf>
    <xf numFmtId="0" fontId="42" fillId="0" borderId="0" xfId="104" applyFont="1">
      <alignment/>
      <protection/>
    </xf>
    <xf numFmtId="0" fontId="43" fillId="57" borderId="15" xfId="104" applyFont="1" applyFill="1" applyBorder="1" applyAlignment="1">
      <alignment horizontal="center" wrapText="1"/>
      <protection/>
    </xf>
    <xf numFmtId="0" fontId="41" fillId="0" borderId="0" xfId="104" applyFont="1" applyBorder="1">
      <alignment/>
      <protection/>
    </xf>
    <xf numFmtId="0" fontId="43" fillId="57" borderId="15" xfId="104" applyFont="1" applyFill="1" applyBorder="1" applyAlignment="1">
      <alignment horizontal="left" wrapText="1"/>
      <protection/>
    </xf>
    <xf numFmtId="3" fontId="30" fillId="0" borderId="15" xfId="104" applyNumberFormat="1" applyFont="1" applyBorder="1">
      <alignment/>
      <protection/>
    </xf>
    <xf numFmtId="191" fontId="41" fillId="0" borderId="0" xfId="104" applyNumberFormat="1" applyFont="1" applyBorder="1">
      <alignment/>
      <protection/>
    </xf>
    <xf numFmtId="0" fontId="44" fillId="65" borderId="15" xfId="104" applyFont="1" applyFill="1" applyBorder="1" applyAlignment="1">
      <alignment horizontal="right"/>
      <protection/>
    </xf>
    <xf numFmtId="3" fontId="27" fillId="65" borderId="15" xfId="104" applyNumberFormat="1" applyFill="1" applyBorder="1">
      <alignment/>
      <protection/>
    </xf>
    <xf numFmtId="187" fontId="45" fillId="0" borderId="0" xfId="104" applyNumberFormat="1" applyFont="1" applyBorder="1">
      <alignment/>
      <protection/>
    </xf>
    <xf numFmtId="0" fontId="27" fillId="0" borderId="0" xfId="104" applyBorder="1">
      <alignment/>
      <protection/>
    </xf>
    <xf numFmtId="0" fontId="44" fillId="66" borderId="15" xfId="104" applyFont="1" applyFill="1" applyBorder="1" applyAlignment="1">
      <alignment horizontal="right"/>
      <protection/>
    </xf>
    <xf numFmtId="3" fontId="27" fillId="66" borderId="15" xfId="104" applyNumberFormat="1" applyFill="1" applyBorder="1">
      <alignment/>
      <protection/>
    </xf>
    <xf numFmtId="0" fontId="44" fillId="67" borderId="15" xfId="104" applyFont="1" applyFill="1" applyBorder="1" applyAlignment="1">
      <alignment horizontal="right"/>
      <protection/>
    </xf>
    <xf numFmtId="3" fontId="27" fillId="67" borderId="15" xfId="104" applyNumberFormat="1" applyFill="1" applyBorder="1">
      <alignment/>
      <protection/>
    </xf>
    <xf numFmtId="0" fontId="44" fillId="27" borderId="15" xfId="104" applyFont="1" applyFill="1" applyBorder="1" applyAlignment="1">
      <alignment horizontal="right"/>
      <protection/>
    </xf>
    <xf numFmtId="3" fontId="27" fillId="27" borderId="15" xfId="104" applyNumberFormat="1" applyFill="1" applyBorder="1">
      <alignment/>
      <protection/>
    </xf>
    <xf numFmtId="191" fontId="30" fillId="0" borderId="15" xfId="104" applyNumberFormat="1" applyFont="1" applyBorder="1">
      <alignment/>
      <protection/>
    </xf>
    <xf numFmtId="191" fontId="30" fillId="68" borderId="15" xfId="104" applyNumberFormat="1" applyFont="1" applyFill="1" applyBorder="1">
      <alignment/>
      <protection/>
    </xf>
    <xf numFmtId="43" fontId="41" fillId="0" borderId="0" xfId="104" applyNumberFormat="1" applyFont="1">
      <alignment/>
      <protection/>
    </xf>
    <xf numFmtId="0" fontId="44" fillId="0" borderId="15" xfId="104" applyFont="1" applyBorder="1" applyAlignment="1">
      <alignment horizontal="right"/>
      <protection/>
    </xf>
    <xf numFmtId="191" fontId="27" fillId="0" borderId="15" xfId="104" applyNumberFormat="1" applyFont="1" applyBorder="1">
      <alignment/>
      <protection/>
    </xf>
    <xf numFmtId="0" fontId="44" fillId="68" borderId="15" xfId="104" applyFont="1" applyFill="1" applyBorder="1" applyAlignment="1">
      <alignment horizontal="right"/>
      <protection/>
    </xf>
    <xf numFmtId="191" fontId="27" fillId="68" borderId="15" xfId="104" applyNumberFormat="1" applyFont="1" applyFill="1" applyBorder="1">
      <alignment/>
      <protection/>
    </xf>
    <xf numFmtId="44" fontId="2" fillId="68" borderId="15" xfId="93" applyFont="1" applyFill="1" applyBorder="1" applyAlignment="1">
      <alignment wrapText="1"/>
    </xf>
    <xf numFmtId="44" fontId="14" fillId="68" borderId="15" xfId="93" applyFont="1" applyFill="1" applyBorder="1" applyAlignment="1">
      <alignment vertical="center" wrapText="1"/>
    </xf>
    <xf numFmtId="0" fontId="27" fillId="69" borderId="0" xfId="104" applyFont="1" applyFill="1" applyBorder="1" applyAlignment="1">
      <alignment horizontal="center" vertical="center"/>
      <protection/>
    </xf>
    <xf numFmtId="186" fontId="45" fillId="70" borderId="0" xfId="100" applyNumberFormat="1" applyFont="1" applyFill="1" applyBorder="1" applyAlignment="1" applyProtection="1">
      <alignment vertical="center" wrapText="1"/>
      <protection/>
    </xf>
    <xf numFmtId="186" fontId="45" fillId="69" borderId="0" xfId="100" applyNumberFormat="1" applyFont="1" applyFill="1" applyBorder="1" applyAlignment="1" applyProtection="1">
      <alignment vertical="center" wrapText="1"/>
      <protection/>
    </xf>
    <xf numFmtId="0" fontId="45" fillId="70" borderId="0" xfId="104" applyFont="1" applyFill="1" applyBorder="1" applyAlignment="1">
      <alignment horizontal="left" vertical="center" wrapText="1"/>
      <protection/>
    </xf>
    <xf numFmtId="0" fontId="45" fillId="69" borderId="0" xfId="104" applyFont="1" applyFill="1" applyBorder="1" applyAlignment="1">
      <alignment horizontal="center" vertical="center"/>
      <protection/>
    </xf>
    <xf numFmtId="0" fontId="45" fillId="70" borderId="0" xfId="104" applyFont="1" applyFill="1" applyBorder="1" applyAlignment="1">
      <alignment horizontal="left" wrapText="1"/>
      <protection/>
    </xf>
    <xf numFmtId="1" fontId="45" fillId="70" borderId="0" xfId="104" applyNumberFormat="1" applyFont="1" applyFill="1" applyBorder="1" applyAlignment="1">
      <alignment wrapText="1"/>
      <protection/>
    </xf>
    <xf numFmtId="1" fontId="45" fillId="69" borderId="0" xfId="104" applyNumberFormat="1" applyFont="1" applyFill="1" applyBorder="1" applyAlignment="1">
      <alignment wrapText="1"/>
      <protection/>
    </xf>
    <xf numFmtId="1" fontId="45" fillId="70" borderId="0" xfId="104" applyNumberFormat="1" applyFont="1" applyFill="1" applyBorder="1" applyAlignment="1">
      <alignment vertical="center" wrapText="1"/>
      <protection/>
    </xf>
    <xf numFmtId="1" fontId="45" fillId="69" borderId="0" xfId="104" applyNumberFormat="1" applyFont="1" applyFill="1" applyBorder="1" applyAlignment="1">
      <alignment horizontal="center" vertical="center" wrapText="1"/>
      <protection/>
    </xf>
    <xf numFmtId="185" fontId="45" fillId="70" borderId="0" xfId="100" applyFont="1" applyFill="1" applyBorder="1" applyAlignment="1" applyProtection="1">
      <alignment vertical="center" wrapText="1"/>
      <protection/>
    </xf>
    <xf numFmtId="185" fontId="45" fillId="69" borderId="0" xfId="100" applyFont="1" applyFill="1" applyBorder="1" applyAlignment="1" applyProtection="1">
      <alignment vertical="center" wrapText="1"/>
      <protection/>
    </xf>
    <xf numFmtId="1" fontId="48" fillId="70" borderId="0" xfId="91" applyNumberFormat="1" applyFont="1" applyFill="1" applyBorder="1" applyAlignment="1" applyProtection="1">
      <alignment horizontal="right" vertical="center" wrapText="1"/>
      <protection/>
    </xf>
    <xf numFmtId="1" fontId="48" fillId="69" borderId="0" xfId="91" applyNumberFormat="1" applyFont="1" applyFill="1" applyBorder="1" applyAlignment="1" applyProtection="1">
      <alignment horizontal="right" vertical="center" wrapText="1"/>
      <protection/>
    </xf>
    <xf numFmtId="1" fontId="45" fillId="70" borderId="0" xfId="91" applyNumberFormat="1" applyFont="1" applyFill="1" applyBorder="1" applyAlignment="1" applyProtection="1">
      <alignment vertical="center" wrapText="1"/>
      <protection/>
    </xf>
    <xf numFmtId="1" fontId="48" fillId="70" borderId="0" xfId="91" applyNumberFormat="1" applyFont="1" applyFill="1" applyBorder="1" applyAlignment="1" applyProtection="1">
      <alignment vertical="center" wrapText="1"/>
      <protection/>
    </xf>
    <xf numFmtId="1" fontId="48" fillId="69" borderId="0" xfId="91" applyNumberFormat="1" applyFont="1" applyFill="1" applyBorder="1" applyAlignment="1" applyProtection="1">
      <alignment horizontal="center" vertical="center" wrapText="1"/>
      <protection/>
    </xf>
    <xf numFmtId="0" fontId="32" fillId="14" borderId="0" xfId="104" applyFont="1" applyFill="1" applyBorder="1" applyAlignment="1">
      <alignment vertical="center" wrapText="1"/>
      <protection/>
    </xf>
    <xf numFmtId="0" fontId="45" fillId="70" borderId="0" xfId="108" applyFont="1" applyFill="1" applyBorder="1" applyAlignment="1">
      <alignment horizontal="left" wrapText="1"/>
      <protection/>
    </xf>
    <xf numFmtId="0" fontId="48" fillId="70" borderId="0" xfId="108" applyFont="1" applyFill="1" applyBorder="1" applyAlignment="1">
      <alignment horizontal="left" wrapText="1"/>
      <protection/>
    </xf>
    <xf numFmtId="0" fontId="45" fillId="70" borderId="0" xfId="108" applyFont="1" applyFill="1" applyBorder="1" applyAlignment="1">
      <alignment horizontal="center"/>
      <protection/>
    </xf>
    <xf numFmtId="0" fontId="45" fillId="69" borderId="0" xfId="108" applyFont="1" applyFill="1" applyBorder="1" applyAlignment="1">
      <alignment horizontal="center"/>
      <protection/>
    </xf>
    <xf numFmtId="0" fontId="45" fillId="70" borderId="0" xfId="108" applyFont="1" applyFill="1" applyBorder="1" applyAlignment="1">
      <alignment horizontal="center" vertical="center"/>
      <protection/>
    </xf>
    <xf numFmtId="1" fontId="45" fillId="69" borderId="0" xfId="108" applyNumberFormat="1" applyFont="1" applyFill="1" applyBorder="1" applyAlignment="1">
      <alignment horizontal="center" vertical="center"/>
      <protection/>
    </xf>
    <xf numFmtId="188" fontId="48" fillId="70" borderId="0" xfId="91" applyNumberFormat="1" applyFont="1" applyFill="1" applyBorder="1" applyAlignment="1" applyProtection="1">
      <alignment vertical="center" wrapText="1"/>
      <protection/>
    </xf>
    <xf numFmtId="188" fontId="48" fillId="69" borderId="0" xfId="91" applyNumberFormat="1" applyFont="1" applyFill="1" applyBorder="1" applyAlignment="1" applyProtection="1">
      <alignment vertical="center" wrapText="1"/>
      <protection/>
    </xf>
    <xf numFmtId="188" fontId="45" fillId="70" borderId="0" xfId="91" applyNumberFormat="1" applyFont="1" applyFill="1" applyBorder="1" applyAlignment="1" applyProtection="1">
      <alignment vertical="center" wrapText="1"/>
      <protection/>
    </xf>
    <xf numFmtId="0" fontId="48" fillId="70" borderId="0" xfId="108" applyFont="1" applyFill="1" applyBorder="1" applyAlignment="1">
      <alignment horizontal="left"/>
      <protection/>
    </xf>
    <xf numFmtId="185" fontId="45" fillId="70" borderId="0" xfId="100" applyFont="1" applyFill="1" applyBorder="1" applyAlignment="1" applyProtection="1">
      <alignment vertical="center"/>
      <protection/>
    </xf>
    <xf numFmtId="0" fontId="45" fillId="70" borderId="0" xfId="104" applyFont="1" applyFill="1" applyBorder="1" applyAlignment="1">
      <alignment vertical="center" wrapText="1"/>
      <protection/>
    </xf>
    <xf numFmtId="0" fontId="45" fillId="69" borderId="0" xfId="104" applyFont="1" applyFill="1" applyBorder="1" applyAlignment="1">
      <alignment vertical="center" wrapText="1"/>
      <protection/>
    </xf>
    <xf numFmtId="0" fontId="45" fillId="69" borderId="0" xfId="108" applyFont="1" applyFill="1" applyBorder="1" applyAlignment="1">
      <alignment horizontal="center" vertical="center"/>
      <protection/>
    </xf>
    <xf numFmtId="0" fontId="48" fillId="70" borderId="0" xfId="108" applyFont="1" applyFill="1" applyBorder="1" applyAlignment="1">
      <alignment horizontal="left" vertical="center" wrapText="1"/>
      <protection/>
    </xf>
    <xf numFmtId="1" fontId="48" fillId="70" borderId="0" xfId="108" applyNumberFormat="1" applyFont="1" applyFill="1" applyBorder="1" applyAlignment="1">
      <alignment horizontal="center" vertical="center"/>
      <protection/>
    </xf>
    <xf numFmtId="1" fontId="48" fillId="69" borderId="0" xfId="108" applyNumberFormat="1" applyFont="1" applyFill="1" applyBorder="1" applyAlignment="1">
      <alignment horizontal="center" vertical="center"/>
      <protection/>
    </xf>
    <xf numFmtId="1" fontId="45" fillId="70" borderId="0" xfId="108" applyNumberFormat="1" applyFont="1" applyFill="1" applyBorder="1" applyAlignment="1">
      <alignment horizontal="center" vertical="center"/>
      <protection/>
    </xf>
    <xf numFmtId="0" fontId="45" fillId="69" borderId="0" xfId="104" applyFont="1" applyFill="1" applyBorder="1" applyAlignment="1">
      <alignment vertical="center"/>
      <protection/>
    </xf>
    <xf numFmtId="0" fontId="45" fillId="70" borderId="0" xfId="104" applyFont="1" applyFill="1" applyAlignment="1">
      <alignment horizontal="center" vertical="center" wrapText="1"/>
      <protection/>
    </xf>
    <xf numFmtId="0" fontId="45" fillId="70" borderId="0" xfId="104" applyFont="1" applyFill="1" applyBorder="1" applyAlignment="1">
      <alignment wrapText="1"/>
      <protection/>
    </xf>
    <xf numFmtId="1" fontId="45" fillId="69" borderId="0" xfId="104" applyNumberFormat="1" applyFont="1" applyFill="1" applyBorder="1" applyAlignment="1">
      <alignment vertical="center" wrapText="1"/>
      <protection/>
    </xf>
    <xf numFmtId="185" fontId="45" fillId="70" borderId="0" xfId="100" applyFont="1" applyFill="1" applyBorder="1" applyAlignment="1" applyProtection="1">
      <alignment horizontal="center" vertical="center" wrapText="1"/>
      <protection/>
    </xf>
    <xf numFmtId="0" fontId="45" fillId="70" borderId="0" xfId="104" applyFont="1" applyFill="1" applyAlignment="1">
      <alignment wrapText="1"/>
      <protection/>
    </xf>
    <xf numFmtId="0" fontId="45" fillId="69" borderId="0" xfId="104" applyFont="1" applyFill="1" applyAlignment="1">
      <alignment wrapText="1"/>
      <protection/>
    </xf>
    <xf numFmtId="0" fontId="45" fillId="70" borderId="0" xfId="104" applyFont="1" applyFill="1" applyAlignment="1">
      <alignment vertical="center" wrapText="1"/>
      <protection/>
    </xf>
    <xf numFmtId="0" fontId="45" fillId="69" borderId="0" xfId="104" applyFont="1" applyFill="1" applyAlignment="1">
      <alignment horizontal="center" vertical="center" wrapText="1"/>
      <protection/>
    </xf>
    <xf numFmtId="185" fontId="27" fillId="0" borderId="0" xfId="100" applyFont="1" applyFill="1" applyBorder="1" applyAlignment="1" applyProtection="1">
      <alignment vertical="center" wrapText="1"/>
      <protection/>
    </xf>
    <xf numFmtId="185" fontId="27" fillId="0" borderId="0" xfId="100" applyFill="1" applyBorder="1" applyAlignment="1" applyProtection="1">
      <alignment vertical="center" wrapText="1"/>
      <protection/>
    </xf>
    <xf numFmtId="185" fontId="33" fillId="0" borderId="0" xfId="100" applyFont="1" applyFill="1" applyBorder="1" applyAlignment="1" applyProtection="1">
      <alignment vertical="center" wrapText="1"/>
      <protection/>
    </xf>
    <xf numFmtId="185" fontId="27" fillId="0" borderId="15" xfId="104" applyNumberFormat="1" applyFont="1" applyFill="1" applyBorder="1" applyAlignment="1">
      <alignment wrapText="1"/>
      <protection/>
    </xf>
    <xf numFmtId="185" fontId="45" fillId="57" borderId="0" xfId="100" applyFont="1" applyFill="1" applyBorder="1" applyAlignment="1" applyProtection="1">
      <alignment vertical="center" wrapText="1"/>
      <protection/>
    </xf>
    <xf numFmtId="0" fontId="45" fillId="57" borderId="0" xfId="104" applyFont="1" applyFill="1">
      <alignment/>
      <protection/>
    </xf>
    <xf numFmtId="0" fontId="45" fillId="57" borderId="0" xfId="104" applyFont="1" applyFill="1" applyAlignment="1">
      <alignment wrapText="1"/>
      <protection/>
    </xf>
    <xf numFmtId="0" fontId="45" fillId="57" borderId="0" xfId="104" applyFont="1" applyFill="1" applyAlignment="1">
      <alignment vertical="center" wrapText="1"/>
      <protection/>
    </xf>
    <xf numFmtId="185" fontId="48" fillId="57" borderId="0" xfId="100" applyFont="1" applyFill="1" applyBorder="1" applyAlignment="1" applyProtection="1">
      <alignment vertical="center" wrapText="1"/>
      <protection/>
    </xf>
    <xf numFmtId="0" fontId="0" fillId="58" borderId="19" xfId="0" applyFill="1" applyBorder="1" applyAlignment="1">
      <alignment vertical="center" wrapText="1"/>
    </xf>
    <xf numFmtId="0" fontId="0" fillId="58" borderId="20" xfId="0" applyFill="1" applyBorder="1" applyAlignment="1">
      <alignment vertical="center" wrapText="1"/>
    </xf>
    <xf numFmtId="0" fontId="0" fillId="58" borderId="21" xfId="0" applyFill="1" applyBorder="1" applyAlignment="1">
      <alignment vertical="center" wrapText="1"/>
    </xf>
    <xf numFmtId="44" fontId="2" fillId="58" borderId="22" xfId="93" applyFont="1" applyFill="1" applyBorder="1" applyAlignment="1">
      <alignment vertical="center" wrapText="1"/>
    </xf>
    <xf numFmtId="44" fontId="15" fillId="58" borderId="23" xfId="93" applyFont="1" applyFill="1" applyBorder="1" applyAlignment="1">
      <alignment vertical="center" wrapText="1"/>
    </xf>
    <xf numFmtId="0" fontId="0" fillId="58" borderId="0" xfId="0" applyFill="1" applyBorder="1" applyAlignment="1">
      <alignment wrapText="1"/>
    </xf>
    <xf numFmtId="0" fontId="0" fillId="58" borderId="24" xfId="0" applyFill="1" applyBorder="1" applyAlignment="1">
      <alignment vertical="center" wrapText="1"/>
    </xf>
    <xf numFmtId="0" fontId="0" fillId="58" borderId="25" xfId="0" applyFill="1" applyBorder="1" applyAlignment="1">
      <alignment vertical="center" wrapText="1"/>
    </xf>
    <xf numFmtId="0" fontId="0" fillId="58" borderId="26" xfId="0" applyFill="1" applyBorder="1" applyAlignment="1">
      <alignment vertical="center" wrapText="1"/>
    </xf>
    <xf numFmtId="44" fontId="2" fillId="58" borderId="27" xfId="93" applyFont="1" applyFill="1" applyBorder="1" applyAlignment="1">
      <alignment vertical="center" wrapText="1"/>
    </xf>
    <xf numFmtId="0" fontId="16" fillId="58" borderId="15" xfId="0" applyFont="1" applyFill="1" applyBorder="1" applyAlignment="1">
      <alignment vertical="center" wrapText="1"/>
    </xf>
    <xf numFmtId="0" fontId="0" fillId="58" borderId="27" xfId="0" applyFill="1" applyBorder="1" applyAlignment="1">
      <alignment wrapText="1"/>
    </xf>
    <xf numFmtId="0" fontId="0" fillId="58" borderId="15" xfId="0" applyFill="1" applyBorder="1" applyAlignment="1">
      <alignment wrapText="1"/>
    </xf>
    <xf numFmtId="0" fontId="0" fillId="58" borderId="16" xfId="0" applyFill="1" applyBorder="1" applyAlignment="1">
      <alignment vertical="center" wrapText="1"/>
    </xf>
    <xf numFmtId="0" fontId="0" fillId="58" borderId="45" xfId="0" applyFill="1" applyBorder="1" applyAlignment="1">
      <alignment vertical="center" wrapText="1"/>
    </xf>
    <xf numFmtId="0" fontId="0" fillId="58" borderId="38" xfId="0" applyFill="1" applyBorder="1" applyAlignment="1">
      <alignment vertical="center" wrapText="1"/>
    </xf>
    <xf numFmtId="44" fontId="2" fillId="58" borderId="29" xfId="93" applyFont="1" applyFill="1" applyBorder="1" applyAlignment="1">
      <alignment vertical="center" wrapText="1"/>
    </xf>
    <xf numFmtId="44" fontId="15" fillId="58" borderId="29" xfId="93" applyFont="1" applyFill="1" applyBorder="1" applyAlignment="1">
      <alignment vertical="center" wrapText="1"/>
    </xf>
    <xf numFmtId="3" fontId="0" fillId="58" borderId="28" xfId="0" applyNumberFormat="1" applyFill="1" applyBorder="1" applyAlignment="1">
      <alignment wrapText="1"/>
    </xf>
    <xf numFmtId="0" fontId="0" fillId="58" borderId="31" xfId="0" applyFill="1" applyBorder="1" applyAlignment="1">
      <alignment vertical="center" wrapText="1"/>
    </xf>
    <xf numFmtId="0" fontId="0" fillId="58" borderId="32" xfId="0" applyFill="1" applyBorder="1" applyAlignment="1">
      <alignment vertical="center" wrapText="1"/>
    </xf>
    <xf numFmtId="0" fontId="0" fillId="58" borderId="33" xfId="0" applyFill="1" applyBorder="1" applyAlignment="1">
      <alignment vertical="center" wrapText="1"/>
    </xf>
    <xf numFmtId="44" fontId="2" fillId="58" borderId="31" xfId="93" applyFont="1" applyFill="1" applyBorder="1" applyAlignment="1">
      <alignment vertical="center" wrapText="1"/>
    </xf>
    <xf numFmtId="44" fontId="15" fillId="58" borderId="46" xfId="93" applyFont="1" applyFill="1" applyBorder="1" applyAlignment="1">
      <alignment vertical="center" wrapText="1"/>
    </xf>
    <xf numFmtId="44" fontId="2" fillId="58" borderId="47" xfId="93" applyFont="1" applyFill="1" applyBorder="1" applyAlignment="1">
      <alignment wrapText="1"/>
    </xf>
    <xf numFmtId="44" fontId="2" fillId="58" borderId="48" xfId="93" applyFont="1" applyFill="1" applyBorder="1" applyAlignment="1">
      <alignment vertical="center" wrapText="1"/>
    </xf>
    <xf numFmtId="0" fontId="16" fillId="58" borderId="49" xfId="0" applyFont="1" applyFill="1" applyBorder="1" applyAlignment="1">
      <alignment vertical="center" wrapText="1"/>
    </xf>
    <xf numFmtId="0" fontId="0" fillId="58" borderId="48" xfId="0" applyFill="1" applyBorder="1" applyAlignment="1">
      <alignment wrapText="1"/>
    </xf>
    <xf numFmtId="0" fontId="0" fillId="0" borderId="15" xfId="0" applyBorder="1" applyAlignment="1">
      <alignment vertical="center" wrapText="1"/>
    </xf>
    <xf numFmtId="0" fontId="12" fillId="53" borderId="15" xfId="0" applyFont="1" applyFill="1" applyBorder="1" applyAlignment="1">
      <alignment horizontal="center" vertical="center" wrapText="1"/>
    </xf>
    <xf numFmtId="0" fontId="13" fillId="54" borderId="15" xfId="0" applyFont="1" applyFill="1" applyBorder="1" applyAlignment="1">
      <alignment horizontal="center" vertical="center" wrapText="1"/>
    </xf>
    <xf numFmtId="44" fontId="2" fillId="58" borderId="42" xfId="93" applyFont="1" applyFill="1" applyBorder="1" applyAlignment="1">
      <alignment vertical="center" wrapText="1"/>
    </xf>
    <xf numFmtId="0" fontId="0" fillId="58" borderId="0" xfId="0" applyFill="1" applyBorder="1" applyAlignment="1">
      <alignment vertical="center" wrapText="1"/>
    </xf>
    <xf numFmtId="3" fontId="0" fillId="58" borderId="28" xfId="0" applyNumberFormat="1" applyFill="1" applyBorder="1" applyAlignment="1">
      <alignment vertical="center" wrapText="1"/>
    </xf>
    <xf numFmtId="3" fontId="0" fillId="58" borderId="34" xfId="0" applyNumberFormat="1" applyFill="1" applyBorder="1" applyAlignment="1">
      <alignment wrapText="1"/>
    </xf>
    <xf numFmtId="44" fontId="14" fillId="58" borderId="36" xfId="93" applyFont="1" applyFill="1" applyBorder="1" applyAlignment="1">
      <alignment vertical="center" wrapText="1"/>
    </xf>
    <xf numFmtId="44" fontId="21" fillId="54" borderId="15" xfId="0" applyNumberFormat="1" applyFont="1" applyFill="1" applyBorder="1" applyAlignment="1">
      <alignment wrapText="1"/>
    </xf>
    <xf numFmtId="44" fontId="0" fillId="58" borderId="15" xfId="0" applyNumberFormat="1" applyFill="1" applyBorder="1" applyAlignment="1">
      <alignment wrapText="1"/>
    </xf>
    <xf numFmtId="0" fontId="13" fillId="58" borderId="0" xfId="0" applyFont="1" applyFill="1" applyBorder="1" applyAlignment="1">
      <alignment horizontal="center" vertical="center" wrapText="1"/>
    </xf>
    <xf numFmtId="0" fontId="13" fillId="58" borderId="18" xfId="0" applyFont="1" applyFill="1" applyBorder="1" applyAlignment="1">
      <alignment horizontal="center" vertical="center" wrapText="1"/>
    </xf>
    <xf numFmtId="185" fontId="27" fillId="58" borderId="15" xfId="104" applyNumberFormat="1" applyFont="1" applyFill="1" applyBorder="1" applyAlignment="1">
      <alignment wrapText="1"/>
      <protection/>
    </xf>
    <xf numFmtId="185" fontId="27" fillId="60" borderId="15" xfId="100" applyFont="1" applyFill="1" applyBorder="1" applyAlignment="1" applyProtection="1">
      <alignment horizontal="center" vertical="center" wrapText="1"/>
      <protection/>
    </xf>
    <xf numFmtId="0" fontId="32" fillId="14" borderId="15" xfId="104" applyFont="1" applyFill="1" applyBorder="1" applyAlignment="1">
      <alignment horizontal="center" wrapText="1"/>
      <protection/>
    </xf>
    <xf numFmtId="0" fontId="32" fillId="48" borderId="15" xfId="104" applyFont="1" applyFill="1" applyBorder="1" applyAlignment="1">
      <alignment horizontal="center" wrapText="1"/>
      <protection/>
    </xf>
    <xf numFmtId="0" fontId="32" fillId="61" borderId="15" xfId="104" applyFont="1" applyFill="1" applyBorder="1" applyAlignment="1">
      <alignment horizontal="center" vertical="center" wrapText="1"/>
      <protection/>
    </xf>
    <xf numFmtId="0" fontId="32" fillId="14" borderId="15" xfId="104" applyFont="1" applyFill="1" applyBorder="1" applyAlignment="1">
      <alignment horizontal="center" vertical="center" wrapText="1"/>
      <protection/>
    </xf>
    <xf numFmtId="0" fontId="32" fillId="48" borderId="15" xfId="104" applyFont="1" applyFill="1" applyBorder="1" applyAlignment="1">
      <alignment horizontal="center" vertical="center" wrapText="1"/>
      <protection/>
    </xf>
    <xf numFmtId="185" fontId="32" fillId="61" borderId="15" xfId="100" applyFont="1" applyFill="1" applyBorder="1" applyAlignment="1" applyProtection="1">
      <alignment horizontal="center" vertical="center" wrapText="1"/>
      <protection/>
    </xf>
    <xf numFmtId="185" fontId="32" fillId="14" borderId="15" xfId="100" applyFont="1" applyFill="1" applyBorder="1" applyAlignment="1" applyProtection="1">
      <alignment horizontal="center" vertical="center" wrapText="1"/>
      <protection/>
    </xf>
    <xf numFmtId="185" fontId="32" fillId="48" borderId="15" xfId="100" applyFont="1" applyFill="1" applyBorder="1" applyAlignment="1" applyProtection="1">
      <alignment horizontal="center" vertical="center" wrapText="1"/>
      <protection/>
    </xf>
    <xf numFmtId="185" fontId="2" fillId="48" borderId="15" xfId="100" applyFont="1" applyFill="1" applyBorder="1" applyAlignment="1" applyProtection="1">
      <alignment horizontal="center" vertical="center" wrapText="1"/>
      <protection/>
    </xf>
    <xf numFmtId="185" fontId="27" fillId="61" borderId="15" xfId="100" applyFill="1" applyBorder="1" applyAlignment="1" applyProtection="1">
      <alignment horizontal="center" vertical="center" wrapText="1"/>
      <protection/>
    </xf>
    <xf numFmtId="0" fontId="26" fillId="0" borderId="0" xfId="0" applyFont="1" applyAlignment="1">
      <alignment vertical="center"/>
    </xf>
    <xf numFmtId="44" fontId="49" fillId="0" borderId="0" xfId="0" applyNumberFormat="1" applyFont="1" applyAlignment="1">
      <alignment wrapText="1"/>
    </xf>
    <xf numFmtId="179" fontId="0" fillId="0" borderId="0" xfId="0" applyNumberFormat="1" applyBorder="1" applyAlignment="1">
      <alignment wrapText="1"/>
    </xf>
    <xf numFmtId="0" fontId="50" fillId="0" borderId="0" xfId="0" applyFont="1" applyBorder="1" applyAlignment="1">
      <alignment horizontal="right" wrapText="1"/>
    </xf>
    <xf numFmtId="44" fontId="2" fillId="55" borderId="36" xfId="93" applyFont="1" applyFill="1" applyBorder="1" applyAlignment="1">
      <alignment vertical="center" wrapText="1"/>
    </xf>
    <xf numFmtId="0" fontId="0" fillId="56" borderId="50" xfId="0" applyFill="1" applyBorder="1" applyAlignment="1">
      <alignment wrapText="1"/>
    </xf>
    <xf numFmtId="4" fontId="19" fillId="55" borderId="15" xfId="0" applyNumberFormat="1" applyFont="1" applyFill="1" applyBorder="1" applyAlignment="1">
      <alignment wrapText="1"/>
    </xf>
    <xf numFmtId="0" fontId="0" fillId="55" borderId="15" xfId="0" applyFill="1" applyBorder="1" applyAlignment="1">
      <alignment wrapText="1"/>
    </xf>
    <xf numFmtId="0" fontId="0" fillId="56" borderId="18" xfId="0" applyFill="1" applyBorder="1" applyAlignment="1">
      <alignment wrapText="1"/>
    </xf>
    <xf numFmtId="44" fontId="2" fillId="55" borderId="15" xfId="93" applyFont="1" applyFill="1" applyBorder="1" applyAlignment="1">
      <alignment vertical="center" wrapText="1"/>
    </xf>
    <xf numFmtId="0" fontId="0" fillId="71" borderId="0" xfId="0" applyFill="1" applyBorder="1" applyAlignment="1">
      <alignment wrapText="1"/>
    </xf>
    <xf numFmtId="44" fontId="51" fillId="0" borderId="15" xfId="0" applyNumberFormat="1" applyFont="1" applyBorder="1" applyAlignment="1">
      <alignment wrapText="1"/>
    </xf>
    <xf numFmtId="0" fontId="3" fillId="0" borderId="0" xfId="104" applyFont="1">
      <alignment/>
      <protection/>
    </xf>
    <xf numFmtId="0" fontId="27" fillId="0" borderId="0" xfId="104" applyAlignment="1">
      <alignment horizontal="right"/>
      <protection/>
    </xf>
    <xf numFmtId="0" fontId="27" fillId="0" borderId="0" xfId="104" applyAlignment="1">
      <alignment horizontal="center" vertical="center"/>
      <protection/>
    </xf>
    <xf numFmtId="0" fontId="27" fillId="14" borderId="51" xfId="104" applyFont="1" applyFill="1" applyBorder="1" applyAlignment="1">
      <alignment horizontal="center"/>
      <protection/>
    </xf>
    <xf numFmtId="0" fontId="27" fillId="0" borderId="52" xfId="104" applyFont="1" applyBorder="1">
      <alignment/>
      <protection/>
    </xf>
    <xf numFmtId="0" fontId="27" fillId="0" borderId="0" xfId="104" applyFont="1" applyBorder="1" applyAlignment="1">
      <alignment horizontal="right"/>
      <protection/>
    </xf>
    <xf numFmtId="1" fontId="27" fillId="0" borderId="0" xfId="104" applyNumberFormat="1" applyBorder="1">
      <alignment/>
      <protection/>
    </xf>
    <xf numFmtId="195" fontId="27" fillId="0" borderId="0" xfId="104" applyNumberFormat="1" applyBorder="1">
      <alignment/>
      <protection/>
    </xf>
    <xf numFmtId="0" fontId="27" fillId="0" borderId="53" xfId="104" applyBorder="1" applyAlignment="1">
      <alignment horizontal="center" vertical="center"/>
      <protection/>
    </xf>
    <xf numFmtId="195" fontId="27" fillId="0" borderId="0" xfId="104" applyNumberFormat="1">
      <alignment/>
      <protection/>
    </xf>
    <xf numFmtId="0" fontId="27" fillId="0" borderId="54" xfId="104" applyFont="1" applyBorder="1">
      <alignment/>
      <protection/>
    </xf>
    <xf numFmtId="0" fontId="27" fillId="0" borderId="51" xfId="104" applyFont="1" applyBorder="1" applyAlignment="1">
      <alignment horizontal="right"/>
      <protection/>
    </xf>
    <xf numFmtId="1" fontId="27" fillId="0" borderId="51" xfId="104" applyNumberFormat="1" applyBorder="1">
      <alignment/>
      <protection/>
    </xf>
    <xf numFmtId="195" fontId="27" fillId="0" borderId="51" xfId="104" applyNumberFormat="1" applyBorder="1">
      <alignment/>
      <protection/>
    </xf>
    <xf numFmtId="0" fontId="32" fillId="14" borderId="54" xfId="104" applyFont="1" applyFill="1" applyBorder="1">
      <alignment/>
      <protection/>
    </xf>
    <xf numFmtId="0" fontId="27" fillId="14" borderId="51" xfId="104" applyFill="1" applyBorder="1" applyAlignment="1">
      <alignment horizontal="right"/>
      <protection/>
    </xf>
    <xf numFmtId="1" fontId="27" fillId="14" borderId="51" xfId="104" applyNumberFormat="1" applyFill="1" applyBorder="1">
      <alignment/>
      <protection/>
    </xf>
    <xf numFmtId="195" fontId="27" fillId="14" borderId="51" xfId="104" applyNumberFormat="1" applyFill="1" applyBorder="1">
      <alignment/>
      <protection/>
    </xf>
    <xf numFmtId="195" fontId="32" fillId="14" borderId="51" xfId="104" applyNumberFormat="1" applyFont="1" applyFill="1" applyBorder="1">
      <alignment/>
      <protection/>
    </xf>
    <xf numFmtId="0" fontId="27" fillId="14" borderId="55" xfId="104" applyFill="1" applyBorder="1" applyAlignment="1">
      <alignment horizontal="center" vertical="center"/>
      <protection/>
    </xf>
    <xf numFmtId="0" fontId="27" fillId="0" borderId="56" xfId="104" applyBorder="1">
      <alignment/>
      <protection/>
    </xf>
    <xf numFmtId="0" fontId="27" fillId="0" borderId="57" xfId="104" applyBorder="1" applyAlignment="1">
      <alignment horizontal="right"/>
      <protection/>
    </xf>
    <xf numFmtId="1" fontId="27" fillId="0" borderId="57" xfId="104" applyNumberFormat="1" applyBorder="1">
      <alignment/>
      <protection/>
    </xf>
    <xf numFmtId="195" fontId="27" fillId="0" borderId="57" xfId="104" applyNumberFormat="1" applyBorder="1">
      <alignment/>
      <protection/>
    </xf>
    <xf numFmtId="0" fontId="27" fillId="0" borderId="55" xfId="104" applyBorder="1" applyAlignment="1">
      <alignment horizontal="center" vertical="center"/>
      <protection/>
    </xf>
    <xf numFmtId="0" fontId="32" fillId="14" borderId="56" xfId="104" applyFont="1" applyFill="1" applyBorder="1">
      <alignment/>
      <protection/>
    </xf>
    <xf numFmtId="0" fontId="27" fillId="14" borderId="57" xfId="104" applyFill="1" applyBorder="1" applyAlignment="1">
      <alignment horizontal="right"/>
      <protection/>
    </xf>
    <xf numFmtId="1" fontId="27" fillId="14" borderId="57" xfId="104" applyNumberFormat="1" applyFill="1" applyBorder="1">
      <alignment/>
      <protection/>
    </xf>
    <xf numFmtId="195" fontId="27" fillId="14" borderId="57" xfId="104" applyNumberFormat="1" applyFill="1" applyBorder="1">
      <alignment/>
      <protection/>
    </xf>
    <xf numFmtId="0" fontId="27" fillId="0" borderId="52" xfId="104" applyFont="1" applyBorder="1" applyAlignment="1">
      <alignment vertical="center"/>
      <protection/>
    </xf>
    <xf numFmtId="0" fontId="27" fillId="0" borderId="0" xfId="104" applyFont="1" applyBorder="1" applyAlignment="1">
      <alignment horizontal="right" vertical="center" wrapText="1"/>
      <protection/>
    </xf>
    <xf numFmtId="0" fontId="27" fillId="0" borderId="0" xfId="104" applyBorder="1" applyAlignment="1">
      <alignment vertical="center"/>
      <protection/>
    </xf>
    <xf numFmtId="0" fontId="27" fillId="0" borderId="0" xfId="104" applyAlignment="1">
      <alignment vertical="center"/>
      <protection/>
    </xf>
    <xf numFmtId="0" fontId="32" fillId="14" borderId="56" xfId="104" applyFont="1" applyFill="1" applyBorder="1" applyAlignment="1">
      <alignment wrapText="1"/>
      <protection/>
    </xf>
    <xf numFmtId="0" fontId="27" fillId="14" borderId="57" xfId="104" applyFill="1" applyBorder="1">
      <alignment/>
      <protection/>
    </xf>
    <xf numFmtId="195" fontId="32" fillId="14" borderId="57" xfId="104" applyNumberFormat="1" applyFont="1" applyFill="1" applyBorder="1">
      <alignment/>
      <protection/>
    </xf>
    <xf numFmtId="0" fontId="32" fillId="14" borderId="51" xfId="104" applyFont="1" applyFill="1" applyBorder="1" applyAlignment="1">
      <alignment horizontal="right"/>
      <protection/>
    </xf>
    <xf numFmtId="0" fontId="32" fillId="14" borderId="51" xfId="104" applyFont="1" applyFill="1" applyBorder="1">
      <alignment/>
      <protection/>
    </xf>
    <xf numFmtId="0" fontId="32" fillId="14" borderId="58" xfId="104" applyFont="1" applyFill="1" applyBorder="1" applyAlignment="1">
      <alignment horizontal="center" vertical="center"/>
      <protection/>
    </xf>
    <xf numFmtId="0" fontId="27" fillId="58" borderId="0" xfId="104" applyFill="1">
      <alignment/>
      <protection/>
    </xf>
    <xf numFmtId="0" fontId="33" fillId="64" borderId="52" xfId="104" applyFont="1" applyFill="1" applyBorder="1">
      <alignment/>
      <protection/>
    </xf>
    <xf numFmtId="0" fontId="27" fillId="58" borderId="0" xfId="104" applyFont="1" applyFill="1" applyBorder="1" applyAlignment="1">
      <alignment horizontal="right"/>
      <protection/>
    </xf>
    <xf numFmtId="1" fontId="27" fillId="58" borderId="0" xfId="104" applyNumberFormat="1" applyFill="1" applyBorder="1">
      <alignment/>
      <protection/>
    </xf>
    <xf numFmtId="195" fontId="27" fillId="58" borderId="0" xfId="104" applyNumberFormat="1" applyFill="1" applyBorder="1">
      <alignment/>
      <protection/>
    </xf>
    <xf numFmtId="0" fontId="27" fillId="58" borderId="53" xfId="104" applyFill="1" applyBorder="1" applyAlignment="1">
      <alignment horizontal="center" vertical="center"/>
      <protection/>
    </xf>
    <xf numFmtId="0" fontId="27" fillId="58" borderId="0" xfId="104" applyFont="1" applyFill="1" applyBorder="1" applyAlignment="1">
      <alignment horizontal="right" vertical="center" wrapText="1"/>
      <protection/>
    </xf>
    <xf numFmtId="0" fontId="27" fillId="58" borderId="0" xfId="104" applyFill="1" applyBorder="1" applyAlignment="1">
      <alignment vertical="center"/>
      <protection/>
    </xf>
    <xf numFmtId="0" fontId="33" fillId="58" borderId="52" xfId="104" applyFont="1" applyFill="1" applyBorder="1">
      <alignment/>
      <protection/>
    </xf>
    <xf numFmtId="0" fontId="33" fillId="58" borderId="0" xfId="104" applyFont="1" applyFill="1" applyBorder="1" applyAlignment="1">
      <alignment horizontal="right"/>
      <protection/>
    </xf>
    <xf numFmtId="0" fontId="33" fillId="58" borderId="0" xfId="104" applyFont="1" applyFill="1" applyBorder="1">
      <alignment/>
      <protection/>
    </xf>
    <xf numFmtId="0" fontId="33" fillId="58" borderId="53" xfId="104" applyFont="1" applyFill="1" applyBorder="1" applyAlignment="1">
      <alignment horizontal="center" vertical="center"/>
      <protection/>
    </xf>
    <xf numFmtId="0" fontId="33" fillId="58" borderId="0" xfId="104" applyFont="1" applyFill="1">
      <alignment/>
      <protection/>
    </xf>
    <xf numFmtId="44" fontId="27" fillId="0" borderId="0" xfId="104" applyNumberFormat="1">
      <alignment/>
      <protection/>
    </xf>
    <xf numFmtId="44" fontId="27" fillId="58" borderId="0" xfId="104" applyNumberFormat="1" applyFill="1">
      <alignment/>
      <protection/>
    </xf>
    <xf numFmtId="44" fontId="27" fillId="0" borderId="0" xfId="104" applyNumberFormat="1" applyAlignment="1">
      <alignment horizontal="center" vertical="center"/>
      <protection/>
    </xf>
    <xf numFmtId="0" fontId="27" fillId="54" borderId="0" xfId="104" applyFill="1">
      <alignment/>
      <protection/>
    </xf>
    <xf numFmtId="0" fontId="27" fillId="72" borderId="51" xfId="104" applyFont="1" applyFill="1" applyBorder="1" applyAlignment="1">
      <alignment horizontal="center"/>
      <protection/>
    </xf>
    <xf numFmtId="1" fontId="27" fillId="54" borderId="0" xfId="104" applyNumberFormat="1" applyFill="1" applyBorder="1">
      <alignment/>
      <protection/>
    </xf>
    <xf numFmtId="1" fontId="27" fillId="54" borderId="51" xfId="104" applyNumberFormat="1" applyFill="1" applyBorder="1">
      <alignment/>
      <protection/>
    </xf>
    <xf numFmtId="1" fontId="27" fillId="72" borderId="51" xfId="104" applyNumberFormat="1" applyFill="1" applyBorder="1">
      <alignment/>
      <protection/>
    </xf>
    <xf numFmtId="1" fontId="27" fillId="54" borderId="57" xfId="104" applyNumberFormat="1" applyFill="1" applyBorder="1">
      <alignment/>
      <protection/>
    </xf>
    <xf numFmtId="1" fontId="27" fillId="72" borderId="57" xfId="104" applyNumberFormat="1" applyFill="1" applyBorder="1">
      <alignment/>
      <protection/>
    </xf>
    <xf numFmtId="1" fontId="27" fillId="54" borderId="0" xfId="104" applyNumberFormat="1" applyFill="1" applyBorder="1" applyAlignment="1">
      <alignment vertical="center"/>
      <protection/>
    </xf>
    <xf numFmtId="0" fontId="27" fillId="54" borderId="0" xfId="104" applyFill="1" applyBorder="1" applyAlignment="1">
      <alignment vertical="center"/>
      <protection/>
    </xf>
    <xf numFmtId="0" fontId="33" fillId="54" borderId="0" xfId="104" applyFont="1" applyFill="1" applyBorder="1">
      <alignment/>
      <protection/>
    </xf>
    <xf numFmtId="0" fontId="27" fillId="72" borderId="57" xfId="104" applyFill="1" applyBorder="1">
      <alignment/>
      <protection/>
    </xf>
    <xf numFmtId="0" fontId="27" fillId="54" borderId="0" xfId="104" applyFill="1" applyBorder="1">
      <alignment/>
      <protection/>
    </xf>
    <xf numFmtId="0" fontId="32" fillId="72" borderId="51" xfId="104" applyFont="1" applyFill="1" applyBorder="1">
      <alignment/>
      <protection/>
    </xf>
    <xf numFmtId="44" fontId="27" fillId="54" borderId="0" xfId="93" applyFont="1" applyFill="1" applyAlignment="1">
      <alignment/>
    </xf>
    <xf numFmtId="44" fontId="27" fillId="72" borderId="51" xfId="93" applyFont="1" applyFill="1" applyBorder="1" applyAlignment="1">
      <alignment horizontal="center"/>
    </xf>
    <xf numFmtId="44" fontId="27" fillId="54" borderId="0" xfId="93" applyFont="1" applyFill="1" applyBorder="1" applyAlignment="1">
      <alignment/>
    </xf>
    <xf numFmtId="44" fontId="33" fillId="54" borderId="0" xfId="93" applyFont="1" applyFill="1" applyBorder="1" applyAlignment="1">
      <alignment/>
    </xf>
    <xf numFmtId="44" fontId="27" fillId="54" borderId="51" xfId="93" applyFont="1" applyFill="1" applyBorder="1" applyAlignment="1">
      <alignment/>
    </xf>
    <xf numFmtId="195" fontId="32" fillId="72" borderId="51" xfId="104" applyNumberFormat="1" applyFont="1" applyFill="1" applyBorder="1">
      <alignment/>
      <protection/>
    </xf>
    <xf numFmtId="44" fontId="27" fillId="54" borderId="57" xfId="93" applyFont="1" applyFill="1" applyBorder="1" applyAlignment="1">
      <alignment/>
    </xf>
    <xf numFmtId="44" fontId="27" fillId="72" borderId="57" xfId="93" applyFont="1" applyFill="1" applyBorder="1" applyAlignment="1">
      <alignment/>
    </xf>
    <xf numFmtId="44" fontId="33" fillId="54" borderId="0" xfId="93" applyFont="1" applyFill="1" applyBorder="1" applyAlignment="1">
      <alignment vertical="center"/>
    </xf>
    <xf numFmtId="44" fontId="27" fillId="54" borderId="0" xfId="93" applyFont="1" applyFill="1" applyBorder="1" applyAlignment="1">
      <alignment vertical="center"/>
    </xf>
    <xf numFmtId="195" fontId="32" fillId="72" borderId="57" xfId="104" applyNumberFormat="1" applyFont="1" applyFill="1" applyBorder="1">
      <alignment/>
      <protection/>
    </xf>
    <xf numFmtId="44" fontId="27" fillId="72" borderId="57" xfId="93" applyFont="1" applyFill="1" applyBorder="1" applyAlignment="1">
      <alignment horizontal="center" vertical="center" wrapText="1"/>
    </xf>
    <xf numFmtId="44" fontId="27" fillId="72" borderId="51" xfId="93" applyFont="1" applyFill="1" applyBorder="1" applyAlignment="1">
      <alignment horizontal="center" vertical="center" wrapText="1"/>
    </xf>
    <xf numFmtId="44" fontId="27" fillId="72" borderId="51" xfId="93" applyFont="1" applyFill="1" applyBorder="1" applyAlignment="1">
      <alignment/>
    </xf>
    <xf numFmtId="44" fontId="32" fillId="72" borderId="51" xfId="93" applyFont="1" applyFill="1" applyBorder="1" applyAlignment="1">
      <alignment/>
    </xf>
    <xf numFmtId="185" fontId="41" fillId="73" borderId="0" xfId="100" applyFont="1" applyFill="1" applyBorder="1" applyAlignment="1" applyProtection="1">
      <alignment vertical="center" wrapText="1"/>
      <protection/>
    </xf>
    <xf numFmtId="185" fontId="41" fillId="73" borderId="15" xfId="100" applyFont="1" applyFill="1" applyBorder="1" applyAlignment="1" applyProtection="1">
      <alignment horizontal="center" vertical="center" wrapText="1"/>
      <protection/>
    </xf>
    <xf numFmtId="0" fontId="45" fillId="0" borderId="0" xfId="104" applyFont="1" applyFill="1" applyBorder="1" applyAlignment="1">
      <alignment horizontal="center"/>
      <protection/>
    </xf>
    <xf numFmtId="1" fontId="41" fillId="73" borderId="0" xfId="104" applyNumberFormat="1" applyFont="1" applyFill="1" applyBorder="1" applyAlignment="1">
      <alignment horizontal="center" vertical="center" wrapText="1"/>
      <protection/>
    </xf>
    <xf numFmtId="186" fontId="45" fillId="70" borderId="0" xfId="100" applyNumberFormat="1" applyFont="1" applyFill="1" applyBorder="1" applyAlignment="1" applyProtection="1">
      <alignment vertical="center" wrapText="1"/>
      <protection/>
    </xf>
    <xf numFmtId="0" fontId="41" fillId="0" borderId="0" xfId="104" applyFont="1" applyFill="1" applyBorder="1">
      <alignment/>
      <protection/>
    </xf>
    <xf numFmtId="185" fontId="45" fillId="70" borderId="0" xfId="100" applyFont="1" applyFill="1" applyBorder="1" applyAlignment="1" applyProtection="1">
      <alignment vertical="center" wrapText="1"/>
      <protection/>
    </xf>
    <xf numFmtId="0" fontId="41" fillId="0" borderId="0" xfId="104" applyFont="1" applyFill="1" applyBorder="1" applyAlignment="1">
      <alignment horizontal="left" wrapText="1"/>
      <protection/>
    </xf>
    <xf numFmtId="0" fontId="41" fillId="0" borderId="0" xfId="104" applyFont="1" applyFill="1" applyAlignment="1">
      <alignment wrapText="1"/>
      <protection/>
    </xf>
    <xf numFmtId="0" fontId="41" fillId="0" borderId="0" xfId="104" applyFont="1" applyFill="1">
      <alignment/>
      <protection/>
    </xf>
    <xf numFmtId="185" fontId="45" fillId="70" borderId="0" xfId="100" applyFont="1" applyFill="1" applyBorder="1" applyAlignment="1" applyProtection="1">
      <alignment horizontal="center" vertical="center" wrapText="1"/>
      <protection/>
    </xf>
    <xf numFmtId="185" fontId="41" fillId="0" borderId="0" xfId="100" applyFont="1" applyFill="1" applyBorder="1" applyAlignment="1" applyProtection="1">
      <alignment vertical="center" wrapText="1"/>
      <protection/>
    </xf>
    <xf numFmtId="185" fontId="41" fillId="48" borderId="0" xfId="100" applyFont="1" applyFill="1" applyBorder="1" applyAlignment="1" applyProtection="1">
      <alignment vertical="center" wrapText="1"/>
      <protection/>
    </xf>
    <xf numFmtId="198" fontId="27" fillId="58" borderId="0" xfId="100" applyNumberFormat="1" applyFill="1" applyBorder="1" applyAlignment="1" applyProtection="1">
      <alignment vertical="center" wrapText="1"/>
      <protection/>
    </xf>
    <xf numFmtId="198" fontId="2" fillId="48" borderId="15" xfId="100" applyNumberFormat="1" applyFont="1" applyFill="1" applyBorder="1" applyAlignment="1" applyProtection="1">
      <alignment horizontal="center" vertical="center" wrapText="1"/>
      <protection/>
    </xf>
    <xf numFmtId="198" fontId="32" fillId="0" borderId="0" xfId="104" applyNumberFormat="1" applyFont="1" applyFill="1" applyBorder="1" applyAlignment="1">
      <alignment horizontal="center"/>
      <protection/>
    </xf>
    <xf numFmtId="198" fontId="27" fillId="64" borderId="0" xfId="100" applyNumberFormat="1" applyFill="1" applyBorder="1" applyAlignment="1" applyProtection="1">
      <alignment vertical="center" wrapText="1"/>
      <protection/>
    </xf>
    <xf numFmtId="198" fontId="45" fillId="69" borderId="0" xfId="100" applyNumberFormat="1" applyFont="1" applyFill="1" applyBorder="1" applyAlignment="1" applyProtection="1">
      <alignment vertical="center" wrapText="1"/>
      <protection/>
    </xf>
    <xf numFmtId="198" fontId="27" fillId="0" borderId="0" xfId="104" applyNumberFormat="1" applyFill="1" applyBorder="1">
      <alignment/>
      <protection/>
    </xf>
    <xf numFmtId="198" fontId="27" fillId="48" borderId="0" xfId="100" applyNumberFormat="1" applyFill="1" applyBorder="1" applyAlignment="1" applyProtection="1">
      <alignment vertical="center" wrapText="1"/>
      <protection/>
    </xf>
    <xf numFmtId="198" fontId="27" fillId="0" borderId="0" xfId="104" applyNumberFormat="1" applyFont="1" applyFill="1" applyBorder="1" applyAlignment="1">
      <alignment horizontal="left" wrapText="1"/>
      <protection/>
    </xf>
    <xf numFmtId="198" fontId="27" fillId="0" borderId="0" xfId="104" applyNumberFormat="1" applyFill="1" applyAlignment="1">
      <alignment wrapText="1"/>
      <protection/>
    </xf>
    <xf numFmtId="198" fontId="27" fillId="0" borderId="0" xfId="104" applyNumberFormat="1" applyFill="1">
      <alignment/>
      <protection/>
    </xf>
    <xf numFmtId="198" fontId="2" fillId="14" borderId="0" xfId="100" applyNumberFormat="1" applyFont="1" applyFill="1" applyBorder="1" applyAlignment="1" applyProtection="1">
      <alignment vertical="center"/>
      <protection/>
    </xf>
    <xf numFmtId="198" fontId="27" fillId="48" borderId="0" xfId="100" applyNumberFormat="1" applyFill="1" applyBorder="1" applyAlignment="1" applyProtection="1">
      <alignment horizontal="center" vertical="center" wrapText="1"/>
      <protection/>
    </xf>
    <xf numFmtId="198" fontId="2" fillId="14" borderId="0" xfId="100" applyNumberFormat="1" applyFont="1" applyFill="1" applyBorder="1" applyAlignment="1" applyProtection="1">
      <alignment horizontal="center" vertical="center" wrapText="1"/>
      <protection/>
    </xf>
    <xf numFmtId="198" fontId="45" fillId="70" borderId="0" xfId="100" applyNumberFormat="1" applyFont="1" applyFill="1" applyBorder="1" applyAlignment="1" applyProtection="1">
      <alignment horizontal="center" vertical="center" wrapText="1"/>
      <protection/>
    </xf>
    <xf numFmtId="198" fontId="27" fillId="0" borderId="0" xfId="100" applyNumberFormat="1" applyFill="1" applyBorder="1" applyAlignment="1" applyProtection="1">
      <alignment vertical="center" wrapText="1"/>
      <protection/>
    </xf>
    <xf numFmtId="198" fontId="45" fillId="57" borderId="0" xfId="100" applyNumberFormat="1" applyFont="1" applyFill="1" applyBorder="1" applyAlignment="1" applyProtection="1">
      <alignment vertical="center" wrapText="1"/>
      <protection/>
    </xf>
    <xf numFmtId="185" fontId="41" fillId="74" borderId="0" xfId="100" applyFont="1" applyFill="1" applyBorder="1" applyAlignment="1" applyProtection="1">
      <alignment vertical="center" wrapText="1"/>
      <protection/>
    </xf>
    <xf numFmtId="185" fontId="45" fillId="73" borderId="15" xfId="100" applyFont="1" applyFill="1" applyBorder="1" applyAlignment="1" applyProtection="1">
      <alignment horizontal="center" vertical="center" wrapText="1"/>
      <protection/>
    </xf>
    <xf numFmtId="185" fontId="41" fillId="74" borderId="15" xfId="100" applyFont="1" applyFill="1" applyBorder="1" applyAlignment="1" applyProtection="1">
      <alignment horizontal="center" vertical="center" wrapText="1"/>
      <protection/>
    </xf>
    <xf numFmtId="185" fontId="41" fillId="75" borderId="0" xfId="100" applyFont="1" applyFill="1" applyBorder="1" applyAlignment="1" applyProtection="1">
      <alignment vertical="center" wrapText="1"/>
      <protection/>
    </xf>
    <xf numFmtId="185" fontId="41" fillId="73" borderId="0" xfId="100" applyFont="1" applyFill="1" applyAlignment="1">
      <alignment vertical="center" wrapText="1"/>
    </xf>
    <xf numFmtId="185" fontId="45" fillId="69" borderId="0" xfId="100" applyFont="1" applyFill="1" applyBorder="1" applyAlignment="1" applyProtection="1">
      <alignment vertical="center" wrapText="1"/>
      <protection/>
    </xf>
    <xf numFmtId="185" fontId="41" fillId="75" borderId="0" xfId="100" applyFont="1" applyFill="1" applyAlignment="1">
      <alignment vertical="center" wrapText="1"/>
    </xf>
    <xf numFmtId="185" fontId="41" fillId="73" borderId="0" xfId="100" applyFont="1" applyFill="1" applyBorder="1" applyAlignment="1" applyProtection="1">
      <alignment horizontal="center" vertical="center" wrapText="1"/>
      <protection/>
    </xf>
    <xf numFmtId="185" fontId="41" fillId="73" borderId="0" xfId="100" applyFont="1" applyFill="1" applyAlignment="1">
      <alignment vertical="center"/>
    </xf>
    <xf numFmtId="185" fontId="41" fillId="75" borderId="0" xfId="100" applyFont="1" applyFill="1" applyBorder="1" applyAlignment="1" applyProtection="1">
      <alignment horizontal="center" vertical="center" wrapText="1"/>
      <protection/>
    </xf>
    <xf numFmtId="185" fontId="45" fillId="57" borderId="0" xfId="100" applyFont="1" applyFill="1" applyBorder="1" applyAlignment="1" applyProtection="1">
      <alignment vertical="center" wrapText="1"/>
      <protection/>
    </xf>
    <xf numFmtId="1" fontId="33" fillId="48" borderId="0" xfId="104" applyNumberFormat="1" applyFont="1" applyFill="1" applyBorder="1" applyAlignment="1">
      <alignment horizontal="center" vertical="center" wrapText="1"/>
      <protection/>
    </xf>
    <xf numFmtId="185" fontId="33" fillId="48" borderId="0" xfId="100" applyFont="1" applyFill="1" applyBorder="1" applyAlignment="1" applyProtection="1">
      <alignment vertical="center" wrapText="1"/>
      <protection/>
    </xf>
    <xf numFmtId="9" fontId="27" fillId="0" borderId="0" xfId="136" applyFont="1" applyBorder="1" applyAlignment="1">
      <alignment/>
    </xf>
    <xf numFmtId="1" fontId="41" fillId="76" borderId="0" xfId="104" applyNumberFormat="1" applyFont="1" applyFill="1" applyBorder="1" applyAlignment="1">
      <alignment horizontal="center" vertical="center" wrapText="1"/>
      <protection/>
    </xf>
    <xf numFmtId="9" fontId="27" fillId="0" borderId="0" xfId="136" applyFont="1" applyBorder="1" applyAlignment="1">
      <alignment vertical="center"/>
    </xf>
    <xf numFmtId="1" fontId="27" fillId="0" borderId="0" xfId="104" applyNumberFormat="1" applyBorder="1" applyAlignment="1">
      <alignment vertical="center"/>
      <protection/>
    </xf>
    <xf numFmtId="1" fontId="33" fillId="76" borderId="0" xfId="104" applyNumberFormat="1" applyFont="1" applyFill="1" applyBorder="1" applyAlignment="1">
      <alignment horizontal="center" vertical="center" wrapText="1"/>
      <protection/>
    </xf>
    <xf numFmtId="185" fontId="41" fillId="76" borderId="0" xfId="100" applyFont="1" applyFill="1" applyBorder="1" applyAlignment="1" applyProtection="1">
      <alignment vertical="center" wrapText="1"/>
      <protection/>
    </xf>
    <xf numFmtId="185" fontId="33" fillId="76" borderId="0" xfId="100" applyFont="1" applyFill="1" applyBorder="1" applyAlignment="1" applyProtection="1">
      <alignment vertical="center" wrapText="1"/>
      <protection/>
    </xf>
    <xf numFmtId="185" fontId="33" fillId="0" borderId="0" xfId="100" applyFont="1" applyFill="1" applyBorder="1" applyAlignment="1" applyProtection="1">
      <alignment vertical="center" wrapText="1"/>
      <protection/>
    </xf>
    <xf numFmtId="185" fontId="37" fillId="48" borderId="0" xfId="100" applyFont="1" applyFill="1" applyBorder="1" applyAlignment="1" applyProtection="1">
      <alignment vertical="center" wrapText="1"/>
      <protection/>
    </xf>
    <xf numFmtId="185" fontId="27" fillId="0" borderId="0" xfId="104" applyNumberFormat="1" applyFill="1" applyAlignment="1">
      <alignment vertical="center" wrapText="1"/>
      <protection/>
    </xf>
    <xf numFmtId="44" fontId="26" fillId="68" borderId="15" xfId="93" applyFont="1" applyFill="1" applyBorder="1" applyAlignment="1">
      <alignment wrapText="1"/>
    </xf>
    <xf numFmtId="185" fontId="23" fillId="57" borderId="0" xfId="100" applyFont="1" applyFill="1" applyBorder="1" applyAlignment="1" applyProtection="1">
      <alignment vertical="center" wrapText="1"/>
      <protection/>
    </xf>
    <xf numFmtId="185" fontId="27" fillId="0" borderId="0" xfId="104" applyNumberFormat="1" applyFill="1" applyAlignment="1">
      <alignment wrapText="1"/>
      <protection/>
    </xf>
    <xf numFmtId="43" fontId="27" fillId="0" borderId="0" xfId="104" applyNumberFormat="1" applyFont="1" applyFill="1" applyAlignment="1">
      <alignment wrapText="1"/>
      <protection/>
    </xf>
    <xf numFmtId="185" fontId="27" fillId="0" borderId="15" xfId="100" applyFont="1" applyFill="1" applyBorder="1" applyAlignment="1" applyProtection="1">
      <alignment vertical="center" wrapText="1"/>
      <protection/>
    </xf>
    <xf numFmtId="0" fontId="4" fillId="0" borderId="15" xfId="104" applyFont="1" applyFill="1" applyBorder="1" applyAlignment="1">
      <alignment vertical="center"/>
      <protection/>
    </xf>
    <xf numFmtId="0" fontId="4" fillId="0" borderId="15" xfId="104" applyFont="1" applyFill="1" applyBorder="1" applyAlignment="1">
      <alignment vertical="center" wrapText="1"/>
      <protection/>
    </xf>
    <xf numFmtId="43" fontId="27" fillId="0" borderId="0" xfId="104" applyNumberFormat="1">
      <alignment/>
      <protection/>
    </xf>
    <xf numFmtId="185" fontId="32" fillId="77" borderId="0" xfId="100" applyFont="1" applyFill="1" applyBorder="1" applyAlignment="1" applyProtection="1">
      <alignment vertical="center" wrapText="1"/>
      <protection/>
    </xf>
    <xf numFmtId="44" fontId="0" fillId="0" borderId="0" xfId="93" applyFont="1" applyAlignment="1">
      <alignment wrapText="1"/>
    </xf>
    <xf numFmtId="9" fontId="0" fillId="0" borderId="0" xfId="136" applyFont="1" applyAlignment="1">
      <alignment wrapText="1"/>
    </xf>
    <xf numFmtId="44" fontId="26" fillId="68" borderId="43" xfId="93" applyFont="1" applyFill="1" applyBorder="1" applyAlignment="1">
      <alignment wrapText="1"/>
    </xf>
    <xf numFmtId="44" fontId="2" fillId="68" borderId="43" xfId="93" applyFont="1" applyFill="1" applyBorder="1" applyAlignment="1">
      <alignment wrapText="1"/>
    </xf>
    <xf numFmtId="44" fontId="2" fillId="54" borderId="59" xfId="93" applyFont="1" applyFill="1" applyBorder="1" applyAlignment="1">
      <alignment vertical="center" wrapText="1"/>
    </xf>
    <xf numFmtId="44" fontId="0" fillId="0" borderId="15" xfId="93" applyFont="1" applyBorder="1" applyAlignment="1">
      <alignment wrapText="1"/>
    </xf>
    <xf numFmtId="44" fontId="15" fillId="0" borderId="15" xfId="93" applyFont="1" applyBorder="1" applyAlignment="1">
      <alignment wrapText="1"/>
    </xf>
    <xf numFmtId="44" fontId="0" fillId="0" borderId="0" xfId="93" applyFont="1" applyAlignment="1">
      <alignment vertical="center" wrapText="1"/>
    </xf>
    <xf numFmtId="44" fontId="15" fillId="54" borderId="15" xfId="93" applyFont="1" applyFill="1" applyBorder="1" applyAlignment="1">
      <alignment wrapText="1"/>
    </xf>
    <xf numFmtId="44" fontId="0" fillId="68" borderId="15" xfId="93" applyFont="1" applyFill="1" applyBorder="1" applyAlignment="1">
      <alignment wrapText="1"/>
    </xf>
    <xf numFmtId="44" fontId="24" fillId="0" borderId="15" xfId="93" applyFont="1" applyBorder="1" applyAlignment="1">
      <alignment wrapText="1"/>
    </xf>
    <xf numFmtId="44" fontId="15" fillId="0" borderId="43" xfId="93" applyFont="1" applyBorder="1" applyAlignment="1">
      <alignment wrapText="1"/>
    </xf>
    <xf numFmtId="44" fontId="15" fillId="54" borderId="43" xfId="93" applyFont="1" applyFill="1" applyBorder="1" applyAlignment="1">
      <alignment wrapText="1"/>
    </xf>
    <xf numFmtId="44" fontId="0" fillId="0" borderId="43" xfId="93" applyFont="1" applyBorder="1" applyAlignment="1">
      <alignment wrapText="1"/>
    </xf>
    <xf numFmtId="44" fontId="14" fillId="68" borderId="43" xfId="93" applyFont="1" applyFill="1" applyBorder="1" applyAlignment="1">
      <alignment vertical="center" wrapText="1"/>
    </xf>
    <xf numFmtId="0" fontId="0" fillId="54" borderId="15" xfId="0" applyFill="1" applyBorder="1" applyAlignment="1">
      <alignment wrapText="1"/>
    </xf>
    <xf numFmtId="44" fontId="86" fillId="0" borderId="0" xfId="0" applyNumberFormat="1" applyFont="1" applyBorder="1" applyAlignment="1">
      <alignment wrapText="1"/>
    </xf>
    <xf numFmtId="44" fontId="86" fillId="0" borderId="15" xfId="0" applyNumberFormat="1" applyFont="1" applyBorder="1" applyAlignment="1">
      <alignment wrapText="1"/>
    </xf>
    <xf numFmtId="44" fontId="14" fillId="0" borderId="15" xfId="0" applyNumberFormat="1" applyFont="1" applyBorder="1" applyAlignment="1">
      <alignment wrapText="1"/>
    </xf>
    <xf numFmtId="44" fontId="14" fillId="54" borderId="22" xfId="93" applyFont="1" applyFill="1" applyBorder="1" applyAlignment="1">
      <alignment vertical="center" wrapText="1"/>
    </xf>
    <xf numFmtId="44" fontId="15" fillId="58" borderId="15" xfId="93" applyFont="1" applyFill="1" applyBorder="1" applyAlignment="1">
      <alignment wrapText="1"/>
    </xf>
    <xf numFmtId="44" fontId="2" fillId="58" borderId="59" xfId="93" applyFont="1" applyFill="1" applyBorder="1" applyAlignment="1">
      <alignment vertical="center" wrapText="1"/>
    </xf>
    <xf numFmtId="44" fontId="87" fillId="0" borderId="0" xfId="93" applyFont="1" applyAlignment="1">
      <alignment wrapText="1"/>
    </xf>
    <xf numFmtId="0" fontId="87" fillId="0" borderId="0" xfId="0" applyFont="1" applyAlignment="1">
      <alignment wrapText="1"/>
    </xf>
    <xf numFmtId="44" fontId="87" fillId="0" borderId="0" xfId="0" applyNumberFormat="1" applyFont="1" applyAlignment="1">
      <alignment wrapText="1"/>
    </xf>
    <xf numFmtId="44" fontId="15" fillId="58" borderId="15" xfId="93" applyFont="1" applyFill="1" applyBorder="1" applyAlignment="1">
      <alignment vertical="center" wrapText="1"/>
    </xf>
    <xf numFmtId="0" fontId="15" fillId="58" borderId="15" xfId="0" applyFont="1" applyFill="1" applyBorder="1" applyAlignment="1">
      <alignment wrapText="1"/>
    </xf>
    <xf numFmtId="3" fontId="15" fillId="55" borderId="15" xfId="0" applyNumberFormat="1" applyFont="1" applyFill="1" applyBorder="1" applyAlignment="1">
      <alignment wrapText="1"/>
    </xf>
    <xf numFmtId="44" fontId="88" fillId="0" borderId="0" xfId="93" applyFont="1" applyAlignment="1">
      <alignment wrapText="1"/>
    </xf>
    <xf numFmtId="44" fontId="21" fillId="54" borderId="0" xfId="0" applyNumberFormat="1" applyFont="1" applyFill="1" applyBorder="1" applyAlignment="1">
      <alignment wrapText="1"/>
    </xf>
    <xf numFmtId="44" fontId="24" fillId="0" borderId="0" xfId="0" applyNumberFormat="1" applyFont="1" applyBorder="1" applyAlignment="1">
      <alignment wrapText="1"/>
    </xf>
    <xf numFmtId="44" fontId="14" fillId="55" borderId="60" xfId="93" applyFont="1" applyFill="1" applyBorder="1" applyAlignment="1">
      <alignment vertical="center" wrapText="1"/>
    </xf>
    <xf numFmtId="44" fontId="2" fillId="54" borderId="42" xfId="93" applyFont="1" applyFill="1" applyBorder="1" applyAlignment="1">
      <alignment vertical="center" wrapText="1"/>
    </xf>
    <xf numFmtId="44" fontId="2" fillId="54" borderId="61" xfId="93" applyFont="1" applyFill="1" applyBorder="1" applyAlignment="1">
      <alignment vertical="center" wrapText="1"/>
    </xf>
    <xf numFmtId="44" fontId="2" fillId="54" borderId="15" xfId="93" applyFont="1" applyFill="1" applyBorder="1" applyAlignment="1">
      <alignment vertical="center" wrapText="1"/>
    </xf>
    <xf numFmtId="0" fontId="2" fillId="58" borderId="15" xfId="93" applyNumberFormat="1" applyFont="1" applyFill="1" applyBorder="1" applyAlignment="1">
      <alignment vertical="justify"/>
    </xf>
    <xf numFmtId="0" fontId="2" fillId="58" borderId="15" xfId="93" applyNumberFormat="1" applyFont="1" applyFill="1" applyBorder="1" applyAlignment="1">
      <alignment wrapText="1"/>
    </xf>
    <xf numFmtId="0" fontId="2" fillId="14" borderId="0" xfId="108" applyFont="1" applyFill="1" applyBorder="1" applyAlignment="1">
      <alignment horizontal="left" vertical="center" wrapText="1"/>
      <protection/>
    </xf>
    <xf numFmtId="0" fontId="15" fillId="58" borderId="15" xfId="93" applyNumberFormat="1" applyFont="1" applyFill="1" applyBorder="1" applyAlignment="1">
      <alignment wrapText="1"/>
    </xf>
    <xf numFmtId="44" fontId="67" fillId="0" borderId="0" xfId="0" applyNumberFormat="1" applyFont="1" applyAlignment="1">
      <alignment wrapText="1"/>
    </xf>
    <xf numFmtId="44" fontId="15" fillId="0" borderId="0" xfId="93" applyFont="1" applyAlignment="1">
      <alignment wrapText="1"/>
    </xf>
    <xf numFmtId="44" fontId="0" fillId="0" borderId="0" xfId="93" applyFont="1" applyAlignment="1">
      <alignment wrapText="1"/>
    </xf>
    <xf numFmtId="170" fontId="0" fillId="0" borderId="0" xfId="0" applyNumberFormat="1" applyAlignment="1">
      <alignment wrapText="1"/>
    </xf>
    <xf numFmtId="44" fontId="2" fillId="58" borderId="15" xfId="93" applyFont="1" applyFill="1" applyBorder="1" applyAlignment="1">
      <alignment vertical="center" wrapText="1"/>
    </xf>
    <xf numFmtId="0" fontId="0" fillId="58" borderId="15" xfId="0" applyFill="1" applyBorder="1" applyAlignment="1">
      <alignment vertical="center" wrapText="1"/>
    </xf>
    <xf numFmtId="0" fontId="0" fillId="58" borderId="43" xfId="0" applyFill="1" applyBorder="1" applyAlignment="1">
      <alignment vertical="center" wrapText="1"/>
    </xf>
    <xf numFmtId="44" fontId="2" fillId="58" borderId="43" xfId="93" applyFont="1" applyFill="1" applyBorder="1" applyAlignment="1">
      <alignment vertical="center" wrapText="1"/>
    </xf>
    <xf numFmtId="44" fontId="2" fillId="0" borderId="15" xfId="93" applyFont="1" applyBorder="1" applyAlignment="1">
      <alignment vertical="center" wrapText="1"/>
    </xf>
    <xf numFmtId="44" fontId="2" fillId="0" borderId="43" xfId="93" applyFont="1" applyBorder="1" applyAlignment="1">
      <alignment vertical="center" wrapText="1"/>
    </xf>
    <xf numFmtId="44" fontId="2" fillId="78" borderId="43" xfId="93" applyFont="1" applyFill="1" applyBorder="1" applyAlignment="1">
      <alignment vertical="center" wrapText="1"/>
    </xf>
    <xf numFmtId="44" fontId="2" fillId="58" borderId="49" xfId="93" applyFont="1" applyFill="1" applyBorder="1" applyAlignment="1">
      <alignment vertical="center" wrapText="1"/>
    </xf>
    <xf numFmtId="44" fontId="2" fillId="58" borderId="62" xfId="93" applyFont="1" applyFill="1" applyBorder="1" applyAlignment="1">
      <alignment vertical="center" wrapText="1"/>
    </xf>
    <xf numFmtId="44" fontId="26" fillId="79" borderId="15" xfId="93" applyFont="1" applyFill="1" applyBorder="1" applyAlignment="1">
      <alignment vertical="center" wrapText="1"/>
    </xf>
    <xf numFmtId="44" fontId="15" fillId="58" borderId="43" xfId="93" applyFont="1" applyFill="1" applyBorder="1" applyAlignment="1">
      <alignment vertical="center" wrapText="1"/>
    </xf>
    <xf numFmtId="0" fontId="14" fillId="52" borderId="15" xfId="131" applyFont="1" applyFill="1" applyBorder="1" applyAlignment="1">
      <alignment horizontal="center" wrapText="1"/>
      <protection/>
    </xf>
    <xf numFmtId="44" fontId="10" fillId="54" borderId="17" xfId="93" applyFont="1" applyFill="1" applyBorder="1" applyAlignment="1">
      <alignment horizontal="center" vertical="center" wrapText="1"/>
    </xf>
    <xf numFmtId="44" fontId="10" fillId="54" borderId="46" xfId="93" applyFont="1" applyFill="1" applyBorder="1" applyAlignment="1">
      <alignment horizontal="center" vertical="center" wrapText="1"/>
    </xf>
    <xf numFmtId="0" fontId="14" fillId="52" borderId="43" xfId="131" applyFont="1" applyFill="1" applyBorder="1" applyAlignment="1">
      <alignment horizontal="center" wrapText="1"/>
      <protection/>
    </xf>
    <xf numFmtId="0" fontId="20" fillId="0" borderId="63" xfId="0" applyFont="1" applyBorder="1" applyAlignment="1">
      <alignment horizontal="left" wrapText="1"/>
    </xf>
    <xf numFmtId="0" fontId="20" fillId="0" borderId="40" xfId="0" applyFont="1" applyBorder="1" applyAlignment="1">
      <alignment horizontal="left" wrapText="1"/>
    </xf>
    <xf numFmtId="0" fontId="10" fillId="54" borderId="37" xfId="0" applyFont="1" applyFill="1" applyBorder="1" applyAlignment="1">
      <alignment horizontal="center" vertical="center" wrapText="1"/>
    </xf>
    <xf numFmtId="0" fontId="10" fillId="54" borderId="38" xfId="0" applyFont="1" applyFill="1" applyBorder="1" applyAlignment="1">
      <alignment horizontal="center" vertical="center" wrapText="1"/>
    </xf>
    <xf numFmtId="0" fontId="9" fillId="54" borderId="35" xfId="0" applyFont="1" applyFill="1" applyBorder="1" applyAlignment="1">
      <alignment horizontal="left" vertical="center" wrapText="1"/>
    </xf>
    <xf numFmtId="0" fontId="9" fillId="54" borderId="26" xfId="0" applyFont="1" applyFill="1" applyBorder="1" applyAlignment="1">
      <alignment horizontal="left" vertical="center" wrapText="1"/>
    </xf>
    <xf numFmtId="0" fontId="9" fillId="54" borderId="64" xfId="0" applyFont="1" applyFill="1" applyBorder="1" applyAlignment="1">
      <alignment horizontal="left" vertical="center" wrapText="1"/>
    </xf>
    <xf numFmtId="0" fontId="9" fillId="54" borderId="15" xfId="0" applyFont="1" applyFill="1" applyBorder="1" applyAlignment="1">
      <alignment horizontal="left" vertical="center" wrapText="1"/>
    </xf>
    <xf numFmtId="0" fontId="10" fillId="54" borderId="15" xfId="0" applyFont="1" applyFill="1" applyBorder="1" applyAlignment="1">
      <alignment horizontal="center" vertical="center" wrapText="1"/>
    </xf>
    <xf numFmtId="0" fontId="8" fillId="0" borderId="0" xfId="0" applyFont="1" applyAlignment="1">
      <alignment horizontal="left" wrapText="1"/>
    </xf>
    <xf numFmtId="0" fontId="26" fillId="0" borderId="0" xfId="0" applyFont="1" applyAlignment="1">
      <alignment horizontal="left" wrapText="1"/>
    </xf>
    <xf numFmtId="0" fontId="10" fillId="54" borderId="17" xfId="0" applyFont="1" applyFill="1" applyBorder="1" applyAlignment="1">
      <alignment horizontal="center" vertical="center" wrapText="1"/>
    </xf>
    <xf numFmtId="0" fontId="10" fillId="54" borderId="65" xfId="0" applyFont="1" applyFill="1" applyBorder="1" applyAlignment="1">
      <alignment horizontal="center" vertical="center" wrapText="1"/>
    </xf>
    <xf numFmtId="0" fontId="7" fillId="55" borderId="0" xfId="0" applyFont="1" applyFill="1" applyBorder="1" applyAlignment="1">
      <alignment horizontal="center" vertical="center" wrapText="1"/>
    </xf>
    <xf numFmtId="0" fontId="10" fillId="54" borderId="46" xfId="0" applyFont="1" applyFill="1" applyBorder="1" applyAlignment="1">
      <alignment horizontal="center" vertical="center" wrapText="1"/>
    </xf>
    <xf numFmtId="0" fontId="14" fillId="55" borderId="43" xfId="0" applyFont="1" applyFill="1" applyBorder="1" applyAlignment="1">
      <alignment horizontal="center" vertical="center" wrapText="1"/>
    </xf>
    <xf numFmtId="0" fontId="14" fillId="55" borderId="21" xfId="0" applyFont="1" applyFill="1" applyBorder="1" applyAlignment="1">
      <alignment horizontal="center" vertical="center" wrapText="1"/>
    </xf>
    <xf numFmtId="0" fontId="14" fillId="55" borderId="20" xfId="0" applyFont="1" applyFill="1" applyBorder="1" applyAlignment="1">
      <alignment horizontal="center" vertical="center" wrapText="1"/>
    </xf>
    <xf numFmtId="0" fontId="16" fillId="55" borderId="15" xfId="0" applyFont="1" applyFill="1" applyBorder="1" applyAlignment="1">
      <alignment horizontal="center" vertical="center" wrapText="1"/>
    </xf>
    <xf numFmtId="0" fontId="21" fillId="0" borderId="15" xfId="0" applyFont="1" applyBorder="1" applyAlignment="1">
      <alignment horizontal="center" wrapText="1"/>
    </xf>
    <xf numFmtId="0" fontId="21" fillId="0" borderId="43" xfId="0" applyFont="1" applyBorder="1" applyAlignment="1">
      <alignment horizontal="left" vertical="justify"/>
    </xf>
    <xf numFmtId="0" fontId="21" fillId="0" borderId="21" xfId="0" applyFont="1" applyBorder="1" applyAlignment="1">
      <alignment horizontal="left" vertical="justify"/>
    </xf>
    <xf numFmtId="0" fontId="21" fillId="0" borderId="20" xfId="0" applyFont="1" applyBorder="1" applyAlignment="1">
      <alignment horizontal="left" vertical="justify"/>
    </xf>
    <xf numFmtId="0" fontId="10" fillId="54" borderId="39" xfId="0" applyFont="1" applyFill="1" applyBorder="1" applyAlignment="1">
      <alignment horizontal="center" vertical="center" wrapText="1"/>
    </xf>
    <xf numFmtId="0" fontId="10" fillId="54" borderId="18" xfId="0" applyFont="1" applyFill="1" applyBorder="1" applyAlignment="1">
      <alignment horizontal="center" vertical="center" wrapText="1"/>
    </xf>
    <xf numFmtId="0" fontId="3" fillId="0" borderId="15" xfId="0" applyFont="1" applyBorder="1" applyAlignment="1">
      <alignment horizontal="center" vertical="center" wrapText="1"/>
    </xf>
    <xf numFmtId="0" fontId="4" fillId="0" borderId="15" xfId="0" applyFont="1" applyBorder="1" applyAlignment="1">
      <alignment horizontal="left" vertical="center" wrapText="1"/>
    </xf>
    <xf numFmtId="0" fontId="5" fillId="55" borderId="15" xfId="0" applyFont="1" applyFill="1" applyBorder="1" applyAlignment="1">
      <alignment horizontal="center" vertical="top" wrapText="1"/>
    </xf>
    <xf numFmtId="0" fontId="10" fillId="54" borderId="0" xfId="0" applyFont="1" applyFill="1" applyBorder="1" applyAlignment="1">
      <alignment horizontal="center" vertical="center" wrapText="1"/>
    </xf>
    <xf numFmtId="0" fontId="16" fillId="58" borderId="66" xfId="0" applyFont="1" applyFill="1" applyBorder="1" applyAlignment="1">
      <alignment horizontal="center" vertical="center" wrapText="1"/>
    </xf>
    <xf numFmtId="0" fontId="16" fillId="58" borderId="67" xfId="0" applyFont="1" applyFill="1" applyBorder="1" applyAlignment="1">
      <alignment horizontal="center" vertical="center" wrapText="1"/>
    </xf>
    <xf numFmtId="0" fontId="16" fillId="58" borderId="68" xfId="0" applyFont="1" applyFill="1" applyBorder="1" applyAlignment="1">
      <alignment horizontal="center" vertical="center" wrapText="1"/>
    </xf>
    <xf numFmtId="0" fontId="14" fillId="54" borderId="69" xfId="0" applyFont="1" applyFill="1" applyBorder="1" applyAlignment="1">
      <alignment horizontal="center" vertical="center" wrapText="1"/>
    </xf>
    <xf numFmtId="0" fontId="14" fillId="54" borderId="21" xfId="0" applyFont="1" applyFill="1" applyBorder="1" applyAlignment="1">
      <alignment horizontal="center" vertical="center" wrapText="1"/>
    </xf>
    <xf numFmtId="0" fontId="14" fillId="54" borderId="70" xfId="0" applyFont="1" applyFill="1" applyBorder="1" applyAlignment="1">
      <alignment horizontal="center" vertical="center" wrapText="1"/>
    </xf>
    <xf numFmtId="0" fontId="21" fillId="54" borderId="15" xfId="0" applyFont="1" applyFill="1" applyBorder="1" applyAlignment="1">
      <alignment horizontal="center" wrapText="1"/>
    </xf>
    <xf numFmtId="14" fontId="6" fillId="55" borderId="43" xfId="0" applyNumberFormat="1" applyFont="1" applyFill="1" applyBorder="1" applyAlignment="1">
      <alignment horizontal="center" wrapText="1"/>
    </xf>
    <xf numFmtId="14" fontId="6" fillId="55" borderId="20" xfId="0" applyNumberFormat="1" applyFont="1" applyFill="1" applyBorder="1" applyAlignment="1">
      <alignment horizontal="center" wrapText="1"/>
    </xf>
    <xf numFmtId="0" fontId="14" fillId="55" borderId="15" xfId="0" applyFont="1" applyFill="1" applyBorder="1" applyAlignment="1">
      <alignment horizontal="center" vertical="center" wrapText="1"/>
    </xf>
    <xf numFmtId="0" fontId="17" fillId="0" borderId="0" xfId="0" applyFont="1" applyBorder="1" applyAlignment="1">
      <alignment horizontal="center" wrapText="1"/>
    </xf>
    <xf numFmtId="0" fontId="16" fillId="55" borderId="66" xfId="0" applyFont="1" applyFill="1" applyBorder="1" applyAlignment="1">
      <alignment horizontal="center" vertical="center" wrapText="1"/>
    </xf>
    <xf numFmtId="0" fontId="16" fillId="55" borderId="67" xfId="0" applyFont="1" applyFill="1" applyBorder="1" applyAlignment="1">
      <alignment horizontal="center" vertical="center" wrapText="1"/>
    </xf>
    <xf numFmtId="0" fontId="16" fillId="55" borderId="68" xfId="0" applyFont="1" applyFill="1" applyBorder="1" applyAlignment="1">
      <alignment horizontal="center" vertical="center" wrapText="1"/>
    </xf>
    <xf numFmtId="0" fontId="0" fillId="0" borderId="15" xfId="0" applyBorder="1" applyAlignment="1">
      <alignment horizontal="center" wrapText="1"/>
    </xf>
    <xf numFmtId="44" fontId="0" fillId="58" borderId="43" xfId="93" applyFont="1" applyFill="1" applyBorder="1" applyAlignment="1">
      <alignment horizontal="center" vertical="center" wrapText="1"/>
    </xf>
    <xf numFmtId="44" fontId="0" fillId="58" borderId="21" xfId="93" applyFont="1" applyFill="1" applyBorder="1" applyAlignment="1">
      <alignment horizontal="center" vertical="center" wrapText="1"/>
    </xf>
    <xf numFmtId="44" fontId="0" fillId="58" borderId="20" xfId="93" applyFont="1" applyFill="1" applyBorder="1" applyAlignment="1">
      <alignment horizontal="center" vertical="center" wrapText="1"/>
    </xf>
    <xf numFmtId="44" fontId="2" fillId="55" borderId="43" xfId="93" applyFont="1" applyFill="1" applyBorder="1" applyAlignment="1">
      <alignment horizontal="center" vertical="center" wrapText="1"/>
    </xf>
    <xf numFmtId="44" fontId="2" fillId="55" borderId="21" xfId="93" applyFont="1" applyFill="1" applyBorder="1" applyAlignment="1">
      <alignment horizontal="center" vertical="center" wrapText="1"/>
    </xf>
    <xf numFmtId="44" fontId="2" fillId="55" borderId="20" xfId="93" applyFont="1" applyFill="1" applyBorder="1" applyAlignment="1">
      <alignment horizontal="center" vertical="center" wrapText="1"/>
    </xf>
    <xf numFmtId="0" fontId="8" fillId="0" borderId="43" xfId="0" applyFont="1" applyBorder="1" applyAlignment="1">
      <alignment horizontal="left" wrapText="1"/>
    </xf>
    <xf numFmtId="0" fontId="8" fillId="0" borderId="21" xfId="0" applyFont="1" applyBorder="1" applyAlignment="1">
      <alignment horizontal="left" wrapText="1"/>
    </xf>
    <xf numFmtId="0" fontId="8" fillId="0" borderId="20" xfId="0" applyFont="1" applyBorder="1" applyAlignment="1">
      <alignment horizontal="left" wrapText="1"/>
    </xf>
    <xf numFmtId="44" fontId="10" fillId="54" borderId="37" xfId="93" applyFont="1" applyFill="1" applyBorder="1" applyAlignment="1">
      <alignment horizontal="center" vertical="center" wrapText="1"/>
    </xf>
    <xf numFmtId="44" fontId="10" fillId="54" borderId="59" xfId="93" applyFont="1" applyFill="1" applyBorder="1" applyAlignment="1">
      <alignment horizontal="center" vertical="center" wrapText="1"/>
    </xf>
    <xf numFmtId="44" fontId="10" fillId="54" borderId="15" xfId="93" applyFont="1" applyFill="1" applyBorder="1" applyAlignment="1">
      <alignment horizontal="center" vertical="center" wrapText="1"/>
    </xf>
    <xf numFmtId="0" fontId="27" fillId="14" borderId="55" xfId="104" applyFont="1" applyFill="1" applyBorder="1" applyAlignment="1">
      <alignment horizontal="center" vertical="center"/>
      <protection/>
    </xf>
    <xf numFmtId="0" fontId="32" fillId="14" borderId="56" xfId="104" applyFont="1" applyFill="1" applyBorder="1" applyAlignment="1">
      <alignment horizontal="left" vertical="center"/>
      <protection/>
    </xf>
    <xf numFmtId="0" fontId="27" fillId="14" borderId="57" xfId="104" applyFont="1" applyFill="1" applyBorder="1" applyAlignment="1">
      <alignment horizontal="center" vertical="center"/>
      <protection/>
    </xf>
    <xf numFmtId="0" fontId="27" fillId="14" borderId="57" xfId="104" applyFont="1" applyFill="1" applyBorder="1" applyAlignment="1">
      <alignment horizontal="center" vertical="center" wrapText="1"/>
      <protection/>
    </xf>
    <xf numFmtId="0" fontId="27" fillId="14" borderId="57" xfId="104" applyFont="1" applyFill="1" applyBorder="1" applyAlignment="1">
      <alignment horizontal="center"/>
      <protection/>
    </xf>
    <xf numFmtId="185" fontId="32" fillId="80" borderId="43" xfId="100" applyFont="1" applyFill="1" applyBorder="1" applyAlignment="1" applyProtection="1">
      <alignment horizontal="center" vertical="center"/>
      <protection/>
    </xf>
    <xf numFmtId="185" fontId="32" fillId="80" borderId="21" xfId="100" applyFont="1" applyFill="1" applyBorder="1" applyAlignment="1" applyProtection="1">
      <alignment horizontal="center" vertical="center"/>
      <protection/>
    </xf>
    <xf numFmtId="185" fontId="32" fillId="80" borderId="20" xfId="100" applyFont="1" applyFill="1" applyBorder="1" applyAlignment="1" applyProtection="1">
      <alignment horizontal="center" vertical="center"/>
      <protection/>
    </xf>
    <xf numFmtId="0" fontId="32" fillId="14" borderId="0" xfId="104" applyFont="1" applyFill="1" applyBorder="1" applyAlignment="1">
      <alignment horizontal="center" vertical="center" wrapText="1"/>
      <protection/>
    </xf>
    <xf numFmtId="0" fontId="32" fillId="14" borderId="0" xfId="108" applyFont="1" applyFill="1" applyBorder="1" applyAlignment="1">
      <alignment horizontal="center" vertical="center" wrapText="1"/>
      <protection/>
    </xf>
    <xf numFmtId="0" fontId="27" fillId="48" borderId="0" xfId="104" applyFont="1" applyFill="1" applyBorder="1" applyAlignment="1">
      <alignment horizontal="center" vertical="center"/>
      <protection/>
    </xf>
    <xf numFmtId="0" fontId="32" fillId="14" borderId="0" xfId="104" applyFont="1" applyFill="1" applyBorder="1" applyAlignment="1">
      <alignment horizontal="left" vertical="center" wrapText="1"/>
      <protection/>
    </xf>
    <xf numFmtId="0" fontId="3" fillId="14" borderId="0" xfId="104" applyFont="1" applyFill="1" applyBorder="1" applyAlignment="1">
      <alignment horizontal="center" vertical="center" textRotation="90" wrapText="1"/>
      <protection/>
    </xf>
    <xf numFmtId="185" fontId="32" fillId="0" borderId="43" xfId="100" applyFont="1" applyFill="1" applyBorder="1" applyAlignment="1" applyProtection="1">
      <alignment horizontal="center" vertical="center" wrapText="1"/>
      <protection/>
    </xf>
    <xf numFmtId="185" fontId="32" fillId="0" borderId="21" xfId="100" applyFont="1" applyFill="1" applyBorder="1" applyAlignment="1" applyProtection="1">
      <alignment horizontal="center" vertical="center" wrapText="1"/>
      <protection/>
    </xf>
    <xf numFmtId="185" fontId="32" fillId="0" borderId="20" xfId="100" applyFont="1" applyFill="1" applyBorder="1" applyAlignment="1" applyProtection="1">
      <alignment horizontal="center" vertical="center" wrapText="1"/>
      <protection/>
    </xf>
    <xf numFmtId="0" fontId="27" fillId="14" borderId="0" xfId="104" applyFont="1" applyFill="1" applyBorder="1" applyAlignment="1">
      <alignment horizontal="center" vertical="center" wrapText="1"/>
      <protection/>
    </xf>
    <xf numFmtId="0" fontId="27" fillId="48" borderId="0" xfId="104" applyFill="1" applyBorder="1" applyAlignment="1">
      <alignment horizontal="center" vertical="center"/>
      <protection/>
    </xf>
    <xf numFmtId="0" fontId="27" fillId="48" borderId="15" xfId="104" applyFont="1" applyFill="1" applyBorder="1" applyAlignment="1">
      <alignment horizontal="center" vertical="center"/>
      <protection/>
    </xf>
    <xf numFmtId="0" fontId="27" fillId="0" borderId="0" xfId="104" applyFill="1" applyBorder="1" applyAlignment="1">
      <alignment horizontal="left" vertical="center" wrapText="1"/>
      <protection/>
    </xf>
    <xf numFmtId="0" fontId="27" fillId="0" borderId="0" xfId="104" applyFont="1" applyFill="1" applyBorder="1" applyAlignment="1">
      <alignment horizontal="left" vertical="center" wrapText="1"/>
      <protection/>
    </xf>
    <xf numFmtId="0" fontId="32" fillId="14" borderId="0" xfId="104" applyFont="1" applyFill="1" applyBorder="1" applyAlignment="1">
      <alignment horizontal="center" vertical="center"/>
      <protection/>
    </xf>
    <xf numFmtId="0" fontId="34" fillId="14" borderId="0" xfId="104" applyFont="1" applyFill="1" applyBorder="1" applyAlignment="1">
      <alignment horizontal="center" vertical="center" wrapText="1"/>
      <protection/>
    </xf>
    <xf numFmtId="0" fontId="32" fillId="0" borderId="71" xfId="104" applyFont="1" applyFill="1" applyBorder="1" applyAlignment="1">
      <alignment horizontal="center" vertical="center" wrapText="1"/>
      <protection/>
    </xf>
    <xf numFmtId="0" fontId="32" fillId="0" borderId="0" xfId="104" applyFont="1" applyFill="1" applyBorder="1" applyAlignment="1">
      <alignment horizontal="center" vertical="center" wrapText="1"/>
      <protection/>
    </xf>
    <xf numFmtId="0" fontId="32" fillId="14" borderId="15" xfId="104" applyFont="1" applyFill="1" applyBorder="1" applyAlignment="1">
      <alignment horizontal="center" vertical="center" wrapText="1"/>
      <protection/>
    </xf>
    <xf numFmtId="185" fontId="32" fillId="14" borderId="15" xfId="100" applyFont="1" applyFill="1" applyBorder="1" applyAlignment="1" applyProtection="1">
      <alignment horizontal="center" vertical="center" wrapText="1"/>
      <protection/>
    </xf>
    <xf numFmtId="185" fontId="32" fillId="14" borderId="15" xfId="100" applyFont="1" applyFill="1" applyBorder="1" applyAlignment="1" applyProtection="1">
      <alignment horizontal="center" vertical="center"/>
      <protection/>
    </xf>
    <xf numFmtId="185" fontId="32" fillId="14" borderId="43" xfId="100" applyFont="1" applyFill="1" applyBorder="1" applyAlignment="1" applyProtection="1">
      <alignment horizontal="center" vertical="center"/>
      <protection/>
    </xf>
    <xf numFmtId="185" fontId="32" fillId="14" borderId="21" xfId="100" applyFont="1" applyFill="1" applyBorder="1" applyAlignment="1" applyProtection="1">
      <alignment horizontal="center" vertical="center"/>
      <protection/>
    </xf>
    <xf numFmtId="185" fontId="32" fillId="14" borderId="20" xfId="100" applyFont="1" applyFill="1" applyBorder="1" applyAlignment="1" applyProtection="1">
      <alignment horizontal="center" vertical="center"/>
      <protection/>
    </xf>
    <xf numFmtId="0" fontId="32" fillId="14" borderId="15" xfId="104" applyFont="1" applyFill="1" applyBorder="1" applyAlignment="1">
      <alignment horizontal="center" vertical="center"/>
      <protection/>
    </xf>
    <xf numFmtId="0" fontId="32" fillId="48" borderId="15" xfId="104" applyFont="1" applyFill="1" applyBorder="1" applyAlignment="1">
      <alignment horizontal="center" vertical="center" wrapText="1"/>
      <protection/>
    </xf>
    <xf numFmtId="0" fontId="0" fillId="58" borderId="72" xfId="0" applyFill="1" applyBorder="1" applyAlignment="1">
      <alignment horizontal="center" vertical="center" wrapText="1"/>
    </xf>
    <xf numFmtId="0" fontId="0" fillId="58" borderId="73" xfId="0" applyFill="1" applyBorder="1" applyAlignment="1">
      <alignment horizontal="center" vertical="center" wrapText="1"/>
    </xf>
    <xf numFmtId="0" fontId="0" fillId="58" borderId="74" xfId="0" applyFill="1" applyBorder="1" applyAlignment="1">
      <alignment horizontal="center" vertical="center" wrapText="1"/>
    </xf>
    <xf numFmtId="0" fontId="0" fillId="58" borderId="62" xfId="0" applyFill="1" applyBorder="1" applyAlignment="1">
      <alignment horizontal="center" vertical="center" wrapText="1"/>
    </xf>
    <xf numFmtId="0" fontId="0" fillId="58" borderId="75" xfId="0" applyFill="1" applyBorder="1" applyAlignment="1">
      <alignment horizontal="center" vertical="center" wrapText="1"/>
    </xf>
    <xf numFmtId="0" fontId="0" fillId="58" borderId="76" xfId="0" applyFill="1" applyBorder="1" applyAlignment="1">
      <alignment horizontal="center" vertical="center" wrapText="1"/>
    </xf>
    <xf numFmtId="44" fontId="2" fillId="58" borderId="77" xfId="93" applyFont="1" applyFill="1" applyBorder="1" applyAlignment="1">
      <alignment horizontal="center" vertical="center" wrapText="1"/>
    </xf>
    <xf numFmtId="44" fontId="2" fillId="58" borderId="49" xfId="93" applyFont="1" applyFill="1" applyBorder="1" applyAlignment="1">
      <alignment horizontal="center" vertical="center" wrapText="1"/>
    </xf>
    <xf numFmtId="0" fontId="15" fillId="58" borderId="15" xfId="0" applyFont="1" applyFill="1" applyBorder="1" applyAlignment="1">
      <alignment horizontal="center" vertical="center" wrapText="1"/>
    </xf>
    <xf numFmtId="44" fontId="15" fillId="58" borderId="15" xfId="93" applyFont="1" applyFill="1" applyBorder="1" applyAlignment="1">
      <alignment horizontal="center" vertical="center" wrapText="1"/>
    </xf>
    <xf numFmtId="0" fontId="16" fillId="58" borderId="15" xfId="0" applyFont="1" applyFill="1" applyBorder="1" applyAlignment="1">
      <alignment horizontal="center" vertical="center" wrapText="1"/>
    </xf>
    <xf numFmtId="44" fontId="2" fillId="71" borderId="77" xfId="93" applyFont="1" applyFill="1" applyBorder="1" applyAlignment="1">
      <alignment horizontal="center" vertical="center" wrapText="1"/>
    </xf>
    <xf numFmtId="44" fontId="2" fillId="71" borderId="49" xfId="93" applyFont="1" applyFill="1" applyBorder="1" applyAlignment="1">
      <alignment horizontal="center" vertical="center" wrapText="1"/>
    </xf>
    <xf numFmtId="0" fontId="21" fillId="71" borderId="72" xfId="0" applyFont="1" applyFill="1" applyBorder="1" applyAlignment="1">
      <alignment horizontal="center" vertical="center" wrapText="1"/>
    </xf>
    <xf numFmtId="0" fontId="21" fillId="71" borderId="73" xfId="0" applyFont="1" applyFill="1" applyBorder="1" applyAlignment="1">
      <alignment horizontal="center" vertical="center" wrapText="1"/>
    </xf>
    <xf numFmtId="0" fontId="21" fillId="71" borderId="74" xfId="0" applyFont="1" applyFill="1" applyBorder="1" applyAlignment="1">
      <alignment horizontal="center" vertical="center" wrapText="1"/>
    </xf>
    <xf numFmtId="0" fontId="21" fillId="71" borderId="62" xfId="0" applyFont="1" applyFill="1" applyBorder="1" applyAlignment="1">
      <alignment horizontal="center" vertical="center" wrapText="1"/>
    </xf>
    <xf numFmtId="0" fontId="21" fillId="71" borderId="75" xfId="0" applyFont="1" applyFill="1" applyBorder="1" applyAlignment="1">
      <alignment horizontal="center" vertical="center" wrapText="1"/>
    </xf>
    <xf numFmtId="0" fontId="21" fillId="71" borderId="76" xfId="0" applyFont="1" applyFill="1" applyBorder="1" applyAlignment="1">
      <alignment horizontal="center" vertical="center" wrapText="1"/>
    </xf>
    <xf numFmtId="0" fontId="26" fillId="0" borderId="0" xfId="0" applyFont="1" applyAlignment="1">
      <alignment wrapText="1"/>
    </xf>
    <xf numFmtId="0" fontId="0" fillId="0" borderId="0" xfId="0" applyBorder="1" applyAlignment="1">
      <alignment horizontal="center" wrapText="1"/>
    </xf>
    <xf numFmtId="0" fontId="26" fillId="0" borderId="0" xfId="0" applyFont="1" applyAlignment="1">
      <alignment horizontal="center" wrapText="1"/>
    </xf>
    <xf numFmtId="0" fontId="31" fillId="0" borderId="0" xfId="0" applyFont="1" applyAlignment="1">
      <alignment wrapText="1"/>
    </xf>
    <xf numFmtId="9" fontId="31" fillId="0" borderId="0" xfId="0" applyNumberFormat="1" applyFont="1" applyAlignment="1">
      <alignment wrapText="1"/>
    </xf>
  </cellXfs>
  <cellStyles count="147">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40% - Accent1" xfId="27"/>
    <cellStyle name="40% - Accent2" xfId="28"/>
    <cellStyle name="40% - Accent3" xfId="29"/>
    <cellStyle name="40% - Accent4" xfId="30"/>
    <cellStyle name="40% - Accent5" xfId="31"/>
    <cellStyle name="40% - Accent6" xfId="32"/>
    <cellStyle name="40% - Énfasis1" xfId="33"/>
    <cellStyle name="40% - Énfasis2" xfId="34"/>
    <cellStyle name="40% - Énfasis3" xfId="35"/>
    <cellStyle name="40% - Énfasis4" xfId="36"/>
    <cellStyle name="40% - Énfasis5" xfId="37"/>
    <cellStyle name="40% - Énfasis6" xfId="38"/>
    <cellStyle name="60% - Accent1" xfId="39"/>
    <cellStyle name="60% - Accent2" xfId="40"/>
    <cellStyle name="60% - Accent3" xfId="41"/>
    <cellStyle name="60% - Accent4" xfId="42"/>
    <cellStyle name="60% - Accent5" xfId="43"/>
    <cellStyle name="60% - Accent6" xfId="44"/>
    <cellStyle name="60% - Énfasis1" xfId="45"/>
    <cellStyle name="60% - Énfasis2" xfId="46"/>
    <cellStyle name="60% - Énfasis3" xfId="47"/>
    <cellStyle name="60% - Énfasis4" xfId="48"/>
    <cellStyle name="60% - Énfasis5" xfId="49"/>
    <cellStyle name="60% - Énfasis6" xfId="50"/>
    <cellStyle name="Accent1" xfId="51"/>
    <cellStyle name="Accent2" xfId="52"/>
    <cellStyle name="Accent3" xfId="53"/>
    <cellStyle name="Accent4" xfId="54"/>
    <cellStyle name="Accent5" xfId="55"/>
    <cellStyle name="Accent6" xfId="56"/>
    <cellStyle name="Bad" xfId="57"/>
    <cellStyle name="Buena" xfId="58"/>
    <cellStyle name="Calculation" xfId="59"/>
    <cellStyle name="Cálculo" xfId="60"/>
    <cellStyle name="Campo de la tabla dinámica" xfId="61"/>
    <cellStyle name="Categoría de la tabla dinámica" xfId="62"/>
    <cellStyle name="Celda de comprobación" xfId="63"/>
    <cellStyle name="Celda vinculada" xfId="64"/>
    <cellStyle name="Comma 2" xfId="65"/>
    <cellStyle name="Comma 2 2" xfId="66"/>
    <cellStyle name="Comma 3" xfId="67"/>
    <cellStyle name="Comma 4" xfId="68"/>
    <cellStyle name="Currency 2" xfId="69"/>
    <cellStyle name="Currency 2 2" xfId="70"/>
    <cellStyle name="Currency 3" xfId="71"/>
    <cellStyle name="Currency 4" xfId="72"/>
    <cellStyle name="Encabezado 4" xfId="73"/>
    <cellStyle name="Énfasis1" xfId="74"/>
    <cellStyle name="Énfasis2" xfId="75"/>
    <cellStyle name="Énfasis3" xfId="76"/>
    <cellStyle name="Énfasis4" xfId="77"/>
    <cellStyle name="Énfasis5" xfId="78"/>
    <cellStyle name="Énfasis6" xfId="79"/>
    <cellStyle name="Entrada" xfId="80"/>
    <cellStyle name="Esquina de la tabla dinámica" xfId="81"/>
    <cellStyle name="Euro" xfId="82"/>
    <cellStyle name="Excel Built-in TableStyleLight1" xfId="83"/>
    <cellStyle name="Explanatory Text" xfId="84"/>
    <cellStyle name="Heading 1" xfId="85"/>
    <cellStyle name="Heading 2" xfId="86"/>
    <cellStyle name="Heading 3" xfId="87"/>
    <cellStyle name="Incorrecto" xfId="88"/>
    <cellStyle name="Comma" xfId="89"/>
    <cellStyle name="Comma [0]" xfId="90"/>
    <cellStyle name="Millares 2" xfId="91"/>
    <cellStyle name="Millares 3" xfId="92"/>
    <cellStyle name="Currency" xfId="93"/>
    <cellStyle name="Currency [0]" xfId="94"/>
    <cellStyle name="Moneda 2" xfId="95"/>
    <cellStyle name="Moneda 2 2" xfId="96"/>
    <cellStyle name="Moneda 2 3" xfId="97"/>
    <cellStyle name="Moneda 3" xfId="98"/>
    <cellStyle name="Moneda 4" xfId="99"/>
    <cellStyle name="Moneda 5" xfId="100"/>
    <cellStyle name="Neutral" xfId="101"/>
    <cellStyle name="Normal 10" xfId="102"/>
    <cellStyle name="Normal 11" xfId="103"/>
    <cellStyle name="Normal 12" xfId="104"/>
    <cellStyle name="Normal 2" xfId="105"/>
    <cellStyle name="Normal 2 10 2" xfId="106"/>
    <cellStyle name="Normal 2 2" xfId="107"/>
    <cellStyle name="Normal 2 2 2" xfId="108"/>
    <cellStyle name="Normal 2 3" xfId="109"/>
    <cellStyle name="Normal 2 4" xfId="110"/>
    <cellStyle name="Normal 2 6 10 2" xfId="111"/>
    <cellStyle name="Normal 2_PROYECTO 00084597_BALANCE DE CAJA ENERO a AGOSTO" xfId="112"/>
    <cellStyle name="Normal 3" xfId="113"/>
    <cellStyle name="Normal 3 2" xfId="114"/>
    <cellStyle name="Normal 3 3" xfId="115"/>
    <cellStyle name="Normal 3 4" xfId="116"/>
    <cellStyle name="Normal 3 5" xfId="117"/>
    <cellStyle name="Normal 3 6" xfId="118"/>
    <cellStyle name="Normal 3 7" xfId="119"/>
    <cellStyle name="Normal 4" xfId="120"/>
    <cellStyle name="Normal 4 2" xfId="121"/>
    <cellStyle name="Normal 4 3" xfId="122"/>
    <cellStyle name="Normal 5" xfId="123"/>
    <cellStyle name="Normal 5 2" xfId="124"/>
    <cellStyle name="Normal 5 3" xfId="125"/>
    <cellStyle name="Normal 6" xfId="126"/>
    <cellStyle name="Normal 6 2" xfId="127"/>
    <cellStyle name="Normal 7" xfId="128"/>
    <cellStyle name="Normal 8" xfId="129"/>
    <cellStyle name="Normal 9" xfId="130"/>
    <cellStyle name="Normal_EJECUCION FINANCIERA COMPRAS NIM 2015" xfId="131"/>
    <cellStyle name="Notas" xfId="132"/>
    <cellStyle name="Output" xfId="133"/>
    <cellStyle name="Percent 2" xfId="134"/>
    <cellStyle name="Percent 2 2" xfId="135"/>
    <cellStyle name="Percent" xfId="136"/>
    <cellStyle name="Resultado de la tabla dinámica" xfId="137"/>
    <cellStyle name="Salida" xfId="138"/>
    <cellStyle name="Sin nombre 1" xfId="139"/>
    <cellStyle name="Sin nombre1" xfId="140"/>
    <cellStyle name="Sin nombre15" xfId="141"/>
    <cellStyle name="Sin nombre16" xfId="142"/>
    <cellStyle name="Sin nombre17" xfId="143"/>
    <cellStyle name="Sin nombre2" xfId="144"/>
    <cellStyle name="Sin nombre3" xfId="145"/>
    <cellStyle name="Sin nombre4" xfId="146"/>
    <cellStyle name="Sin nombre5" xfId="147"/>
    <cellStyle name="Sin nombre6" xfId="148"/>
    <cellStyle name="Sin nombre7" xfId="149"/>
    <cellStyle name="TableStyleLight1" xfId="150"/>
    <cellStyle name="Texto de advertencia" xfId="151"/>
    <cellStyle name="Texto explicativo" xfId="152"/>
    <cellStyle name="Title" xfId="153"/>
    <cellStyle name="Título" xfId="154"/>
    <cellStyle name="Título 1" xfId="155"/>
    <cellStyle name="Título 2" xfId="156"/>
    <cellStyle name="Título 3" xfId="157"/>
    <cellStyle name="Título de la tabla dinámica" xfId="158"/>
    <cellStyle name="Total" xfId="159"/>
    <cellStyle name="Valor de la tabla dinámica" xfId="1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externalLink" Target="externalLinks/externalLink9.xml" /><Relationship Id="rId16" Type="http://schemas.openxmlformats.org/officeDocument/2006/relationships/externalLink" Target="externalLinks/externalLink10.xml" /><Relationship Id="rId17" Type="http://schemas.openxmlformats.org/officeDocument/2006/relationships/externalLink" Target="externalLinks/externalLink1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progra%20y%20Recal%20%20NMF%20VIH%20S3%20EN-%20JUN%20%202015%20ACTUALIZADO%2011092015%204%2020PM.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G:\28%20Agosto%202015\PU%203%20EN%20JUN%2015%20VIH\ANEXO%20P3%20PROYECTO%20FG%20VIHSIDA%20SSF%20NMF%20ENE%20JUN%20201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Users\juan\AppData\Local\Temp\Anexo_2_Reprogramacion%20condicionada%20decision-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LAN%20DE%20ADQUISICIONES_El%20Salvador_Actualizado%20V14092015_MINSAL_ObsP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fuentes\Desktop\Reprogra%20y%20Recal%20%20NMF%20VIH%20S3%20EN-%20JUN%20%20201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PLAN%20DE%20COMPRAS%20MINSAL\Copia%20de%2015%2002%202015%20codigos%20por%20prod%20en%20el%20PLAN%20DE%20ADQUISICIONES_El%20%20Salvador_MD20130525%20(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stimaciones%20ARV%20Y%20REACTIVOS%20EB%20V%2017072015\Resumen%20Estimaci&#243;n%20Pruebas%20VIH%200710201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G:\15%2002%202015%20codigos%20por%20prod%20en%20el%20PLAN%20DE%20ADQUISICIONES_El%20Salvador_MD20130525%20(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G:\pnud%20agosto\Copia%20de%20PROYECTO%2000084597_BALANCE%20DE%20CAJA%20ENERO%20a%20AGOSTO.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G:\NFM%20Plan%20de%20Adquisiciones%20El%20Salvador_PLAN%20y%20MINSAL_Sep21%202015.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G:\PU%203%20EN%20JUN%2015%20VIH\EJECUCION%20FINANCIERA%20COMPRAS%20NIM%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neamientos"/>
      <sheetName val="General Economias SSF"/>
      <sheetName val="Rep Sust SSF"/>
      <sheetName val="Economias SSF- RRHH"/>
      <sheetName val="General NMF P1"/>
      <sheetName val="repr. sustantiva NMF P1"/>
      <sheetName val="Intereses 2012 PNUD"/>
      <sheetName val="Reprogramaciones internas P1"/>
      <sheetName val="Recalendarizaciones P1"/>
      <sheetName val="Reprogramaciones P1"/>
      <sheetName val="General NMF P2"/>
      <sheetName val="repr. sustantiva P2"/>
      <sheetName val="Reprogramaciones internas P2"/>
      <sheetName val="Recalendarizaciones S2"/>
      <sheetName val="Reprogramaciones S2"/>
      <sheetName val="General NMF S3 Año 2015"/>
      <sheetName val="Recalend MINSAL PNUD S3  2015"/>
      <sheetName val="EJECUCION FINANCIERA NMF AGO"/>
      <sheetName val="PNUD Plan 2015"/>
      <sheetName val="Ejecucion_Financiera MINSAL AGO"/>
      <sheetName val="FG UACI-31AGOSTO TO"/>
      <sheetName val="Reprog MINSAL PNUD S3 Año 2015"/>
    </sheetNames>
    <sheetDataSet>
      <sheetData sheetId="17">
        <row r="15">
          <cell r="R15">
            <v>15566.490000000002</v>
          </cell>
        </row>
        <row r="25">
          <cell r="P25">
            <v>760</v>
          </cell>
          <cell r="Q25">
            <v>455</v>
          </cell>
        </row>
        <row r="28">
          <cell r="Q28">
            <v>16027.61</v>
          </cell>
        </row>
        <row r="33">
          <cell r="P33">
            <v>20596.48</v>
          </cell>
          <cell r="Q33">
            <v>9914.84</v>
          </cell>
        </row>
        <row r="34">
          <cell r="P34">
            <v>45312.49</v>
          </cell>
          <cell r="Q34">
            <v>31324.971400000002</v>
          </cell>
          <cell r="S34">
            <v>12873.0386</v>
          </cell>
        </row>
        <row r="35">
          <cell r="R35">
            <v>14430</v>
          </cell>
        </row>
        <row r="36">
          <cell r="R36">
            <v>3105</v>
          </cell>
        </row>
        <row r="37">
          <cell r="S37">
            <v>4000</v>
          </cell>
        </row>
        <row r="38">
          <cell r="S38">
            <v>94639.23</v>
          </cell>
        </row>
        <row r="39">
          <cell r="S39">
            <v>16000</v>
          </cell>
        </row>
        <row r="40">
          <cell r="S40">
            <v>21500</v>
          </cell>
        </row>
        <row r="41">
          <cell r="S41">
            <v>14000</v>
          </cell>
        </row>
      </sheetData>
      <sheetData sheetId="18">
        <row r="7">
          <cell r="F7">
            <v>2080</v>
          </cell>
        </row>
      </sheetData>
      <sheetData sheetId="19">
        <row r="15">
          <cell r="AR15">
            <v>10903.15</v>
          </cell>
          <cell r="AS15">
            <v>70176</v>
          </cell>
        </row>
        <row r="30">
          <cell r="AQ30">
            <v>0</v>
          </cell>
          <cell r="AR30">
            <v>1500</v>
          </cell>
        </row>
        <row r="31">
          <cell r="AQ31">
            <v>0</v>
          </cell>
          <cell r="AR31">
            <v>3222.05</v>
          </cell>
        </row>
        <row r="53">
          <cell r="AQ53">
            <v>8.96</v>
          </cell>
        </row>
        <row r="55">
          <cell r="AS55">
            <v>600</v>
          </cell>
        </row>
        <row r="57">
          <cell r="AQ57">
            <v>0</v>
          </cell>
          <cell r="AR57">
            <v>671.4</v>
          </cell>
        </row>
        <row r="64">
          <cell r="AS64">
            <v>8748</v>
          </cell>
        </row>
        <row r="65">
          <cell r="AS65">
            <v>18810</v>
          </cell>
        </row>
        <row r="66">
          <cell r="AS66">
            <v>20456</v>
          </cell>
        </row>
        <row r="67">
          <cell r="AQ67">
            <v>1276</v>
          </cell>
          <cell r="AS67">
            <v>21426.14</v>
          </cell>
        </row>
        <row r="68">
          <cell r="AS68">
            <v>49120.5</v>
          </cell>
        </row>
        <row r="69">
          <cell r="AQ69">
            <v>11.28</v>
          </cell>
        </row>
        <row r="71">
          <cell r="AQ71">
            <v>0</v>
          </cell>
          <cell r="AR71">
            <v>11639.84</v>
          </cell>
        </row>
        <row r="72">
          <cell r="AQ72">
            <v>10547.66</v>
          </cell>
        </row>
        <row r="75">
          <cell r="AR75">
            <v>59112</v>
          </cell>
        </row>
        <row r="76">
          <cell r="AS76">
            <v>9018.94</v>
          </cell>
        </row>
        <row r="77">
          <cell r="AS77">
            <v>149203.5</v>
          </cell>
        </row>
        <row r="78">
          <cell r="AS78">
            <v>3995</v>
          </cell>
        </row>
        <row r="79">
          <cell r="AR79">
            <v>4664.73</v>
          </cell>
        </row>
        <row r="81">
          <cell r="AS81">
            <v>1379.16</v>
          </cell>
        </row>
        <row r="82">
          <cell r="AS82">
            <v>43680</v>
          </cell>
        </row>
        <row r="86">
          <cell r="AQ86">
            <v>4490.7</v>
          </cell>
        </row>
        <row r="95">
          <cell r="AS95">
            <v>68500</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Ejecucion_Financiera"/>
    </sheetNames>
    <sheetDataSet>
      <sheetData sheetId="0">
        <row r="112">
          <cell r="K112">
            <v>233.7</v>
          </cell>
          <cell r="Q112">
            <v>347023.95</v>
          </cell>
          <cell r="W112">
            <v>4290.7</v>
          </cell>
          <cell r="AH112">
            <v>1306791.2300000002</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Reprogramaciones S2_MINSAL-PNUD"/>
    </sheetNames>
    <sheetDataSet>
      <sheetData sheetId="0">
        <row r="56">
          <cell r="U56">
            <v>3150</v>
          </cell>
        </row>
        <row r="65">
          <cell r="U65">
            <v>196673.58860000002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umen"/>
      <sheetName val="Consolidado Medicamentos"/>
      <sheetName val="Consolidado prod. salud"/>
      <sheetName val="Plan compras anio 1 vs gastos"/>
      <sheetName val="Plan compras anio 2 planificado"/>
    </sheetNames>
    <sheetDataSet>
      <sheetData sheetId="3">
        <row r="28">
          <cell r="K28">
            <v>4.581222222222222</v>
          </cell>
        </row>
        <row r="29">
          <cell r="K29">
            <v>3.5858780487804878</v>
          </cell>
        </row>
        <row r="30">
          <cell r="K30">
            <v>70.88888888888889</v>
          </cell>
        </row>
        <row r="31">
          <cell r="K31">
            <v>5.0112</v>
          </cell>
        </row>
        <row r="32">
          <cell r="K32">
            <v>3.3</v>
          </cell>
        </row>
        <row r="46">
          <cell r="K46">
            <v>0.72</v>
          </cell>
        </row>
        <row r="62">
          <cell r="K62">
            <v>0</v>
          </cell>
        </row>
        <row r="63">
          <cell r="K63">
            <v>0</v>
          </cell>
        </row>
        <row r="65">
          <cell r="K65">
            <v>0</v>
          </cell>
        </row>
        <row r="77">
          <cell r="K77">
            <v>6.322289189189189</v>
          </cell>
        </row>
        <row r="78">
          <cell r="K78">
            <v>2.45433305785124</v>
          </cell>
        </row>
        <row r="83">
          <cell r="K83">
            <v>1</v>
          </cell>
        </row>
        <row r="84">
          <cell r="K84">
            <v>1</v>
          </cell>
        </row>
        <row r="94">
          <cell r="K94">
            <v>1673</v>
          </cell>
        </row>
        <row r="95">
          <cell r="K95">
            <v>4500</v>
          </cell>
        </row>
        <row r="96">
          <cell r="K96">
            <v>2750</v>
          </cell>
        </row>
        <row r="97">
          <cell r="K97">
            <v>695</v>
          </cell>
        </row>
        <row r="98">
          <cell r="K98">
            <v>970</v>
          </cell>
        </row>
        <row r="99">
          <cell r="K99">
            <v>2075</v>
          </cell>
        </row>
        <row r="100">
          <cell r="K100">
            <v>299</v>
          </cell>
        </row>
        <row r="101">
          <cell r="K101">
            <v>430</v>
          </cell>
        </row>
        <row r="102">
          <cell r="K102">
            <v>22.96666666666667</v>
          </cell>
        </row>
        <row r="103">
          <cell r="K103">
            <v>270</v>
          </cell>
        </row>
        <row r="104">
          <cell r="K104">
            <v>1709.71</v>
          </cell>
        </row>
        <row r="105">
          <cell r="K105">
            <v>265.53</v>
          </cell>
        </row>
        <row r="106">
          <cell r="K106">
            <v>353.98</v>
          </cell>
        </row>
        <row r="118">
          <cell r="K118">
            <v>2.7</v>
          </cell>
        </row>
        <row r="119">
          <cell r="K119">
            <v>7.6</v>
          </cell>
        </row>
        <row r="120">
          <cell r="K120">
            <v>62.04</v>
          </cell>
        </row>
        <row r="121">
          <cell r="K121">
            <v>55</v>
          </cell>
        </row>
        <row r="122">
          <cell r="K122">
            <v>2.8</v>
          </cell>
        </row>
        <row r="126">
          <cell r="K126">
            <v>15.5</v>
          </cell>
        </row>
        <row r="127">
          <cell r="K127">
            <v>158</v>
          </cell>
        </row>
        <row r="128">
          <cell r="K128">
            <v>2695</v>
          </cell>
        </row>
        <row r="167">
          <cell r="G167">
            <v>309091.7144444444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Lineamientos"/>
      <sheetName val="General Economias SSF"/>
      <sheetName val="Rep Sust SSF"/>
      <sheetName val="Economias SSF- RRHH"/>
      <sheetName val="General NMF P1"/>
      <sheetName val="repr. sustantiva NMF P1"/>
      <sheetName val="Intereses 2012 PNUD"/>
      <sheetName val="Reprogramaciones internas P1"/>
      <sheetName val="Recalendarizaciones P1"/>
      <sheetName val="Reprogramaciones P1"/>
      <sheetName val="General NMF P2"/>
      <sheetName val="repr. sustantiva P2"/>
      <sheetName val="Reprogramaciones internas P2"/>
      <sheetName val="Recalendarizaciones S2"/>
      <sheetName val="Reprogramaciones S2"/>
      <sheetName val="General NMF S3 Año 2015"/>
      <sheetName val="Recalend MINSAL PNUD S3  2015"/>
      <sheetName val="EJECUCION FINANCIERA NMF AGO"/>
      <sheetName val="PNUD Plan 2015"/>
      <sheetName val="Ejecucion_Financiera MINSAL AGO"/>
      <sheetName val="FG UACI-31AGOSTO TO"/>
      <sheetName val="Reprog MINSAL PNUD S3 Año 2015"/>
    </sheetNames>
    <sheetDataSet>
      <sheetData sheetId="16">
        <row r="33">
          <cell r="U33">
            <v>29469</v>
          </cell>
        </row>
        <row r="35">
          <cell r="U35">
            <v>18810</v>
          </cell>
        </row>
        <row r="39">
          <cell r="T39">
            <v>59112</v>
          </cell>
        </row>
        <row r="45">
          <cell r="U45">
            <v>600</v>
          </cell>
        </row>
        <row r="46">
          <cell r="U46">
            <v>43680</v>
          </cell>
        </row>
        <row r="83">
          <cell r="S83">
            <v>760</v>
          </cell>
          <cell r="T83">
            <v>455</v>
          </cell>
        </row>
      </sheetData>
      <sheetData sheetId="18">
        <row r="26">
          <cell r="G26">
            <v>16027.61</v>
          </cell>
        </row>
        <row r="35">
          <cell r="F35">
            <v>13424.05</v>
          </cell>
        </row>
      </sheetData>
      <sheetData sheetId="19">
        <row r="66">
          <cell r="AS66">
            <v>20456</v>
          </cell>
        </row>
        <row r="79">
          <cell r="AR79">
            <v>4664.73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sumen"/>
      <sheetName val="Consolidado Medicamentos"/>
      <sheetName val="Consolidado prod. salud"/>
      <sheetName val="Detalle medicinas y prod. salud"/>
    </sheetNames>
    <sheetDataSet>
      <sheetData sheetId="3">
        <row r="42">
          <cell r="N42">
            <v>1110</v>
          </cell>
        </row>
        <row r="43">
          <cell r="N43">
            <v>25.518739255014328</v>
          </cell>
        </row>
        <row r="47">
          <cell r="N47">
            <v>5.75</v>
          </cell>
        </row>
        <row r="79">
          <cell r="N79">
            <v>0.06493333333333333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nsolidado"/>
      <sheetName val="Resumen CD4"/>
      <sheetName val="Resumen ADN Proviral"/>
      <sheetName val="Resumen Carga Viral"/>
      <sheetName val="Resumen Pruebas Rápidas"/>
      <sheetName val="PR 2015"/>
      <sheetName val="PR 2016"/>
      <sheetName val="PR 2017"/>
      <sheetName val="PR Distribución Financiamiento"/>
      <sheetName val="PR Financ. Propio Hospitales"/>
      <sheetName val="PR Financiamiento Central"/>
    </sheetNames>
    <sheetDataSet>
      <sheetData sheetId="0">
        <row r="8">
          <cell r="C8">
            <v>2402177.595894961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esumen"/>
      <sheetName val="Consolidado Medicamentos"/>
      <sheetName val="Consolidado prod. salud"/>
      <sheetName val="Detalle medicinas y prod. salud"/>
    </sheetNames>
    <sheetDataSet>
      <sheetData sheetId="3">
        <row r="14">
          <cell r="AS14">
            <v>19281.991180882927</v>
          </cell>
        </row>
        <row r="15">
          <cell r="AS15">
            <v>3807.0459575545715</v>
          </cell>
        </row>
        <row r="16">
          <cell r="AS16">
            <v>13578.867028790793</v>
          </cell>
        </row>
        <row r="17">
          <cell r="AS17">
            <v>11796.313055899338</v>
          </cell>
        </row>
        <row r="18">
          <cell r="AS18">
            <v>71335.78277687237</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RESUMEN (2)"/>
      <sheetName val="RESUMEN"/>
      <sheetName val="GASTOS AL 30 JUNIO "/>
      <sheetName val="GASTOS ENERO - AGOSTO 2015"/>
      <sheetName val="PO ACTIVAS 2013"/>
      <sheetName val="PO ACTIVAS 2014"/>
      <sheetName val="PO ACTIVAS ENERO AGOSTO 2015"/>
      <sheetName val="Plan 2015"/>
    </sheetNames>
    <sheetDataSet>
      <sheetData sheetId="7">
        <row r="14">
          <cell r="E14">
            <v>3040</v>
          </cell>
        </row>
        <row r="15">
          <cell r="E15">
            <v>19680</v>
          </cell>
        </row>
        <row r="16">
          <cell r="E16">
            <v>223.8</v>
          </cell>
          <cell r="G16">
            <v>223.8</v>
          </cell>
        </row>
        <row r="17">
          <cell r="E17">
            <v>18675</v>
          </cell>
        </row>
        <row r="30">
          <cell r="E30">
            <v>1122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Resumen"/>
      <sheetName val="Consolidado Medicamentos"/>
      <sheetName val="Consolidado prod. salud"/>
      <sheetName val="Detalle medicinas y prod. salud"/>
    </sheetNames>
    <sheetDataSet>
      <sheetData sheetId="3">
        <row r="43">
          <cell r="M43">
            <v>8748.599999999999</v>
          </cell>
        </row>
        <row r="53">
          <cell r="M53">
            <v>18810</v>
          </cell>
        </row>
        <row r="56">
          <cell r="M56">
            <v>218642.15058</v>
          </cell>
        </row>
        <row r="61">
          <cell r="M61">
            <v>106560</v>
          </cell>
        </row>
        <row r="63">
          <cell r="M63">
            <v>637335.31392</v>
          </cell>
        </row>
        <row r="67">
          <cell r="M67">
            <v>29468.879999999997</v>
          </cell>
        </row>
        <row r="68">
          <cell r="M68">
            <v>33097</v>
          </cell>
        </row>
        <row r="69">
          <cell r="M69">
            <v>4087.5</v>
          </cell>
        </row>
        <row r="70">
          <cell r="M70">
            <v>76700</v>
          </cell>
        </row>
        <row r="71">
          <cell r="M71">
            <v>5850</v>
          </cell>
        </row>
        <row r="72">
          <cell r="M72">
            <v>3600.6188373333334</v>
          </cell>
        </row>
        <row r="73">
          <cell r="M73">
            <v>6634.199963999999</v>
          </cell>
        </row>
        <row r="74">
          <cell r="M74">
            <v>3118.5000000000005</v>
          </cell>
        </row>
        <row r="75">
          <cell r="M75">
            <v>4644.750000000001</v>
          </cell>
        </row>
        <row r="76">
          <cell r="M76">
            <v>2308.84</v>
          </cell>
        </row>
        <row r="77">
          <cell r="M77">
            <v>3834</v>
          </cell>
        </row>
        <row r="80">
          <cell r="M80">
            <v>12556.66</v>
          </cell>
        </row>
        <row r="81">
          <cell r="M81">
            <v>2150.06</v>
          </cell>
        </row>
        <row r="92">
          <cell r="M92">
            <v>548.215</v>
          </cell>
        </row>
        <row r="93">
          <cell r="M93">
            <v>2362.5</v>
          </cell>
        </row>
        <row r="94">
          <cell r="M94">
            <v>3968.75</v>
          </cell>
        </row>
        <row r="97">
          <cell r="M97">
            <v>20455.399999999998</v>
          </cell>
        </row>
        <row r="104">
          <cell r="M104">
            <v>1276</v>
          </cell>
        </row>
        <row r="105">
          <cell r="M105">
            <v>15304</v>
          </cell>
        </row>
        <row r="106">
          <cell r="M106">
            <v>6122</v>
          </cell>
        </row>
        <row r="107">
          <cell r="M107">
            <v>8693.9471216</v>
          </cell>
        </row>
        <row r="108">
          <cell r="M108">
            <v>18969.8598612</v>
          </cell>
        </row>
        <row r="109">
          <cell r="M109">
            <v>15375.057213600001</v>
          </cell>
        </row>
        <row r="110">
          <cell r="M110">
            <v>2308.439735</v>
          </cell>
        </row>
        <row r="111">
          <cell r="M111">
            <v>5593.908957</v>
          </cell>
        </row>
        <row r="112">
          <cell r="M112">
            <v>62650.782</v>
          </cell>
        </row>
        <row r="115">
          <cell r="M115">
            <v>13424.05</v>
          </cell>
        </row>
        <row r="130">
          <cell r="M130">
            <v>33527.605136</v>
          </cell>
        </row>
        <row r="131">
          <cell r="M131">
            <v>4664.73</v>
          </cell>
        </row>
        <row r="132">
          <cell r="M132">
            <v>1400</v>
          </cell>
        </row>
        <row r="135">
          <cell r="M135">
            <v>5250</v>
          </cell>
        </row>
        <row r="136">
          <cell r="M136">
            <v>5250</v>
          </cell>
        </row>
        <row r="140">
          <cell r="M140">
            <v>43680.600000000006</v>
          </cell>
        </row>
        <row r="147">
          <cell r="M147">
            <v>1000</v>
          </cell>
        </row>
        <row r="148">
          <cell r="M148">
            <v>9500</v>
          </cell>
        </row>
        <row r="149">
          <cell r="M149">
            <v>600</v>
          </cell>
        </row>
        <row r="150">
          <cell r="M150">
            <v>155</v>
          </cell>
        </row>
        <row r="155">
          <cell r="M155">
            <v>106560</v>
          </cell>
        </row>
        <row r="161">
          <cell r="M161">
            <v>2915</v>
          </cell>
        </row>
        <row r="162">
          <cell r="M162">
            <v>23542.19482</v>
          </cell>
        </row>
        <row r="163">
          <cell r="M163">
            <v>8500</v>
          </cell>
        </row>
        <row r="164">
          <cell r="M164">
            <v>1140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EJECUCION FINANCIERA INT,RCC,R7"/>
      <sheetName val="EJECUCION FINANCIERA SSF"/>
      <sheetName val="EJECUCION FINANCIERA NMF"/>
    </sheetNames>
    <sheetDataSet>
      <sheetData sheetId="1">
        <row r="11">
          <cell r="X11">
            <v>15861.12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50"/>
  </sheetPr>
  <dimension ref="A1:AD108"/>
  <sheetViews>
    <sheetView tabSelected="1" zoomScale="70" zoomScaleNormal="70" zoomScalePageLayoutView="0" workbookViewId="0" topLeftCell="F95">
      <selection activeCell="O100" sqref="O100"/>
    </sheetView>
  </sheetViews>
  <sheetFormatPr defaultColWidth="11.00390625" defaultRowHeight="14.25"/>
  <cols>
    <col min="1" max="1" width="0.875" style="3" customWidth="1"/>
    <col min="2" max="2" width="13.625" style="3" customWidth="1"/>
    <col min="3" max="3" width="20.00390625" style="3" customWidth="1"/>
    <col min="4" max="4" width="20.75390625" style="3" customWidth="1"/>
    <col min="5" max="5" width="19.50390625" style="3" customWidth="1"/>
    <col min="6" max="6" width="23.375" style="3" customWidth="1"/>
    <col min="7" max="7" width="2.75390625" style="3" customWidth="1"/>
    <col min="8" max="8" width="36.625" style="3" customWidth="1"/>
    <col min="9" max="9" width="16.00390625" style="3" customWidth="1"/>
    <col min="10" max="10" width="18.00390625" style="3" customWidth="1"/>
    <col min="11" max="11" width="9.625" style="3" hidden="1" customWidth="1"/>
    <col min="12" max="12" width="25.00390625" style="3" customWidth="1"/>
    <col min="13" max="13" width="9.125" style="3" hidden="1" customWidth="1"/>
    <col min="14" max="14" width="9.50390625" style="3" hidden="1" customWidth="1"/>
    <col min="15" max="15" width="30.125" style="3" bestFit="1" customWidth="1"/>
    <col min="16" max="16" width="66.75390625" style="3" hidden="1" customWidth="1"/>
    <col min="17" max="17" width="23.00390625" style="3" hidden="1" customWidth="1"/>
    <col min="18" max="18" width="7.75390625" style="3" hidden="1" customWidth="1"/>
    <col min="19" max="19" width="26.875" style="3" customWidth="1"/>
    <col min="20" max="20" width="26.625" style="3" customWidth="1"/>
    <col min="21" max="21" width="28.125" style="3" customWidth="1"/>
    <col min="22" max="22" width="27.625" style="3" customWidth="1"/>
    <col min="23" max="23" width="67.625" style="3" customWidth="1"/>
    <col min="24" max="24" width="5.375" style="3" customWidth="1"/>
    <col min="25" max="25" width="35.75390625" style="3" hidden="1" customWidth="1"/>
    <col min="26" max="26" width="39.625" style="521" customWidth="1"/>
    <col min="27" max="27" width="16.125" style="521" customWidth="1"/>
    <col min="28" max="28" width="36.125" style="521" customWidth="1"/>
    <col min="29" max="29" width="47.625" style="3" customWidth="1"/>
    <col min="30" max="16384" width="11.00390625" style="3" customWidth="1"/>
  </cols>
  <sheetData>
    <row r="1" spans="2:5" ht="15.75">
      <c r="B1" s="604" t="s">
        <v>0</v>
      </c>
      <c r="C1" s="604"/>
      <c r="D1" s="604"/>
      <c r="E1" s="2"/>
    </row>
    <row r="2" spans="2:5" ht="33.75">
      <c r="B2" s="605" t="s">
        <v>1</v>
      </c>
      <c r="C2" s="605"/>
      <c r="D2" s="606" t="s">
        <v>2</v>
      </c>
      <c r="E2" s="606"/>
    </row>
    <row r="3" spans="2:5" ht="33.75">
      <c r="B3" s="605" t="s">
        <v>3</v>
      </c>
      <c r="C3" s="605"/>
      <c r="D3" s="606" t="s">
        <v>4</v>
      </c>
      <c r="E3" s="606"/>
    </row>
    <row r="4" spans="2:5" ht="20.25">
      <c r="B4" s="605" t="s">
        <v>5</v>
      </c>
      <c r="C4" s="605"/>
      <c r="D4" s="615"/>
      <c r="E4" s="616"/>
    </row>
    <row r="5" spans="2:5" ht="20.25">
      <c r="B5" s="605" t="s">
        <v>6</v>
      </c>
      <c r="C5" s="605"/>
      <c r="D5" s="615" t="s">
        <v>115</v>
      </c>
      <c r="E5" s="616"/>
    </row>
    <row r="6" ht="14.25"/>
    <row r="7" spans="2:17" ht="27">
      <c r="B7" s="592" t="s">
        <v>7</v>
      </c>
      <c r="C7" s="592"/>
      <c r="D7" s="592"/>
      <c r="E7" s="592"/>
      <c r="F7" s="592"/>
      <c r="G7" s="592"/>
      <c r="H7" s="592"/>
      <c r="I7" s="592"/>
      <c r="J7" s="592"/>
      <c r="K7" s="592"/>
      <c r="L7" s="592"/>
      <c r="M7" s="592"/>
      <c r="N7" s="592"/>
      <c r="O7" s="592"/>
      <c r="P7" s="592"/>
      <c r="Q7" s="592"/>
    </row>
    <row r="8" spans="2:17" ht="23.25">
      <c r="B8" s="629" t="s">
        <v>8</v>
      </c>
      <c r="C8" s="630"/>
      <c r="D8" s="630"/>
      <c r="E8" s="630"/>
      <c r="F8" s="630"/>
      <c r="G8" s="630"/>
      <c r="H8" s="630"/>
      <c r="I8" s="630"/>
      <c r="J8" s="630"/>
      <c r="K8" s="630"/>
      <c r="L8" s="630"/>
      <c r="M8" s="630"/>
      <c r="N8" s="630"/>
      <c r="O8" s="630"/>
      <c r="P8" s="630"/>
      <c r="Q8" s="631"/>
    </row>
    <row r="9" ht="15" thickBot="1"/>
    <row r="10" spans="2:28" s="5" customFormat="1" ht="77.25" customHeight="1" thickBot="1">
      <c r="B10" s="583" t="s">
        <v>317</v>
      </c>
      <c r="C10" s="584"/>
      <c r="D10" s="584"/>
      <c r="E10" s="584"/>
      <c r="F10" s="585"/>
      <c r="G10" s="4"/>
      <c r="H10" s="586" t="s">
        <v>318</v>
      </c>
      <c r="I10" s="586"/>
      <c r="J10" s="586"/>
      <c r="K10" s="587" t="s">
        <v>9</v>
      </c>
      <c r="L10" s="587"/>
      <c r="M10" s="587"/>
      <c r="N10" s="587"/>
      <c r="O10" s="587" t="s">
        <v>10</v>
      </c>
      <c r="P10" s="587" t="s">
        <v>11</v>
      </c>
      <c r="Q10" s="587" t="s">
        <v>12</v>
      </c>
      <c r="R10" s="341"/>
      <c r="S10" s="575" t="s">
        <v>21</v>
      </c>
      <c r="T10" s="575" t="s">
        <v>22</v>
      </c>
      <c r="U10" s="575" t="s">
        <v>23</v>
      </c>
      <c r="V10" s="575" t="s">
        <v>24</v>
      </c>
      <c r="W10" s="575" t="s">
        <v>375</v>
      </c>
      <c r="Z10" s="528"/>
      <c r="AA10" s="528"/>
      <c r="AB10" s="528"/>
    </row>
    <row r="11" spans="2:28" s="5" customFormat="1" ht="85.5" customHeight="1" thickBot="1">
      <c r="B11" s="6" t="s">
        <v>13</v>
      </c>
      <c r="C11" s="6" t="s">
        <v>14</v>
      </c>
      <c r="D11" s="6" t="s">
        <v>15</v>
      </c>
      <c r="E11" s="6" t="s">
        <v>16</v>
      </c>
      <c r="F11" s="7" t="s">
        <v>17</v>
      </c>
      <c r="G11" s="4"/>
      <c r="H11" s="342" t="s">
        <v>13</v>
      </c>
      <c r="I11" s="342" t="s">
        <v>14</v>
      </c>
      <c r="J11" s="342" t="s">
        <v>15</v>
      </c>
      <c r="K11" s="343" t="s">
        <v>18</v>
      </c>
      <c r="L11" s="343" t="s">
        <v>19</v>
      </c>
      <c r="M11" s="343" t="s">
        <v>20</v>
      </c>
      <c r="N11" s="343" t="s">
        <v>20</v>
      </c>
      <c r="O11" s="587"/>
      <c r="P11" s="587"/>
      <c r="Q11" s="587"/>
      <c r="R11" s="341"/>
      <c r="S11" s="575"/>
      <c r="T11" s="575"/>
      <c r="U11" s="575"/>
      <c r="V11" s="575"/>
      <c r="W11" s="575"/>
      <c r="Z11" s="528"/>
      <c r="AA11" s="528"/>
      <c r="AB11" s="528"/>
    </row>
    <row r="12" spans="2:23" ht="115.5" thickBot="1">
      <c r="B12" s="313" t="s">
        <v>26</v>
      </c>
      <c r="C12" s="314" t="s">
        <v>27</v>
      </c>
      <c r="D12" s="315" t="s">
        <v>28</v>
      </c>
      <c r="E12" s="316">
        <v>261000</v>
      </c>
      <c r="F12" s="317">
        <v>246960</v>
      </c>
      <c r="G12" s="318"/>
      <c r="H12" s="332" t="s">
        <v>26</v>
      </c>
      <c r="I12" s="333" t="s">
        <v>27</v>
      </c>
      <c r="J12" s="334" t="s">
        <v>28</v>
      </c>
      <c r="K12" s="335"/>
      <c r="L12" s="336">
        <f>+S12+T12+U12</f>
        <v>68500</v>
      </c>
      <c r="M12" s="337"/>
      <c r="N12" s="338"/>
      <c r="O12" s="338">
        <f aca="true" t="shared" si="0" ref="O12:O18">N12+M12+L12+K12</f>
        <v>68500</v>
      </c>
      <c r="P12" s="339" t="s">
        <v>29</v>
      </c>
      <c r="Q12" s="340"/>
      <c r="R12" s="77"/>
      <c r="S12" s="571"/>
      <c r="T12" s="571"/>
      <c r="U12" s="571">
        <f>+'[1]Ejecucion_Financiera MINSAL AGO'!AS95</f>
        <v>68500</v>
      </c>
      <c r="V12" s="571">
        <v>0</v>
      </c>
      <c r="W12" s="73" t="s">
        <v>377</v>
      </c>
    </row>
    <row r="13" spans="2:23" ht="64.5" thickBot="1">
      <c r="B13" s="9" t="s">
        <v>26</v>
      </c>
      <c r="C13" s="10" t="s">
        <v>27</v>
      </c>
      <c r="D13" s="11" t="s">
        <v>30</v>
      </c>
      <c r="E13" s="22">
        <v>15440</v>
      </c>
      <c r="F13" s="13">
        <v>15440</v>
      </c>
      <c r="G13" s="4"/>
      <c r="H13" s="14" t="s">
        <v>26</v>
      </c>
      <c r="I13" s="15" t="s">
        <v>27</v>
      </c>
      <c r="J13" s="16" t="s">
        <v>30</v>
      </c>
      <c r="K13" s="17"/>
      <c r="L13" s="13">
        <f aca="true" t="shared" si="1" ref="L13:L18">+S13+T13+U13</f>
        <v>0</v>
      </c>
      <c r="M13" s="23"/>
      <c r="N13" s="18"/>
      <c r="O13" s="18">
        <f t="shared" si="0"/>
        <v>0</v>
      </c>
      <c r="P13" s="19" t="s">
        <v>31</v>
      </c>
      <c r="Q13" s="20"/>
      <c r="S13" s="568"/>
      <c r="T13" s="568"/>
      <c r="U13" s="568"/>
      <c r="V13" s="568"/>
      <c r="W13" s="21"/>
    </row>
    <row r="14" spans="2:23" ht="64.5" thickBot="1">
      <c r="B14" s="9" t="s">
        <v>32</v>
      </c>
      <c r="C14" s="10" t="s">
        <v>33</v>
      </c>
      <c r="D14" s="11" t="s">
        <v>34</v>
      </c>
      <c r="E14" s="24">
        <v>50000</v>
      </c>
      <c r="F14" s="13">
        <v>46304.35</v>
      </c>
      <c r="G14" s="25"/>
      <c r="H14" s="14" t="s">
        <v>32</v>
      </c>
      <c r="I14" s="15" t="s">
        <v>33</v>
      </c>
      <c r="J14" s="16" t="s">
        <v>34</v>
      </c>
      <c r="K14" s="23"/>
      <c r="L14" s="13">
        <f t="shared" si="1"/>
        <v>0</v>
      </c>
      <c r="M14" s="23"/>
      <c r="N14" s="18"/>
      <c r="O14" s="18">
        <f t="shared" si="0"/>
        <v>0</v>
      </c>
      <c r="P14" s="19" t="s">
        <v>35</v>
      </c>
      <c r="Q14" s="20"/>
      <c r="S14" s="568"/>
      <c r="T14" s="568"/>
      <c r="U14" s="568"/>
      <c r="V14" s="568"/>
      <c r="W14" s="21"/>
    </row>
    <row r="15" spans="2:23" ht="64.5" customHeight="1" thickBot="1">
      <c r="B15" s="9" t="s">
        <v>32</v>
      </c>
      <c r="C15" s="10" t="s">
        <v>33</v>
      </c>
      <c r="D15" s="11" t="s">
        <v>36</v>
      </c>
      <c r="E15" s="22">
        <v>10200</v>
      </c>
      <c r="F15" s="13">
        <v>5753.61</v>
      </c>
      <c r="G15" s="4"/>
      <c r="H15" s="14" t="s">
        <v>32</v>
      </c>
      <c r="I15" s="15" t="s">
        <v>33</v>
      </c>
      <c r="J15" s="16" t="s">
        <v>36</v>
      </c>
      <c r="K15" s="23"/>
      <c r="L15" s="13">
        <f t="shared" si="1"/>
        <v>0</v>
      </c>
      <c r="M15" s="23"/>
      <c r="N15" s="18"/>
      <c r="O15" s="18">
        <f t="shared" si="0"/>
        <v>0</v>
      </c>
      <c r="P15" s="619" t="s">
        <v>37</v>
      </c>
      <c r="Q15" s="20"/>
      <c r="S15" s="568"/>
      <c r="T15" s="568"/>
      <c r="U15" s="568"/>
      <c r="V15" s="568"/>
      <c r="W15" s="21"/>
    </row>
    <row r="16" spans="2:23" ht="135.75" customHeight="1" thickBot="1">
      <c r="B16" s="326" t="s">
        <v>38</v>
      </c>
      <c r="C16" s="327" t="s">
        <v>39</v>
      </c>
      <c r="D16" s="328" t="s">
        <v>36</v>
      </c>
      <c r="E16" s="329">
        <v>21267.03</v>
      </c>
      <c r="F16" s="330">
        <v>15507.02</v>
      </c>
      <c r="G16" s="4"/>
      <c r="H16" s="319" t="s">
        <v>38</v>
      </c>
      <c r="I16" s="320" t="s">
        <v>39</v>
      </c>
      <c r="J16" s="321" t="s">
        <v>36</v>
      </c>
      <c r="K16" s="331"/>
      <c r="L16" s="317">
        <f t="shared" si="1"/>
        <v>11639.84</v>
      </c>
      <c r="M16" s="331"/>
      <c r="N16" s="322"/>
      <c r="O16" s="322">
        <f t="shared" si="0"/>
        <v>11639.84</v>
      </c>
      <c r="P16" s="620"/>
      <c r="Q16" s="20"/>
      <c r="S16" s="564"/>
      <c r="T16" s="564">
        <f>+'[1]Ejecucion_Financiera MINSAL AGO'!AR71</f>
        <v>11639.84</v>
      </c>
      <c r="U16" s="564">
        <f>+'[1]Ejecucion_Financiera MINSAL AGO'!AQ71</f>
        <v>0</v>
      </c>
      <c r="V16" s="564"/>
      <c r="W16" s="556" t="s">
        <v>378</v>
      </c>
    </row>
    <row r="17" spans="2:23" ht="72" thickBot="1">
      <c r="B17" s="14" t="s">
        <v>38</v>
      </c>
      <c r="C17" s="15" t="s">
        <v>40</v>
      </c>
      <c r="D17" s="16" t="s">
        <v>36</v>
      </c>
      <c r="E17" s="26">
        <v>37719.56</v>
      </c>
      <c r="F17" s="27">
        <v>11699.96</v>
      </c>
      <c r="G17" s="4"/>
      <c r="H17" s="319" t="s">
        <v>38</v>
      </c>
      <c r="I17" s="320" t="s">
        <v>40</v>
      </c>
      <c r="J17" s="321" t="s">
        <v>36</v>
      </c>
      <c r="K17" s="331"/>
      <c r="L17" s="317">
        <f t="shared" si="1"/>
        <v>3995</v>
      </c>
      <c r="M17" s="331"/>
      <c r="N17" s="322"/>
      <c r="O17" s="322">
        <f t="shared" si="0"/>
        <v>3995</v>
      </c>
      <c r="P17" s="621"/>
      <c r="Q17" s="20"/>
      <c r="S17" s="564"/>
      <c r="T17" s="564"/>
      <c r="U17" s="564">
        <f>+'[1]Ejecucion_Financiera MINSAL AGO'!AS78</f>
        <v>3995</v>
      </c>
      <c r="V17" s="564"/>
      <c r="W17" s="73"/>
    </row>
    <row r="18" spans="2:23" ht="64.5" thickBot="1">
      <c r="B18" s="14" t="s">
        <v>38</v>
      </c>
      <c r="C18" s="15" t="s">
        <v>41</v>
      </c>
      <c r="D18" s="16" t="s">
        <v>42</v>
      </c>
      <c r="E18" s="26">
        <v>5592.71</v>
      </c>
      <c r="F18" s="28">
        <v>5592.71</v>
      </c>
      <c r="G18" s="4"/>
      <c r="H18" s="14" t="s">
        <v>38</v>
      </c>
      <c r="I18" s="15" t="s">
        <v>41</v>
      </c>
      <c r="J18" s="16" t="s">
        <v>42</v>
      </c>
      <c r="K18" s="23"/>
      <c r="L18" s="13">
        <f t="shared" si="1"/>
        <v>0</v>
      </c>
      <c r="M18" s="23"/>
      <c r="N18" s="18"/>
      <c r="O18" s="18">
        <f t="shared" si="0"/>
        <v>0</v>
      </c>
      <c r="P18" s="29" t="s">
        <v>43</v>
      </c>
      <c r="Q18" s="20"/>
      <c r="S18" s="568"/>
      <c r="T18" s="568"/>
      <c r="U18" s="568"/>
      <c r="V18" s="568"/>
      <c r="W18" s="21"/>
    </row>
    <row r="19" spans="2:23" ht="22.5" customHeight="1" thickBot="1">
      <c r="B19" s="30"/>
      <c r="C19" s="31"/>
      <c r="D19" s="32"/>
      <c r="E19" s="33">
        <f>SUM(E12:E18)</f>
        <v>401219.30000000005</v>
      </c>
      <c r="F19" s="33">
        <f>SUM(F12:F18)</f>
        <v>347257.65</v>
      </c>
      <c r="G19" s="4"/>
      <c r="H19" s="34"/>
      <c r="I19" s="35"/>
      <c r="J19" s="35"/>
      <c r="K19" s="23"/>
      <c r="L19" s="33">
        <f>SUM(L12:L18)</f>
        <v>84134.84</v>
      </c>
      <c r="M19" s="23"/>
      <c r="N19" s="36"/>
      <c r="O19" s="37">
        <f aca="true" t="shared" si="2" ref="O19:V19">SUM(O12:O18)</f>
        <v>84134.84</v>
      </c>
      <c r="P19" s="37">
        <f t="shared" si="2"/>
        <v>0</v>
      </c>
      <c r="Q19" s="37">
        <f t="shared" si="2"/>
        <v>0</v>
      </c>
      <c r="R19" s="38">
        <f t="shared" si="2"/>
        <v>0</v>
      </c>
      <c r="S19" s="39">
        <f t="shared" si="2"/>
        <v>0</v>
      </c>
      <c r="T19" s="39">
        <f t="shared" si="2"/>
        <v>11639.84</v>
      </c>
      <c r="U19" s="39">
        <f t="shared" si="2"/>
        <v>72495</v>
      </c>
      <c r="V19" s="39">
        <f t="shared" si="2"/>
        <v>0</v>
      </c>
      <c r="W19" s="39"/>
    </row>
    <row r="20" spans="2:17" ht="15" thickBot="1">
      <c r="B20" s="4"/>
      <c r="C20" s="4"/>
      <c r="D20" s="4"/>
      <c r="E20" s="4"/>
      <c r="F20" s="41"/>
      <c r="G20" s="4"/>
      <c r="H20" s="4"/>
      <c r="I20" s="4"/>
      <c r="J20" s="4"/>
      <c r="K20" s="4"/>
      <c r="L20" s="4"/>
      <c r="M20" s="4"/>
      <c r="N20" s="4"/>
      <c r="O20" s="4"/>
      <c r="P20" s="4"/>
      <c r="Q20" s="4"/>
    </row>
    <row r="21" spans="2:23" ht="39.75" customHeight="1">
      <c r="B21" s="618" t="s">
        <v>44</v>
      </c>
      <c r="C21" s="618"/>
      <c r="D21" s="40"/>
      <c r="E21" s="2" t="s">
        <v>373</v>
      </c>
      <c r="F21" s="538">
        <f>+'[10]Ejecucion_Financiera'!$Q$112+'[10]Ejecucion_Financiera'!$K$112</f>
        <v>347257.65</v>
      </c>
      <c r="G21" s="4"/>
      <c r="H21" s="4"/>
      <c r="I21" s="4"/>
      <c r="J21" s="42" t="s">
        <v>45</v>
      </c>
      <c r="K21" s="43">
        <f>SUM(K12:K19)</f>
        <v>0</v>
      </c>
      <c r="L21" s="44">
        <f>SUM(L12:L18)</f>
        <v>84134.84</v>
      </c>
      <c r="M21" s="44">
        <f>SUM(M12:M19)</f>
        <v>0</v>
      </c>
      <c r="N21" s="44">
        <f>SUM(N12:N19)</f>
        <v>0</v>
      </c>
      <c r="O21" s="44">
        <f>+O19</f>
        <v>84134.84</v>
      </c>
      <c r="P21" s="45" t="s">
        <v>46</v>
      </c>
      <c r="U21" s="539">
        <f>+T19+U19</f>
        <v>84134.84</v>
      </c>
      <c r="V21" s="538">
        <f>+F21-U21</f>
        <v>263122.81000000006</v>
      </c>
      <c r="W21" s="537"/>
    </row>
    <row r="22" spans="2:17" ht="14.25">
      <c r="B22" s="4"/>
      <c r="C22" s="4"/>
      <c r="D22" s="4"/>
      <c r="E22" s="4"/>
      <c r="F22" s="46"/>
      <c r="G22" s="4"/>
      <c r="H22" s="4"/>
      <c r="I22" s="4"/>
      <c r="J22" s="4"/>
      <c r="K22" s="4"/>
      <c r="L22" s="4"/>
      <c r="M22" s="4"/>
      <c r="N22" s="4"/>
      <c r="O22" s="4"/>
      <c r="P22" s="4"/>
      <c r="Q22" s="4"/>
    </row>
    <row r="23" spans="2:17" ht="18" hidden="1">
      <c r="B23" s="47" t="s">
        <v>47</v>
      </c>
      <c r="C23" s="48"/>
      <c r="D23" s="48"/>
      <c r="E23" s="48"/>
      <c r="F23" s="48"/>
      <c r="G23" s="48"/>
      <c r="H23" s="48"/>
      <c r="I23" s="48"/>
      <c r="J23" s="48"/>
      <c r="K23" s="48"/>
      <c r="L23" s="48"/>
      <c r="M23" s="48"/>
      <c r="N23" s="48"/>
      <c r="O23" s="48"/>
      <c r="P23" s="48"/>
      <c r="Q23" s="49"/>
    </row>
    <row r="24" spans="2:17" ht="85.5" customHeight="1" hidden="1" thickBot="1">
      <c r="B24" s="579" t="s">
        <v>48</v>
      </c>
      <c r="C24" s="580"/>
      <c r="D24" s="580"/>
      <c r="E24" s="580"/>
      <c r="F24" s="580"/>
      <c r="G24" s="50"/>
      <c r="H24" s="50"/>
      <c r="I24" s="50"/>
      <c r="J24" s="50"/>
      <c r="K24" s="50"/>
      <c r="L24" s="50"/>
      <c r="M24" s="50"/>
      <c r="N24" s="50"/>
      <c r="O24" s="50"/>
      <c r="P24" s="50"/>
      <c r="Q24" s="51"/>
    </row>
    <row r="25" spans="2:17" ht="85.5" customHeight="1" hidden="1">
      <c r="B25" s="52"/>
      <c r="C25" s="53"/>
      <c r="D25" s="53"/>
      <c r="E25" s="53"/>
      <c r="F25" s="53"/>
      <c r="G25" s="53"/>
      <c r="H25" s="53"/>
      <c r="I25" s="53"/>
      <c r="J25" s="53"/>
      <c r="K25" s="53"/>
      <c r="L25" s="53"/>
      <c r="M25" s="53"/>
      <c r="N25" s="53"/>
      <c r="O25" s="53"/>
      <c r="P25" s="53"/>
      <c r="Q25" s="53"/>
    </row>
    <row r="26" ht="14.25"/>
    <row r="27" spans="2:17" ht="23.25" customHeight="1">
      <c r="B27" s="588" t="s">
        <v>49</v>
      </c>
      <c r="C27" s="588"/>
      <c r="D27" s="588"/>
      <c r="E27" s="588"/>
      <c r="F27" s="588"/>
      <c r="G27" s="588"/>
      <c r="H27" s="588"/>
      <c r="I27" s="588"/>
      <c r="J27" s="588"/>
      <c r="K27" s="588"/>
      <c r="L27" s="588"/>
      <c r="M27" s="588"/>
      <c r="N27" s="588"/>
      <c r="O27" s="588"/>
      <c r="P27" s="588"/>
      <c r="Q27" s="588"/>
    </row>
    <row r="28" ht="15" thickBot="1"/>
    <row r="29" spans="1:29" ht="82.5" customHeight="1" thickBot="1">
      <c r="A29" s="5"/>
      <c r="B29" s="583" t="s">
        <v>317</v>
      </c>
      <c r="C29" s="584"/>
      <c r="D29" s="584"/>
      <c r="E29" s="584"/>
      <c r="F29" s="585"/>
      <c r="G29" s="4"/>
      <c r="H29" s="586" t="s">
        <v>318</v>
      </c>
      <c r="I29" s="586"/>
      <c r="J29" s="586"/>
      <c r="K29" s="581" t="s">
        <v>9</v>
      </c>
      <c r="L29" s="582"/>
      <c r="M29" s="582"/>
      <c r="N29" s="582"/>
      <c r="O29" s="587" t="s">
        <v>10</v>
      </c>
      <c r="P29" s="587" t="s">
        <v>11</v>
      </c>
      <c r="Q29" s="587" t="s">
        <v>12</v>
      </c>
      <c r="R29" s="2"/>
      <c r="S29" s="575" t="s">
        <v>21</v>
      </c>
      <c r="T29" s="575" t="s">
        <v>22</v>
      </c>
      <c r="U29" s="575" t="s">
        <v>23</v>
      </c>
      <c r="V29" s="578"/>
      <c r="W29" s="575" t="s">
        <v>375</v>
      </c>
      <c r="Y29" s="590" t="s">
        <v>116</v>
      </c>
      <c r="Z29" s="576" t="s">
        <v>362</v>
      </c>
      <c r="AA29" s="576" t="s">
        <v>363</v>
      </c>
      <c r="AB29" s="576" t="s">
        <v>364</v>
      </c>
      <c r="AC29" s="576" t="s">
        <v>367</v>
      </c>
    </row>
    <row r="30" spans="1:29" ht="57.75" thickBot="1">
      <c r="A30" s="5"/>
      <c r="B30" s="6" t="s">
        <v>13</v>
      </c>
      <c r="C30" s="6" t="s">
        <v>14</v>
      </c>
      <c r="D30" s="6" t="s">
        <v>15</v>
      </c>
      <c r="E30" s="6" t="s">
        <v>16</v>
      </c>
      <c r="F30" s="7" t="s">
        <v>17</v>
      </c>
      <c r="G30" s="4"/>
      <c r="H30" s="6" t="s">
        <v>13</v>
      </c>
      <c r="I30" s="6" t="s">
        <v>14</v>
      </c>
      <c r="J30" s="7" t="s">
        <v>15</v>
      </c>
      <c r="K30" s="8" t="s">
        <v>18</v>
      </c>
      <c r="L30" s="8" t="s">
        <v>19</v>
      </c>
      <c r="M30" s="8" t="s">
        <v>20</v>
      </c>
      <c r="N30" s="71" t="s">
        <v>20</v>
      </c>
      <c r="O30" s="587"/>
      <c r="P30" s="587"/>
      <c r="Q30" s="587"/>
      <c r="R30" s="2"/>
      <c r="S30" s="575"/>
      <c r="T30" s="575"/>
      <c r="U30" s="575"/>
      <c r="V30" s="578"/>
      <c r="W30" s="575"/>
      <c r="Y30" s="593"/>
      <c r="Z30" s="577"/>
      <c r="AA30" s="577"/>
      <c r="AB30" s="577"/>
      <c r="AC30" s="577"/>
    </row>
    <row r="31" spans="2:29" ht="42" customHeight="1" thickBot="1">
      <c r="B31" s="326" t="s">
        <v>38</v>
      </c>
      <c r="C31" s="327" t="s">
        <v>39</v>
      </c>
      <c r="D31" s="328" t="s">
        <v>50</v>
      </c>
      <c r="E31" s="329">
        <v>31085</v>
      </c>
      <c r="F31" s="330">
        <v>31085</v>
      </c>
      <c r="G31" s="4"/>
      <c r="H31" s="313" t="s">
        <v>38</v>
      </c>
      <c r="I31" s="314" t="s">
        <v>39</v>
      </c>
      <c r="J31" s="315" t="s">
        <v>50</v>
      </c>
      <c r="K31" s="316">
        <v>31085</v>
      </c>
      <c r="L31" s="316">
        <f>+S31+T31+U31</f>
        <v>22702.14</v>
      </c>
      <c r="M31" s="331"/>
      <c r="N31" s="322"/>
      <c r="O31" s="542">
        <f>+L31</f>
        <v>22702.14</v>
      </c>
      <c r="P31" s="339" t="s">
        <v>51</v>
      </c>
      <c r="Q31" s="340"/>
      <c r="R31" s="77"/>
      <c r="S31" s="571">
        <f>+'[1]Ejecucion_Financiera MINSAL AGO'!AQ67</f>
        <v>1276</v>
      </c>
      <c r="T31" s="571"/>
      <c r="U31" s="571">
        <f>+'[1]Ejecucion_Financiera MINSAL AGO'!AS67</f>
        <v>21426.14</v>
      </c>
      <c r="V31" s="572"/>
      <c r="W31" s="73" t="s">
        <v>395</v>
      </c>
      <c r="Y31" s="523">
        <f>+'Plan compras anio 2 planificado'!Z86+'Plan compras anio 2 planificado'!AB87+'Plan compras anio 2 planificado'!AB88</f>
        <v>22702</v>
      </c>
      <c r="Z31" s="527">
        <f>+'[8]Detalle medicinas y prod. salud'!$M$104+'[8]Detalle medicinas y prod. salud'!$M$105+'[8]Detalle medicinas y prod. salud'!$M$106</f>
        <v>22702</v>
      </c>
      <c r="AA31" s="527">
        <f>+S31+U31</f>
        <v>22702.14</v>
      </c>
      <c r="AB31" s="532">
        <f aca="true" t="shared" si="3" ref="AB31:AB40">+Z31-AA31</f>
        <v>-0.13999999999941792</v>
      </c>
      <c r="AC31" s="2"/>
    </row>
    <row r="32" spans="2:29" ht="42" customHeight="1" thickBot="1">
      <c r="B32" s="326" t="s">
        <v>38</v>
      </c>
      <c r="C32" s="327" t="s">
        <v>52</v>
      </c>
      <c r="D32" s="328" t="s">
        <v>50</v>
      </c>
      <c r="E32" s="329">
        <v>220550.4</v>
      </c>
      <c r="F32" s="330">
        <v>12496.4</v>
      </c>
      <c r="G32" s="4"/>
      <c r="H32" s="313" t="s">
        <v>38</v>
      </c>
      <c r="I32" s="314" t="s">
        <v>52</v>
      </c>
      <c r="J32" s="315" t="s">
        <v>50</v>
      </c>
      <c r="K32" s="316">
        <v>220550.4</v>
      </c>
      <c r="L32" s="316">
        <f aca="true" t="shared" si="4" ref="L32:L52">+S32+T32+U32</f>
        <v>10567.9</v>
      </c>
      <c r="M32" s="346"/>
      <c r="N32" s="322"/>
      <c r="O32" s="344">
        <f aca="true" t="shared" si="5" ref="O32:O52">+L32</f>
        <v>10567.9</v>
      </c>
      <c r="P32" s="323" t="s">
        <v>53</v>
      </c>
      <c r="Q32" s="324"/>
      <c r="R32" s="77"/>
      <c r="S32" s="564">
        <f>+'[1]Ejecucion_Financiera MINSAL AGO'!AQ69+'[1]Ejecucion_Financiera MINSAL AGO'!AQ53+'[1]Ejecucion_Financiera MINSAL AGO'!AQ72</f>
        <v>10567.9</v>
      </c>
      <c r="T32" s="564"/>
      <c r="U32" s="564"/>
      <c r="V32" s="567"/>
      <c r="W32" s="73" t="s">
        <v>396</v>
      </c>
      <c r="Y32" s="523">
        <f>+'Plan compras anio 2 planificado'!Z35</f>
        <v>10567.9</v>
      </c>
      <c r="Z32" s="527">
        <f>+'[8]Detalle medicinas y prod. salud'!$M$56</f>
        <v>218642.15058</v>
      </c>
      <c r="AA32" s="527">
        <f>+S32</f>
        <v>10567.9</v>
      </c>
      <c r="AB32" s="532">
        <f t="shared" si="3"/>
        <v>208074.25058</v>
      </c>
      <c r="AC32" s="2" t="s">
        <v>368</v>
      </c>
    </row>
    <row r="33" spans="2:29" ht="42" customHeight="1" thickBot="1">
      <c r="B33" s="326" t="s">
        <v>38</v>
      </c>
      <c r="C33" s="327" t="s">
        <v>40</v>
      </c>
      <c r="D33" s="328" t="s">
        <v>50</v>
      </c>
      <c r="E33" s="329">
        <v>228553.54</v>
      </c>
      <c r="F33" s="330">
        <v>159553.54</v>
      </c>
      <c r="G33" s="4"/>
      <c r="H33" s="313" t="s">
        <v>38</v>
      </c>
      <c r="I33" s="314" t="s">
        <v>40</v>
      </c>
      <c r="J33" s="315" t="s">
        <v>50</v>
      </c>
      <c r="K33" s="316">
        <v>228553.54</v>
      </c>
      <c r="L33" s="316">
        <f t="shared" si="4"/>
        <v>149203.5</v>
      </c>
      <c r="M33" s="331"/>
      <c r="N33" s="322"/>
      <c r="O33" s="344">
        <f t="shared" si="5"/>
        <v>149203.5</v>
      </c>
      <c r="P33" s="323" t="s">
        <v>54</v>
      </c>
      <c r="Q33" s="324"/>
      <c r="R33" s="77"/>
      <c r="S33" s="564"/>
      <c r="T33" s="564"/>
      <c r="U33" s="564">
        <f>+'[1]Ejecucion_Financiera MINSAL AGO'!AS77</f>
        <v>149203.5</v>
      </c>
      <c r="V33" s="567"/>
      <c r="W33" s="73" t="s">
        <v>397</v>
      </c>
      <c r="Y33" s="523">
        <f>+'Plan compras anio 2 planificado'!AB48+'Plan compras anio 2 planificado'!AB49+'Plan compras anio 2 planificado'!AB50+'Plan compras anio 2 planificado'!AB51+'Plan compras anio 2 planificado'!AB52</f>
        <v>149203.5</v>
      </c>
      <c r="Z33" s="527">
        <f>+'[8]Detalle medicinas y prod. salud'!$M$67+'[8]Detalle medicinas y prod. salud'!$M$68+'[8]Detalle medicinas y prod. salud'!$M$69+'[8]Detalle medicinas y prod. salud'!$M$70+'[8]Detalle medicinas y prod. salud'!$M$71</f>
        <v>149203.38</v>
      </c>
      <c r="AA33" s="527">
        <f>+U33</f>
        <v>149203.5</v>
      </c>
      <c r="AB33" s="532">
        <f t="shared" si="3"/>
        <v>-0.11999999999534339</v>
      </c>
      <c r="AC33" s="2"/>
    </row>
    <row r="34" spans="2:29" ht="60" customHeight="1" thickBot="1">
      <c r="B34" s="326" t="s">
        <v>55</v>
      </c>
      <c r="C34" s="327" t="s">
        <v>56</v>
      </c>
      <c r="D34" s="328" t="s">
        <v>57</v>
      </c>
      <c r="E34" s="329">
        <v>88454.86</v>
      </c>
      <c r="F34" s="330">
        <v>10240.24</v>
      </c>
      <c r="G34" s="318"/>
      <c r="H34" s="313" t="s">
        <v>55</v>
      </c>
      <c r="I34" s="314" t="s">
        <v>56</v>
      </c>
      <c r="J34" s="315" t="s">
        <v>57</v>
      </c>
      <c r="K34" s="316">
        <v>6000</v>
      </c>
      <c r="L34" s="316">
        <f>+F34</f>
        <v>10240.24</v>
      </c>
      <c r="M34" s="331"/>
      <c r="N34" s="322"/>
      <c r="O34" s="344">
        <v>10240.24</v>
      </c>
      <c r="P34" s="608" t="s">
        <v>58</v>
      </c>
      <c r="Q34" s="324"/>
      <c r="R34" s="77"/>
      <c r="S34" s="564"/>
      <c r="T34" s="564"/>
      <c r="U34" s="573">
        <f>+'Plan compras anio 2 planificado'!AB125+'Plan compras anio 2 planificado'!AB126</f>
        <v>10500</v>
      </c>
      <c r="V34" s="567"/>
      <c r="W34" s="73" t="s">
        <v>380</v>
      </c>
      <c r="Y34" s="523">
        <f>+'Plan compras anio 2 planificado'!AB125+'Plan compras anio 2 planificado'!AB126</f>
        <v>10500</v>
      </c>
      <c r="Z34" s="527">
        <f>+'[8]Detalle medicinas y prod. salud'!$M$135+'[8]Detalle medicinas y prod. salud'!$M$136</f>
        <v>10500</v>
      </c>
      <c r="AA34" s="527">
        <f>+U34</f>
        <v>10500</v>
      </c>
      <c r="AB34" s="532">
        <f t="shared" si="3"/>
        <v>0</v>
      </c>
      <c r="AC34" s="2"/>
    </row>
    <row r="35" spans="2:29" ht="70.5" customHeight="1" thickBot="1">
      <c r="B35" s="326" t="s">
        <v>59</v>
      </c>
      <c r="C35" s="327" t="s">
        <v>60</v>
      </c>
      <c r="D35" s="328" t="s">
        <v>57</v>
      </c>
      <c r="E35" s="329">
        <v>200962.26</v>
      </c>
      <c r="F35" s="330">
        <v>200962.26</v>
      </c>
      <c r="G35" s="318"/>
      <c r="H35" s="313" t="s">
        <v>59</v>
      </c>
      <c r="I35" s="314" t="s">
        <v>60</v>
      </c>
      <c r="J35" s="315" t="s">
        <v>57</v>
      </c>
      <c r="K35" s="316">
        <v>200962.26</v>
      </c>
      <c r="L35" s="316">
        <f t="shared" si="4"/>
        <v>18810</v>
      </c>
      <c r="M35" s="331"/>
      <c r="N35" s="322"/>
      <c r="O35" s="344">
        <f t="shared" si="5"/>
        <v>18810</v>
      </c>
      <c r="P35" s="609"/>
      <c r="Q35" s="324"/>
      <c r="R35" s="77"/>
      <c r="S35" s="564"/>
      <c r="T35" s="564"/>
      <c r="U35" s="564">
        <f>+'[1]Ejecucion_Financiera MINSAL AGO'!AS65</f>
        <v>18810</v>
      </c>
      <c r="V35" s="567"/>
      <c r="W35" s="557" t="s">
        <v>381</v>
      </c>
      <c r="Y35" s="523">
        <f>+'Plan compras anio 2 planificado'!AB32</f>
        <v>18810</v>
      </c>
      <c r="Z35" s="527">
        <f>+'[8]Detalle medicinas y prod. salud'!$M$53</f>
        <v>18810</v>
      </c>
      <c r="AA35" s="527">
        <f>+U35</f>
        <v>18810</v>
      </c>
      <c r="AB35" s="532">
        <f t="shared" si="3"/>
        <v>0</v>
      </c>
      <c r="AC35" s="2"/>
    </row>
    <row r="36" spans="2:30" ht="102.75" customHeight="1" thickBot="1">
      <c r="B36" s="326" t="s">
        <v>38</v>
      </c>
      <c r="C36" s="327" t="s">
        <v>39</v>
      </c>
      <c r="D36" s="328" t="s">
        <v>57</v>
      </c>
      <c r="E36" s="329">
        <v>588738.5</v>
      </c>
      <c r="F36" s="330">
        <v>375513.85</v>
      </c>
      <c r="G36" s="318"/>
      <c r="H36" s="313" t="s">
        <v>38</v>
      </c>
      <c r="I36" s="314" t="s">
        <v>39</v>
      </c>
      <c r="J36" s="315" t="s">
        <v>57</v>
      </c>
      <c r="K36" s="316">
        <v>588738.5</v>
      </c>
      <c r="L36" s="316">
        <f t="shared" si="4"/>
        <v>69576.5</v>
      </c>
      <c r="M36" s="331"/>
      <c r="N36" s="322"/>
      <c r="O36" s="344">
        <f t="shared" si="5"/>
        <v>69576.5</v>
      </c>
      <c r="P36" s="609"/>
      <c r="Q36" s="324"/>
      <c r="R36" s="77"/>
      <c r="S36" s="546"/>
      <c r="T36" s="546"/>
      <c r="U36" s="546">
        <f>+'[1]Ejecucion_Financiera MINSAL AGO'!AS66+'[1]Ejecucion_Financiera MINSAL AGO'!AS68</f>
        <v>69576.5</v>
      </c>
      <c r="V36" s="574"/>
      <c r="W36" s="559" t="s">
        <v>383</v>
      </c>
      <c r="Y36" s="523">
        <f>+'Plan compras anio 2 planificado'!AB79+'Plan compras anio 2 planificado'!AB91+'Plan compras anio 2 planificado'!AB93+'Plan compras anio 2 planificado'!AB95+'Plan compras anio 2 planificado'!AB97+'Plan compras anio 2 planificado'!AB99+'Plan compras anio 2 planificado'!AB89</f>
        <v>69576.5</v>
      </c>
      <c r="Z36" s="527">
        <f>+'[8]Detalle medicinas y prod. salud'!$M$107+'[8]Detalle medicinas y prod. salud'!$M$108+'[8]Detalle medicinas y prod. salud'!$M$109+'[8]Detalle medicinas y prod. salud'!$M$110+'[8]Detalle medicinas y prod. salud'!$M$111+'[8]Detalle medicinas y prod. salud'!$M$112+'[8]Detalle medicinas y prod. salud'!$M$97</f>
        <v>134047.39488839998</v>
      </c>
      <c r="AA36" s="527">
        <f>+U36</f>
        <v>69576.5</v>
      </c>
      <c r="AB36" s="532">
        <f t="shared" si="3"/>
        <v>64470.894888399984</v>
      </c>
      <c r="AC36" s="2" t="s">
        <v>369</v>
      </c>
      <c r="AD36" s="69"/>
    </row>
    <row r="37" spans="2:29" ht="87.75" customHeight="1" thickBot="1">
      <c r="B37" s="326" t="s">
        <v>38</v>
      </c>
      <c r="C37" s="327" t="s">
        <v>61</v>
      </c>
      <c r="D37" s="328" t="s">
        <v>57</v>
      </c>
      <c r="E37" s="329">
        <v>6891.8</v>
      </c>
      <c r="F37" s="330">
        <v>6891.8</v>
      </c>
      <c r="G37" s="318"/>
      <c r="H37" s="313" t="s">
        <v>38</v>
      </c>
      <c r="I37" s="314" t="s">
        <v>61</v>
      </c>
      <c r="J37" s="315" t="s">
        <v>57</v>
      </c>
      <c r="K37" s="316">
        <v>6891.8</v>
      </c>
      <c r="L37" s="316">
        <f>+F37</f>
        <v>6891.8</v>
      </c>
      <c r="M37" s="331"/>
      <c r="N37" s="347"/>
      <c r="O37" s="344">
        <f>+U37</f>
        <v>6879.465078900866</v>
      </c>
      <c r="P37" s="609"/>
      <c r="Q37" s="324"/>
      <c r="R37" s="77"/>
      <c r="S37" s="546"/>
      <c r="T37" s="546"/>
      <c r="U37" s="546">
        <f>+'Plan compras anio 2 planificado'!AB74+'Plan compras anio 2 planificado'!AB75+'Plan compras anio 2 planificado'!AB76</f>
        <v>6879.465078900866</v>
      </c>
      <c r="V37" s="574"/>
      <c r="W37" s="559" t="s">
        <v>384</v>
      </c>
      <c r="Y37" s="523">
        <f>+'Plan compras anio 2 planificado'!AB74+'Plan compras anio 2 planificado'!AB75+'Plan compras anio 2 planificado'!AB76</f>
        <v>6879.465078900866</v>
      </c>
      <c r="Z37" s="527">
        <f>+'[8]Detalle medicinas y prod. salud'!$M$92+'[8]Detalle medicinas y prod. salud'!$M$93+'[8]Detalle medicinas y prod. salud'!$M$94</f>
        <v>6879.465</v>
      </c>
      <c r="AA37" s="527">
        <f>+U37</f>
        <v>6879.465078900866</v>
      </c>
      <c r="AB37" s="532">
        <f t="shared" si="3"/>
        <v>-7.890086544648511E-05</v>
      </c>
      <c r="AC37" s="2"/>
    </row>
    <row r="38" spans="2:29" ht="42" customHeight="1" thickBot="1">
      <c r="B38" s="326" t="s">
        <v>38</v>
      </c>
      <c r="C38" s="327" t="s">
        <v>62</v>
      </c>
      <c r="D38" s="328" t="s">
        <v>57</v>
      </c>
      <c r="E38" s="329">
        <v>42780.44</v>
      </c>
      <c r="F38" s="330">
        <v>42780.44</v>
      </c>
      <c r="G38" s="318"/>
      <c r="H38" s="313" t="s">
        <v>38</v>
      </c>
      <c r="I38" s="314" t="s">
        <v>62</v>
      </c>
      <c r="J38" s="315" t="s">
        <v>57</v>
      </c>
      <c r="K38" s="316">
        <v>42780.44</v>
      </c>
      <c r="L38" s="316">
        <f t="shared" si="4"/>
        <v>23564.73</v>
      </c>
      <c r="M38" s="318"/>
      <c r="N38" s="318"/>
      <c r="O38" s="344">
        <f t="shared" si="5"/>
        <v>23564.73</v>
      </c>
      <c r="P38" s="609"/>
      <c r="Q38" s="318"/>
      <c r="R38" s="77"/>
      <c r="S38" s="546"/>
      <c r="T38" s="546">
        <f>+'[1]Ejecucion_Financiera MINSAL AGO'!AR79</f>
        <v>4664.73</v>
      </c>
      <c r="U38" s="546">
        <f>+'Plan compras anio 2 planificado'!AB120+'Plan compras anio 2 planificado'!AB122</f>
        <v>18900</v>
      </c>
      <c r="V38" s="574"/>
      <c r="W38" s="541" t="s">
        <v>394</v>
      </c>
      <c r="Y38" s="523">
        <f>+'Plan compras anio 2 planificado'!AA121+'Plan compras anio 2 planificado'!AB120+'Plan compras anio 2 planificado'!AB122</f>
        <v>23564.73</v>
      </c>
      <c r="Z38" s="527">
        <f>+'[8]Detalle medicinas y prod. salud'!$M$130+'[8]Detalle medicinas y prod. salud'!$M$131+'[8]Detalle medicinas y prod. salud'!$M$132</f>
        <v>39592.335135999994</v>
      </c>
      <c r="AA38" s="527">
        <f>+T38+U38</f>
        <v>23564.73</v>
      </c>
      <c r="AB38" s="532">
        <f t="shared" si="3"/>
        <v>16027.605135999995</v>
      </c>
      <c r="AC38" s="67" t="s">
        <v>370</v>
      </c>
    </row>
    <row r="39" spans="2:29" ht="42" customHeight="1" thickBot="1">
      <c r="B39" s="326" t="s">
        <v>59</v>
      </c>
      <c r="C39" s="327" t="s">
        <v>63</v>
      </c>
      <c r="D39" s="328" t="s">
        <v>57</v>
      </c>
      <c r="E39" s="329">
        <v>1181679.77</v>
      </c>
      <c r="F39" s="330">
        <v>104874.41</v>
      </c>
      <c r="G39" s="318"/>
      <c r="H39" s="313" t="s">
        <v>59</v>
      </c>
      <c r="I39" s="314" t="s">
        <v>63</v>
      </c>
      <c r="J39" s="315" t="s">
        <v>57</v>
      </c>
      <c r="K39" s="316">
        <v>1181679.77</v>
      </c>
      <c r="L39" s="316">
        <f t="shared" si="4"/>
        <v>59112</v>
      </c>
      <c r="M39" s="348">
        <f>SUM(M31:M37)</f>
        <v>0</v>
      </c>
      <c r="N39" s="348">
        <f>SUM(N31:N37)</f>
        <v>0</v>
      </c>
      <c r="O39" s="344">
        <f t="shared" si="5"/>
        <v>59112</v>
      </c>
      <c r="P39" s="609"/>
      <c r="Q39" s="77"/>
      <c r="R39" s="77"/>
      <c r="S39" s="546"/>
      <c r="T39" s="546">
        <f>+'[1]Ejecucion_Financiera MINSAL AGO'!AR75</f>
        <v>59112</v>
      </c>
      <c r="U39" s="546"/>
      <c r="V39" s="574"/>
      <c r="W39" s="541" t="s">
        <v>385</v>
      </c>
      <c r="Y39" s="523">
        <f>+'Plan compras anio 2 planificado'!AA44</f>
        <v>59112</v>
      </c>
      <c r="Z39" s="527">
        <f>+'[8]Detalle medicinas y prod. salud'!$M$63</f>
        <v>637335.31392</v>
      </c>
      <c r="AA39" s="527">
        <f>+T39</f>
        <v>59112</v>
      </c>
      <c r="AB39" s="532">
        <f t="shared" si="3"/>
        <v>578223.31392</v>
      </c>
      <c r="AC39" s="2" t="s">
        <v>371</v>
      </c>
    </row>
    <row r="40" spans="2:29" ht="85.5" customHeight="1" thickBot="1">
      <c r="B40" s="326" t="s">
        <v>38</v>
      </c>
      <c r="C40" s="327" t="s">
        <v>40</v>
      </c>
      <c r="D40" s="328" t="s">
        <v>57</v>
      </c>
      <c r="E40" s="329">
        <v>54135.5</v>
      </c>
      <c r="F40" s="330">
        <v>54135.5</v>
      </c>
      <c r="G40" s="318"/>
      <c r="H40" s="313" t="s">
        <v>38</v>
      </c>
      <c r="I40" s="314" t="s">
        <v>40</v>
      </c>
      <c r="J40" s="315" t="s">
        <v>57</v>
      </c>
      <c r="K40" s="316">
        <v>54135.5</v>
      </c>
      <c r="L40" s="316">
        <f t="shared" si="4"/>
        <v>37631.75</v>
      </c>
      <c r="M40" s="318"/>
      <c r="N40" s="318"/>
      <c r="O40" s="344">
        <f t="shared" si="5"/>
        <v>37631.75</v>
      </c>
      <c r="P40" s="609"/>
      <c r="Q40" s="318"/>
      <c r="R40" s="77"/>
      <c r="S40" s="546"/>
      <c r="T40" s="546"/>
      <c r="U40" s="546">
        <f>+'[1]Ejecucion_Financiera MINSAL AGO'!AS76+'Plan compras anio 2 planificado'!AB56+'Plan compras anio 2 planificado'!AB57+'Plan compras anio 2 planificado'!AB58+'Plan compras anio 2 planificado'!AB59+'Plan compras anio 2 planificado'!AB62+'Plan compras anio 2 planificado'!AB63</f>
        <v>37631.75</v>
      </c>
      <c r="V40" s="574"/>
      <c r="W40" s="559" t="s">
        <v>386</v>
      </c>
      <c r="Y40" s="523">
        <f>+'Plan compras anio 2 planificado'!AB53+'Plan compras anio 2 planificado'!AB54+'Plan compras anio 2 planificado'!AB56+'Plan compras anio 2 planificado'!AB57+'Plan compras anio 2 planificado'!AB58+'Plan compras anio 2 planificado'!AB59+'Plan compras anio 2 planificado'!AB62+'Plan compras anio 2 planificado'!AB63</f>
        <v>37631.75</v>
      </c>
      <c r="Z40" s="527">
        <f>+'[8]Detalle medicinas y prod. salud'!$M$72+'[8]Detalle medicinas y prod. salud'!$M$73+'[8]Detalle medicinas y prod. salud'!$M$74+'[8]Detalle medicinas y prod. salud'!$M$75+'[8]Detalle medicinas y prod. salud'!$M$76+'[8]Detalle medicinas y prod. salud'!$M$77+'[8]Detalle medicinas y prod. salud'!$M$80+'[8]Detalle medicinas y prod. salud'!$M$81</f>
        <v>38847.62880133333</v>
      </c>
      <c r="AA40" s="527">
        <f>+U40</f>
        <v>37631.75</v>
      </c>
      <c r="AB40" s="532">
        <f t="shared" si="3"/>
        <v>1215.8788013333324</v>
      </c>
      <c r="AC40" s="67" t="s">
        <v>372</v>
      </c>
    </row>
    <row r="41" spans="2:29" ht="87" customHeight="1" thickBot="1">
      <c r="B41" s="326" t="s">
        <v>32</v>
      </c>
      <c r="C41" s="327" t="s">
        <v>33</v>
      </c>
      <c r="D41" s="328" t="s">
        <v>57</v>
      </c>
      <c r="E41" s="329">
        <v>22383</v>
      </c>
      <c r="F41" s="330">
        <v>9449.18</v>
      </c>
      <c r="G41" s="318"/>
      <c r="H41" s="313" t="s">
        <v>32</v>
      </c>
      <c r="I41" s="314" t="s">
        <v>33</v>
      </c>
      <c r="J41" s="315" t="s">
        <v>57</v>
      </c>
      <c r="K41" s="316">
        <v>8748</v>
      </c>
      <c r="L41" s="316">
        <f t="shared" si="4"/>
        <v>8748</v>
      </c>
      <c r="M41" s="318"/>
      <c r="N41" s="318"/>
      <c r="O41" s="344">
        <f t="shared" si="5"/>
        <v>8748</v>
      </c>
      <c r="P41" s="609"/>
      <c r="Q41" s="318"/>
      <c r="R41" s="77"/>
      <c r="S41" s="546"/>
      <c r="T41" s="546"/>
      <c r="U41" s="546">
        <f>+'[1]Ejecucion_Financiera MINSAL AGO'!AS64</f>
        <v>8748</v>
      </c>
      <c r="V41" s="574"/>
      <c r="W41" s="559" t="s">
        <v>382</v>
      </c>
      <c r="Y41" s="523">
        <f>+'Plan compras anio 2 planificado'!AB22</f>
        <v>8748</v>
      </c>
      <c r="Z41" s="527">
        <f>+'[8]Detalle medicinas y prod. salud'!$M$43</f>
        <v>8748.599999999999</v>
      </c>
      <c r="AA41" s="527">
        <f>+U41</f>
        <v>8748</v>
      </c>
      <c r="AB41" s="532"/>
      <c r="AC41" s="2"/>
    </row>
    <row r="42" spans="2:29" ht="42" customHeight="1" thickBot="1">
      <c r="B42" s="326" t="s">
        <v>64</v>
      </c>
      <c r="C42" s="327" t="s">
        <v>33</v>
      </c>
      <c r="D42" s="328" t="s">
        <v>57</v>
      </c>
      <c r="E42" s="329">
        <v>4400.45</v>
      </c>
      <c r="F42" s="330">
        <v>226.29</v>
      </c>
      <c r="G42" s="318"/>
      <c r="H42" s="313" t="s">
        <v>64</v>
      </c>
      <c r="I42" s="314" t="s">
        <v>33</v>
      </c>
      <c r="J42" s="315" t="s">
        <v>57</v>
      </c>
      <c r="K42" s="316">
        <v>4400.45</v>
      </c>
      <c r="L42" s="316">
        <f t="shared" si="4"/>
        <v>0</v>
      </c>
      <c r="M42" s="318"/>
      <c r="N42" s="318"/>
      <c r="O42" s="344">
        <f t="shared" si="5"/>
        <v>0</v>
      </c>
      <c r="P42" s="609"/>
      <c r="Q42" s="318"/>
      <c r="R42" s="77"/>
      <c r="S42" s="546"/>
      <c r="T42" s="546"/>
      <c r="U42" s="546"/>
      <c r="V42" s="574"/>
      <c r="W42" s="541"/>
      <c r="Y42" s="524"/>
      <c r="Z42" s="527"/>
      <c r="AA42" s="527"/>
      <c r="AB42" s="532"/>
      <c r="AC42" s="2"/>
    </row>
    <row r="43" spans="2:29" ht="42" customHeight="1" thickBot="1">
      <c r="B43" s="326" t="s">
        <v>65</v>
      </c>
      <c r="C43" s="327" t="s">
        <v>33</v>
      </c>
      <c r="D43" s="328" t="s">
        <v>57</v>
      </c>
      <c r="E43" s="329">
        <v>15695.4</v>
      </c>
      <c r="F43" s="330">
        <v>807.14</v>
      </c>
      <c r="G43" s="318"/>
      <c r="H43" s="313" t="s">
        <v>65</v>
      </c>
      <c r="I43" s="314" t="s">
        <v>33</v>
      </c>
      <c r="J43" s="315" t="s">
        <v>57</v>
      </c>
      <c r="K43" s="316">
        <v>15695.4</v>
      </c>
      <c r="L43" s="316">
        <f t="shared" si="4"/>
        <v>0</v>
      </c>
      <c r="M43" s="318"/>
      <c r="N43" s="318"/>
      <c r="O43" s="344">
        <f t="shared" si="5"/>
        <v>0</v>
      </c>
      <c r="P43" s="609"/>
      <c r="Q43" s="318"/>
      <c r="R43" s="77"/>
      <c r="S43" s="546"/>
      <c r="T43" s="546"/>
      <c r="U43" s="546"/>
      <c r="V43" s="574"/>
      <c r="W43" s="541"/>
      <c r="Y43" s="524"/>
      <c r="Z43" s="527"/>
      <c r="AA43" s="527"/>
      <c r="AB43" s="532"/>
      <c r="AC43" s="2"/>
    </row>
    <row r="44" spans="2:29" ht="42" customHeight="1" thickBot="1">
      <c r="B44" s="326" t="s">
        <v>66</v>
      </c>
      <c r="C44" s="327" t="s">
        <v>33</v>
      </c>
      <c r="D44" s="328" t="s">
        <v>57</v>
      </c>
      <c r="E44" s="329">
        <v>22287.47</v>
      </c>
      <c r="F44" s="330">
        <v>1146.13</v>
      </c>
      <c r="G44" s="318"/>
      <c r="H44" s="313" t="s">
        <v>66</v>
      </c>
      <c r="I44" s="314" t="s">
        <v>33</v>
      </c>
      <c r="J44" s="315" t="s">
        <v>57</v>
      </c>
      <c r="K44" s="316">
        <v>22287.47</v>
      </c>
      <c r="L44" s="316">
        <f t="shared" si="4"/>
        <v>0</v>
      </c>
      <c r="M44" s="318"/>
      <c r="N44" s="318"/>
      <c r="O44" s="344">
        <f t="shared" si="5"/>
        <v>0</v>
      </c>
      <c r="P44" s="609"/>
      <c r="Q44" s="318"/>
      <c r="R44" s="77"/>
      <c r="S44" s="546"/>
      <c r="T44" s="546"/>
      <c r="U44" s="546"/>
      <c r="V44" s="574"/>
      <c r="W44" s="541"/>
      <c r="Y44" s="524"/>
      <c r="Z44" s="527"/>
      <c r="AA44" s="527"/>
      <c r="AB44" s="532"/>
      <c r="AC44" s="2"/>
    </row>
    <row r="45" spans="2:29" ht="42" customHeight="1" thickBot="1">
      <c r="B45" s="326" t="s">
        <v>67</v>
      </c>
      <c r="C45" s="327" t="s">
        <v>68</v>
      </c>
      <c r="D45" s="328" t="s">
        <v>36</v>
      </c>
      <c r="E45" s="329">
        <v>600</v>
      </c>
      <c r="F45" s="330">
        <v>600</v>
      </c>
      <c r="G45" s="318"/>
      <c r="H45" s="313" t="s">
        <v>67</v>
      </c>
      <c r="I45" s="314" t="s">
        <v>68</v>
      </c>
      <c r="J45" s="315" t="s">
        <v>36</v>
      </c>
      <c r="K45" s="316">
        <v>600</v>
      </c>
      <c r="L45" s="316">
        <f t="shared" si="4"/>
        <v>600</v>
      </c>
      <c r="M45" s="318"/>
      <c r="N45" s="318"/>
      <c r="O45" s="344">
        <f t="shared" si="5"/>
        <v>600</v>
      </c>
      <c r="P45" s="609"/>
      <c r="Q45" s="318"/>
      <c r="R45" s="77"/>
      <c r="S45" s="546"/>
      <c r="T45" s="546"/>
      <c r="U45" s="546">
        <f>+'[1]Ejecucion_Financiera MINSAL AGO'!AS55</f>
        <v>600</v>
      </c>
      <c r="V45" s="574"/>
      <c r="W45" s="541" t="s">
        <v>387</v>
      </c>
      <c r="Y45" s="523">
        <f>+'Plan compras anio 2 planificado'!AB138</f>
        <v>600</v>
      </c>
      <c r="Z45" s="527">
        <f>+'[8]Detalle medicinas y prod. salud'!$M$149</f>
        <v>600</v>
      </c>
      <c r="AA45" s="527">
        <f>+U45</f>
        <v>600</v>
      </c>
      <c r="AB45" s="532"/>
      <c r="AC45" s="2"/>
    </row>
    <row r="46" spans="2:29" ht="62.25" customHeight="1" thickBot="1">
      <c r="B46" s="326" t="s">
        <v>67</v>
      </c>
      <c r="C46" s="327" t="s">
        <v>69</v>
      </c>
      <c r="D46" s="328" t="s">
        <v>36</v>
      </c>
      <c r="E46" s="329">
        <v>43680</v>
      </c>
      <c r="F46" s="330">
        <v>43680</v>
      </c>
      <c r="G46" s="318"/>
      <c r="H46" s="313" t="s">
        <v>67</v>
      </c>
      <c r="I46" s="314" t="s">
        <v>69</v>
      </c>
      <c r="J46" s="315" t="s">
        <v>36</v>
      </c>
      <c r="K46" s="316">
        <v>43680</v>
      </c>
      <c r="L46" s="316">
        <f t="shared" si="4"/>
        <v>43680</v>
      </c>
      <c r="M46" s="318"/>
      <c r="N46" s="318"/>
      <c r="O46" s="344">
        <f t="shared" si="5"/>
        <v>43680</v>
      </c>
      <c r="P46" s="610"/>
      <c r="Q46" s="318"/>
      <c r="R46" s="77"/>
      <c r="S46" s="546"/>
      <c r="T46" s="546"/>
      <c r="U46" s="546">
        <f>+'[1]Ejecucion_Financiera MINSAL AGO'!AS82</f>
        <v>43680</v>
      </c>
      <c r="V46" s="574"/>
      <c r="W46" s="541" t="s">
        <v>398</v>
      </c>
      <c r="Y46" s="523">
        <f>+'Plan compras anio 2 planificado'!AB130</f>
        <v>43680</v>
      </c>
      <c r="Z46" s="527">
        <f>+'[8]Detalle medicinas y prod. salud'!$M$140</f>
        <v>43680.600000000006</v>
      </c>
      <c r="AA46" s="527">
        <f>+U46</f>
        <v>43680</v>
      </c>
      <c r="AB46" s="532"/>
      <c r="AC46" s="2"/>
    </row>
    <row r="47" spans="2:29" ht="42" customHeight="1" thickBot="1">
      <c r="B47" s="326" t="s">
        <v>26</v>
      </c>
      <c r="C47" s="327" t="s">
        <v>27</v>
      </c>
      <c r="D47" s="328" t="s">
        <v>70</v>
      </c>
      <c r="E47" s="329">
        <v>454173.49</v>
      </c>
      <c r="F47" s="330">
        <v>75000</v>
      </c>
      <c r="G47" s="318"/>
      <c r="H47" s="313" t="s">
        <v>26</v>
      </c>
      <c r="I47" s="314" t="s">
        <v>27</v>
      </c>
      <c r="J47" s="315" t="s">
        <v>70</v>
      </c>
      <c r="K47" s="316">
        <v>454173.49</v>
      </c>
      <c r="L47" s="316">
        <f t="shared" si="4"/>
        <v>4490.7</v>
      </c>
      <c r="M47" s="318"/>
      <c r="N47" s="318"/>
      <c r="O47" s="344">
        <f t="shared" si="5"/>
        <v>4490.7</v>
      </c>
      <c r="P47" s="323" t="s">
        <v>71</v>
      </c>
      <c r="Q47" s="318"/>
      <c r="R47" s="77"/>
      <c r="S47" s="546">
        <f>+'[1]Ejecucion_Financiera MINSAL AGO'!AQ86</f>
        <v>4490.7</v>
      </c>
      <c r="T47" s="546"/>
      <c r="U47" s="546"/>
      <c r="V47" s="574"/>
      <c r="W47" s="541" t="s">
        <v>379</v>
      </c>
      <c r="Y47" s="524"/>
      <c r="Z47" s="527"/>
      <c r="AA47" s="527"/>
      <c r="AB47" s="532"/>
      <c r="AC47" s="2"/>
    </row>
    <row r="48" spans="2:29" ht="42" customHeight="1" thickBot="1">
      <c r="B48" s="326" t="s">
        <v>38</v>
      </c>
      <c r="C48" s="327" t="s">
        <v>62</v>
      </c>
      <c r="D48" s="328" t="s">
        <v>28</v>
      </c>
      <c r="E48" s="329">
        <v>80000</v>
      </c>
      <c r="F48" s="330">
        <v>68153</v>
      </c>
      <c r="G48" s="318"/>
      <c r="H48" s="313" t="s">
        <v>38</v>
      </c>
      <c r="I48" s="314" t="s">
        <v>62</v>
      </c>
      <c r="J48" s="315" t="s">
        <v>28</v>
      </c>
      <c r="K48" s="316">
        <v>80000</v>
      </c>
      <c r="L48" s="316">
        <f t="shared" si="4"/>
        <v>0</v>
      </c>
      <c r="M48" s="318"/>
      <c r="N48" s="318"/>
      <c r="O48" s="344">
        <f t="shared" si="5"/>
        <v>0</v>
      </c>
      <c r="P48" s="323" t="s">
        <v>72</v>
      </c>
      <c r="Q48" s="318"/>
      <c r="R48" s="77"/>
      <c r="S48" s="546"/>
      <c r="T48" s="546"/>
      <c r="U48" s="546"/>
      <c r="V48" s="574"/>
      <c r="W48" s="541"/>
      <c r="Y48" s="524"/>
      <c r="Z48" s="527"/>
      <c r="AA48" s="527"/>
      <c r="AB48" s="532"/>
      <c r="AC48" s="2"/>
    </row>
    <row r="49" spans="2:29" ht="49.5" customHeight="1" thickBot="1">
      <c r="B49" s="326" t="s">
        <v>73</v>
      </c>
      <c r="C49" s="327" t="s">
        <v>74</v>
      </c>
      <c r="D49" s="328" t="s">
        <v>75</v>
      </c>
      <c r="E49" s="329">
        <v>94771.5</v>
      </c>
      <c r="F49" s="330">
        <v>94771.5</v>
      </c>
      <c r="G49" s="318"/>
      <c r="H49" s="313" t="s">
        <v>73</v>
      </c>
      <c r="I49" s="314" t="s">
        <v>74</v>
      </c>
      <c r="J49" s="315" t="s">
        <v>75</v>
      </c>
      <c r="K49" s="316">
        <v>94771.5</v>
      </c>
      <c r="L49" s="316">
        <f t="shared" si="4"/>
        <v>81079.15</v>
      </c>
      <c r="M49" s="318"/>
      <c r="N49" s="318"/>
      <c r="O49" s="344">
        <f t="shared" si="5"/>
        <v>81079.15</v>
      </c>
      <c r="P49" s="323" t="s">
        <v>76</v>
      </c>
      <c r="Q49" s="318"/>
      <c r="R49" s="77"/>
      <c r="S49" s="546"/>
      <c r="T49" s="546">
        <f>+'[1]Ejecucion_Financiera MINSAL AGO'!AR15</f>
        <v>10903.15</v>
      </c>
      <c r="U49" s="546">
        <f>+'[1]Ejecucion_Financiera MINSAL AGO'!AS15</f>
        <v>70176</v>
      </c>
      <c r="V49" s="574"/>
      <c r="W49" s="541" t="s">
        <v>399</v>
      </c>
      <c r="Y49" s="524"/>
      <c r="Z49" s="527"/>
      <c r="AA49" s="527"/>
      <c r="AB49" s="532"/>
      <c r="AC49" s="2"/>
    </row>
    <row r="50" spans="2:29" ht="42" customHeight="1" thickBot="1">
      <c r="B50" s="326" t="s">
        <v>32</v>
      </c>
      <c r="C50" s="327" t="s">
        <v>77</v>
      </c>
      <c r="D50" s="328" t="s">
        <v>42</v>
      </c>
      <c r="E50" s="329">
        <v>3452.5</v>
      </c>
      <c r="F50" s="330">
        <v>2295</v>
      </c>
      <c r="G50" s="318"/>
      <c r="H50" s="313" t="s">
        <v>78</v>
      </c>
      <c r="I50" s="314" t="s">
        <v>77</v>
      </c>
      <c r="J50" s="315" t="s">
        <v>42</v>
      </c>
      <c r="K50" s="316">
        <v>3452.5</v>
      </c>
      <c r="L50" s="316">
        <f t="shared" si="4"/>
        <v>671.4</v>
      </c>
      <c r="M50" s="318"/>
      <c r="N50" s="318"/>
      <c r="O50" s="344">
        <f t="shared" si="5"/>
        <v>671.4</v>
      </c>
      <c r="P50" s="323" t="s">
        <v>79</v>
      </c>
      <c r="Q50" s="318"/>
      <c r="R50" s="77"/>
      <c r="S50" s="546"/>
      <c r="T50" s="546">
        <f>+'[1]Ejecucion_Financiera MINSAL AGO'!AR57</f>
        <v>671.4</v>
      </c>
      <c r="U50" s="546">
        <f>+'[1]Ejecucion_Financiera MINSAL AGO'!AQ57</f>
        <v>0</v>
      </c>
      <c r="V50" s="574"/>
      <c r="W50" s="541" t="s">
        <v>400</v>
      </c>
      <c r="Y50" s="524"/>
      <c r="Z50" s="527"/>
      <c r="AA50" s="527"/>
      <c r="AB50" s="532"/>
      <c r="AC50" s="2"/>
    </row>
    <row r="51" spans="2:29" ht="42" customHeight="1" thickBot="1">
      <c r="B51" s="326" t="s">
        <v>38</v>
      </c>
      <c r="C51" s="327" t="s">
        <v>62</v>
      </c>
      <c r="D51" s="328" t="s">
        <v>42</v>
      </c>
      <c r="E51" s="329">
        <v>2403</v>
      </c>
      <c r="F51" s="330">
        <v>1379.55</v>
      </c>
      <c r="G51" s="318"/>
      <c r="H51" s="313" t="s">
        <v>38</v>
      </c>
      <c r="I51" s="314" t="s">
        <v>62</v>
      </c>
      <c r="J51" s="315" t="s">
        <v>42</v>
      </c>
      <c r="K51" s="316">
        <v>2403</v>
      </c>
      <c r="L51" s="316">
        <f t="shared" si="4"/>
        <v>1379.16</v>
      </c>
      <c r="M51" s="318"/>
      <c r="N51" s="318"/>
      <c r="O51" s="344">
        <f t="shared" si="5"/>
        <v>1379.16</v>
      </c>
      <c r="P51" s="323" t="s">
        <v>80</v>
      </c>
      <c r="Q51" s="318"/>
      <c r="R51" s="77"/>
      <c r="S51" s="546"/>
      <c r="T51" s="546"/>
      <c r="U51" s="546">
        <f>+'[1]Ejecucion_Financiera MINSAL AGO'!AS81</f>
        <v>1379.16</v>
      </c>
      <c r="V51" s="574"/>
      <c r="W51" s="541" t="s">
        <v>401</v>
      </c>
      <c r="Y51" s="524"/>
      <c r="Z51" s="527"/>
      <c r="AA51" s="527"/>
      <c r="AB51" s="532"/>
      <c r="AC51" s="2"/>
    </row>
    <row r="52" spans="2:29" ht="42" customHeight="1" thickBot="1">
      <c r="B52" s="326" t="s">
        <v>26</v>
      </c>
      <c r="C52" s="327" t="s">
        <v>27</v>
      </c>
      <c r="D52" s="328" t="s">
        <v>81</v>
      </c>
      <c r="E52" s="329">
        <f>13931.21+1700+7590.7</f>
        <v>23221.91</v>
      </c>
      <c r="F52" s="330">
        <v>15040.7</v>
      </c>
      <c r="G52" s="318"/>
      <c r="H52" s="313" t="s">
        <v>26</v>
      </c>
      <c r="I52" s="314" t="s">
        <v>27</v>
      </c>
      <c r="J52" s="315" t="s">
        <v>81</v>
      </c>
      <c r="K52" s="316">
        <v>13931.21</v>
      </c>
      <c r="L52" s="316">
        <f t="shared" si="4"/>
        <v>4722.05</v>
      </c>
      <c r="M52" s="318"/>
      <c r="N52" s="318"/>
      <c r="O52" s="344">
        <f t="shared" si="5"/>
        <v>4722.05</v>
      </c>
      <c r="P52" s="19" t="s">
        <v>82</v>
      </c>
      <c r="Q52" s="4"/>
      <c r="S52" s="546"/>
      <c r="T52" s="546">
        <f>+'[1]Ejecucion_Financiera MINSAL AGO'!AR30+'[1]Ejecucion_Financiera MINSAL AGO'!AR31</f>
        <v>4722.05</v>
      </c>
      <c r="U52" s="546">
        <f>+'[1]Ejecucion_Financiera MINSAL AGO'!AQ30+'[1]Ejecucion_Financiera MINSAL AGO'!AQ31</f>
        <v>0</v>
      </c>
      <c r="V52" s="574"/>
      <c r="W52" s="541" t="s">
        <v>402</v>
      </c>
      <c r="Y52" s="524"/>
      <c r="Z52" s="527"/>
      <c r="AA52" s="527"/>
      <c r="AB52" s="532"/>
      <c r="AC52" s="2"/>
    </row>
    <row r="53" spans="2:29" ht="32.25" customHeight="1">
      <c r="B53" s="617" t="s">
        <v>313</v>
      </c>
      <c r="C53" s="617"/>
      <c r="D53" s="617"/>
      <c r="E53" s="617"/>
      <c r="F53" s="374">
        <v>1311081.9300000002</v>
      </c>
      <c r="G53" s="4"/>
      <c r="H53" s="611" t="s">
        <v>83</v>
      </c>
      <c r="I53" s="612"/>
      <c r="J53" s="613"/>
      <c r="K53" s="55"/>
      <c r="L53" s="540">
        <f>SUM(L31:L52)</f>
        <v>553671.0200000001</v>
      </c>
      <c r="M53" s="55">
        <f>SUM(M31:M52)</f>
        <v>0</v>
      </c>
      <c r="N53" s="55">
        <f>SUM(N31:N52)</f>
        <v>0</v>
      </c>
      <c r="O53" s="540">
        <f>SUM(O31:O52)</f>
        <v>553658.685078901</v>
      </c>
      <c r="P53" s="55">
        <f aca="true" t="shared" si="6" ref="P53:X53">SUM(P31:P52)</f>
        <v>0</v>
      </c>
      <c r="Q53" s="55">
        <f t="shared" si="6"/>
        <v>0</v>
      </c>
      <c r="R53" s="55">
        <f t="shared" si="6"/>
        <v>0</v>
      </c>
      <c r="S53" s="55">
        <f t="shared" si="6"/>
        <v>16334.599999999999</v>
      </c>
      <c r="T53" s="55">
        <f t="shared" si="6"/>
        <v>80073.32999999999</v>
      </c>
      <c r="U53" s="55">
        <f t="shared" si="6"/>
        <v>457510.51507890085</v>
      </c>
      <c r="V53" s="553">
        <f t="shared" si="6"/>
        <v>0</v>
      </c>
      <c r="W53" s="555"/>
      <c r="X53" s="554">
        <f t="shared" si="6"/>
        <v>0</v>
      </c>
      <c r="Y53" s="525">
        <f>SUM(Y31:Y52)</f>
        <v>461575.84507890086</v>
      </c>
      <c r="Z53" s="527"/>
      <c r="AA53" s="527"/>
      <c r="AB53" s="532"/>
      <c r="AC53" s="2"/>
    </row>
    <row r="54" spans="2:29" s="60" customFormat="1" ht="29.25" customHeight="1">
      <c r="B54" s="4"/>
      <c r="C54" s="4"/>
      <c r="D54" s="4"/>
      <c r="E54" s="2" t="s">
        <v>373</v>
      </c>
      <c r="F54" s="538">
        <f>+'[10]Ejecucion_Financiera'!$AH$112+'[10]Ejecucion_Financiera'!$W$112</f>
        <v>1311081.9300000002</v>
      </c>
      <c r="G54" s="56"/>
      <c r="H54" s="614" t="s">
        <v>84</v>
      </c>
      <c r="I54" s="614"/>
      <c r="J54" s="614"/>
      <c r="K54" s="614"/>
      <c r="L54" s="614"/>
      <c r="M54" s="57"/>
      <c r="N54" s="57"/>
      <c r="O54" s="58">
        <f>+O53+O21</f>
        <v>637793.525078901</v>
      </c>
      <c r="P54" s="58" t="e">
        <f>+P53+P21</f>
        <v>#VALUE!</v>
      </c>
      <c r="Q54" s="58">
        <f>+Q53+Q21</f>
        <v>0</v>
      </c>
      <c r="R54" s="59">
        <f>+R53+R21</f>
        <v>0</v>
      </c>
      <c r="S54" s="349">
        <f>+S53+S19</f>
        <v>16334.599999999999</v>
      </c>
      <c r="T54" s="349">
        <f>+T53+T19</f>
        <v>91713.16999999998</v>
      </c>
      <c r="U54" s="349">
        <f>+U53+U19</f>
        <v>530005.5150789008</v>
      </c>
      <c r="V54" s="58">
        <f>+V53+V19</f>
        <v>0</v>
      </c>
      <c r="W54" s="550"/>
      <c r="Z54" s="529">
        <f>SUM(Z31:Z53)</f>
        <v>1329588.8683257333</v>
      </c>
      <c r="AA54" s="529">
        <f>SUM(AA31:AA53)</f>
        <v>461575.9850789009</v>
      </c>
      <c r="AB54" s="533">
        <f>SUM(AB31:AB53)</f>
        <v>868011.6832468325</v>
      </c>
      <c r="AC54" s="536"/>
    </row>
    <row r="55" spans="2:29" ht="14.25">
      <c r="B55" s="4"/>
      <c r="C55" s="4"/>
      <c r="D55" s="4"/>
      <c r="E55" s="4"/>
      <c r="F55" s="46"/>
      <c r="G55" s="4"/>
      <c r="H55" s="4"/>
      <c r="I55" s="4"/>
      <c r="J55" s="4"/>
      <c r="K55" s="4"/>
      <c r="L55" s="4"/>
      <c r="M55" s="4"/>
      <c r="N55" s="4"/>
      <c r="O55" s="4"/>
      <c r="P55" s="4"/>
      <c r="Q55" s="4"/>
      <c r="Y55" s="3">
        <f>+'Plan compras anio 2 planificado'!X152</f>
        <v>461575.84507890086</v>
      </c>
      <c r="AA55" s="521">
        <f>+Y55-Z55</f>
        <v>461575.84507890086</v>
      </c>
      <c r="AC55" s="521"/>
    </row>
    <row r="56" spans="2:29" ht="38.25" hidden="1">
      <c r="B56" s="61"/>
      <c r="C56" s="61"/>
      <c r="D56" s="4"/>
      <c r="E56" s="4"/>
      <c r="F56" s="46"/>
      <c r="G56" s="4"/>
      <c r="H56" s="598" t="s">
        <v>85</v>
      </c>
      <c r="I56" s="598"/>
      <c r="J56" s="598"/>
      <c r="K56" s="598"/>
      <c r="L56" s="598"/>
      <c r="M56" s="62"/>
      <c r="N56" s="62"/>
      <c r="O56" s="63">
        <f>471259.15+187693.59</f>
        <v>658952.74</v>
      </c>
      <c r="P56" s="19" t="s">
        <v>86</v>
      </c>
      <c r="Q56" s="4"/>
      <c r="AC56" s="521"/>
    </row>
    <row r="57" spans="2:29" ht="14.25">
      <c r="B57" s="4"/>
      <c r="C57" s="4"/>
      <c r="D57" s="4"/>
      <c r="E57" s="4"/>
      <c r="F57" s="4"/>
      <c r="G57" s="4"/>
      <c r="H57" s="4"/>
      <c r="I57" s="4"/>
      <c r="J57" s="4"/>
      <c r="K57" s="4"/>
      <c r="L57" s="4"/>
      <c r="M57" s="4"/>
      <c r="N57" s="4"/>
      <c r="O57" s="41"/>
      <c r="P57" s="4"/>
      <c r="Q57" s="4"/>
      <c r="T57" s="69"/>
      <c r="Y57" s="69">
        <f>+Y53-Y55</f>
        <v>0</v>
      </c>
      <c r="AC57" s="521"/>
    </row>
    <row r="58" spans="2:29" ht="29.25" customHeight="1" hidden="1">
      <c r="B58" s="4"/>
      <c r="C58" s="4"/>
      <c r="D58" s="4"/>
      <c r="E58" s="4"/>
      <c r="F58" s="4" t="s">
        <v>87</v>
      </c>
      <c r="G58" s="4"/>
      <c r="H58" s="4" t="s">
        <v>88</v>
      </c>
      <c r="I58" s="4" t="s">
        <v>89</v>
      </c>
      <c r="J58" s="4"/>
      <c r="K58" s="4"/>
      <c r="L58" s="4"/>
      <c r="M58" s="4"/>
      <c r="N58" s="4"/>
      <c r="O58" s="4"/>
      <c r="P58" s="4"/>
      <c r="Q58" s="4"/>
      <c r="S58" s="64"/>
      <c r="T58" s="64"/>
      <c r="U58" s="65">
        <f>+S54+T54+U54</f>
        <v>638053.2850789009</v>
      </c>
      <c r="V58" s="66" t="s">
        <v>90</v>
      </c>
      <c r="W58" s="66"/>
      <c r="AC58" s="521"/>
    </row>
    <row r="59" spans="2:29" ht="42.75" customHeight="1" hidden="1">
      <c r="B59" s="4" t="s">
        <v>38</v>
      </c>
      <c r="C59" s="4" t="s">
        <v>39</v>
      </c>
      <c r="D59" s="4" t="s">
        <v>57</v>
      </c>
      <c r="E59" s="4"/>
      <c r="F59" s="4">
        <v>288728.5</v>
      </c>
      <c r="G59" s="4"/>
      <c r="H59" s="4">
        <f>+F36</f>
        <v>375513.85</v>
      </c>
      <c r="I59" s="4">
        <f aca="true" t="shared" si="7" ref="I59:I65">+F59-H59</f>
        <v>-86785.34999999998</v>
      </c>
      <c r="J59" s="4"/>
      <c r="K59" s="4"/>
      <c r="L59" s="68" t="s">
        <v>91</v>
      </c>
      <c r="M59" s="68"/>
      <c r="N59" s="68"/>
      <c r="O59" s="68">
        <f>+O54+O56</f>
        <v>1296746.2650789008</v>
      </c>
      <c r="P59" s="4"/>
      <c r="Q59" s="4"/>
      <c r="S59" s="64"/>
      <c r="T59" s="64"/>
      <c r="U59" s="64"/>
      <c r="V59" s="64"/>
      <c r="W59" s="64"/>
      <c r="AC59" s="521"/>
    </row>
    <row r="60" spans="2:29" ht="42.75" customHeight="1" hidden="1">
      <c r="B60" s="4" t="s">
        <v>59</v>
      </c>
      <c r="C60" s="4" t="s">
        <v>63</v>
      </c>
      <c r="D60" s="4" t="s">
        <v>57</v>
      </c>
      <c r="E60" s="4"/>
      <c r="F60" s="4">
        <v>104687.77</v>
      </c>
      <c r="G60" s="4"/>
      <c r="H60" s="4">
        <f>+F39</f>
        <v>104874.41</v>
      </c>
      <c r="I60" s="4">
        <f t="shared" si="7"/>
        <v>-186.63999999999942</v>
      </c>
      <c r="J60" s="4"/>
      <c r="K60" s="4"/>
      <c r="L60" s="4"/>
      <c r="M60" s="4"/>
      <c r="N60" s="4"/>
      <c r="O60" s="4"/>
      <c r="P60" s="4"/>
      <c r="Q60" s="4"/>
      <c r="S60" s="64"/>
      <c r="T60" s="64"/>
      <c r="U60" s="64"/>
      <c r="V60" s="64"/>
      <c r="W60" s="64"/>
      <c r="AC60" s="521"/>
    </row>
    <row r="61" spans="2:29" ht="42.75" customHeight="1" hidden="1">
      <c r="B61" s="4" t="s">
        <v>55</v>
      </c>
      <c r="C61" s="4" t="s">
        <v>56</v>
      </c>
      <c r="D61" s="4" t="s">
        <v>57</v>
      </c>
      <c r="E61" s="4"/>
      <c r="F61" s="4">
        <v>750</v>
      </c>
      <c r="G61" s="4"/>
      <c r="H61" s="4">
        <f>+F34</f>
        <v>10240.24</v>
      </c>
      <c r="I61" s="4">
        <f t="shared" si="7"/>
        <v>-9490.24</v>
      </c>
      <c r="J61" s="4"/>
      <c r="K61" s="4"/>
      <c r="L61" s="4"/>
      <c r="M61" s="4"/>
      <c r="N61" s="4"/>
      <c r="O61" s="4"/>
      <c r="P61" s="4"/>
      <c r="Q61" s="4"/>
      <c r="U61" s="69"/>
      <c r="AC61" s="521"/>
    </row>
    <row r="62" spans="2:29" ht="42.75" customHeight="1" hidden="1">
      <c r="B62" s="4" t="s">
        <v>32</v>
      </c>
      <c r="C62" s="4" t="s">
        <v>33</v>
      </c>
      <c r="D62" s="4" t="s">
        <v>57</v>
      </c>
      <c r="E62" s="4"/>
      <c r="F62" s="4">
        <v>0</v>
      </c>
      <c r="G62" s="4"/>
      <c r="H62" s="4">
        <f>+F41</f>
        <v>9449.18</v>
      </c>
      <c r="I62" s="4">
        <f t="shared" si="7"/>
        <v>-9449.18</v>
      </c>
      <c r="J62" s="4"/>
      <c r="K62" s="4"/>
      <c r="L62" s="4"/>
      <c r="M62" s="4"/>
      <c r="N62" s="4"/>
      <c r="O62" s="4"/>
      <c r="P62" s="4"/>
      <c r="Q62" s="4"/>
      <c r="U62" s="69"/>
      <c r="AC62" s="521"/>
    </row>
    <row r="63" spans="2:29" ht="57" customHeight="1" hidden="1">
      <c r="B63" s="4" t="s">
        <v>64</v>
      </c>
      <c r="C63" s="4" t="s">
        <v>33</v>
      </c>
      <c r="D63" s="4" t="s">
        <v>57</v>
      </c>
      <c r="E63" s="4"/>
      <c r="F63" s="4">
        <v>0</v>
      </c>
      <c r="G63" s="4"/>
      <c r="H63" s="4">
        <f>+F42</f>
        <v>226.29</v>
      </c>
      <c r="I63" s="4">
        <f t="shared" si="7"/>
        <v>-226.29</v>
      </c>
      <c r="J63" s="4"/>
      <c r="K63" s="4"/>
      <c r="L63" s="4"/>
      <c r="M63" s="4"/>
      <c r="N63" s="4"/>
      <c r="O63" s="4"/>
      <c r="P63" s="4"/>
      <c r="Q63" s="4"/>
      <c r="AC63" s="521"/>
    </row>
    <row r="64" spans="2:29" ht="42.75" customHeight="1" hidden="1">
      <c r="B64" s="4" t="s">
        <v>65</v>
      </c>
      <c r="C64" s="4" t="s">
        <v>33</v>
      </c>
      <c r="D64" s="4" t="s">
        <v>57</v>
      </c>
      <c r="E64" s="4"/>
      <c r="F64" s="4">
        <v>0</v>
      </c>
      <c r="G64" s="4"/>
      <c r="H64" s="4">
        <f>+F43</f>
        <v>807.14</v>
      </c>
      <c r="I64" s="4">
        <f t="shared" si="7"/>
        <v>-807.14</v>
      </c>
      <c r="J64" s="4"/>
      <c r="K64" s="4"/>
      <c r="L64" s="4"/>
      <c r="M64" s="4"/>
      <c r="N64" s="4"/>
      <c r="O64" s="4"/>
      <c r="P64" s="4"/>
      <c r="Q64" s="4"/>
      <c r="AC64" s="521"/>
    </row>
    <row r="65" spans="2:29" ht="43.5" customHeight="1" hidden="1" thickBot="1">
      <c r="B65" s="4" t="s">
        <v>66</v>
      </c>
      <c r="C65" s="4" t="s">
        <v>33</v>
      </c>
      <c r="D65" s="4" t="s">
        <v>57</v>
      </c>
      <c r="E65" s="4"/>
      <c r="F65" s="4">
        <v>0</v>
      </c>
      <c r="G65" s="4"/>
      <c r="H65" s="4">
        <f>+F44</f>
        <v>1146.13</v>
      </c>
      <c r="I65" s="4">
        <f t="shared" si="7"/>
        <v>-1146.13</v>
      </c>
      <c r="J65" s="4"/>
      <c r="K65" s="4"/>
      <c r="L65" s="4"/>
      <c r="M65" s="4"/>
      <c r="N65" s="4"/>
      <c r="O65" s="4"/>
      <c r="P65" s="4"/>
      <c r="Q65" s="4"/>
      <c r="AC65" s="521"/>
    </row>
    <row r="66" spans="2:29" ht="14.25" customHeight="1" hidden="1">
      <c r="B66" s="4"/>
      <c r="C66" s="4"/>
      <c r="D66" s="4"/>
      <c r="E66" s="4"/>
      <c r="F66" s="4"/>
      <c r="G66" s="4"/>
      <c r="H66" s="4"/>
      <c r="I66" s="4"/>
      <c r="J66" s="4"/>
      <c r="K66" s="4"/>
      <c r="L66" s="4"/>
      <c r="M66" s="4"/>
      <c r="N66" s="4"/>
      <c r="O66" s="4"/>
      <c r="P66" s="4"/>
      <c r="Q66" s="4"/>
      <c r="AC66" s="521"/>
    </row>
    <row r="67" spans="2:29" ht="14.25" customHeight="1" hidden="1">
      <c r="B67" s="4"/>
      <c r="C67" s="4" t="s">
        <v>92</v>
      </c>
      <c r="D67" s="4"/>
      <c r="E67" s="4"/>
      <c r="F67" s="4"/>
      <c r="G67" s="4"/>
      <c r="H67" s="4"/>
      <c r="I67" s="4"/>
      <c r="J67" s="4"/>
      <c r="K67" s="4"/>
      <c r="L67" s="4"/>
      <c r="M67" s="4"/>
      <c r="N67" s="4"/>
      <c r="O67" s="4"/>
      <c r="P67" s="4"/>
      <c r="Q67" s="4"/>
      <c r="AC67" s="521"/>
    </row>
    <row r="68" spans="2:29" ht="14.25" customHeight="1" hidden="1">
      <c r="B68" s="4"/>
      <c r="C68" s="4"/>
      <c r="D68" s="4"/>
      <c r="E68" s="4"/>
      <c r="F68" s="4"/>
      <c r="G68" s="4"/>
      <c r="H68" s="4"/>
      <c r="I68" s="4"/>
      <c r="J68" s="4"/>
      <c r="K68" s="4"/>
      <c r="L68" s="4"/>
      <c r="M68" s="4"/>
      <c r="N68" s="4"/>
      <c r="O68" s="4"/>
      <c r="P68" s="4"/>
      <c r="Q68" s="4"/>
      <c r="AC68" s="521"/>
    </row>
    <row r="69" spans="2:29" ht="14.25">
      <c r="B69" s="4"/>
      <c r="C69" s="4"/>
      <c r="D69" s="4"/>
      <c r="E69" s="4"/>
      <c r="F69" s="4"/>
      <c r="G69" s="4"/>
      <c r="H69" s="4"/>
      <c r="I69" s="4"/>
      <c r="J69" s="4"/>
      <c r="K69" s="4"/>
      <c r="L69" s="4"/>
      <c r="M69" s="4"/>
      <c r="N69" s="4"/>
      <c r="O69" s="4"/>
      <c r="P69" s="4"/>
      <c r="Q69" s="4"/>
      <c r="T69" s="69"/>
      <c r="AC69" s="521"/>
    </row>
    <row r="70" spans="2:29" ht="14.25">
      <c r="B70" s="4"/>
      <c r="C70" s="4"/>
      <c r="D70" s="4"/>
      <c r="E70" s="4"/>
      <c r="F70" s="4"/>
      <c r="G70" s="4"/>
      <c r="H70" s="4"/>
      <c r="I70" s="4"/>
      <c r="J70" s="4"/>
      <c r="K70" s="4"/>
      <c r="L70" s="4"/>
      <c r="M70" s="4"/>
      <c r="N70" s="4"/>
      <c r="O70" s="4"/>
      <c r="P70" s="4"/>
      <c r="Q70" s="4"/>
      <c r="T70" s="69"/>
      <c r="AC70" s="521"/>
    </row>
    <row r="71" spans="2:29" ht="26.25" customHeight="1" hidden="1">
      <c r="B71" s="4"/>
      <c r="C71" s="4" t="s">
        <v>93</v>
      </c>
      <c r="D71" s="4"/>
      <c r="E71" s="4"/>
      <c r="F71" s="4"/>
      <c r="G71" s="4"/>
      <c r="H71" s="4"/>
      <c r="I71" s="4"/>
      <c r="J71" s="70"/>
      <c r="K71" s="4"/>
      <c r="L71" s="4"/>
      <c r="M71" s="4"/>
      <c r="N71" s="4"/>
      <c r="O71" s="4"/>
      <c r="P71" s="4"/>
      <c r="Q71" s="4"/>
      <c r="T71" s="69">
        <f>SUM(T69:T70)</f>
        <v>0</v>
      </c>
      <c r="AC71" s="521"/>
    </row>
    <row r="72" spans="2:29" ht="14.25">
      <c r="B72" s="4"/>
      <c r="C72" s="4"/>
      <c r="D72" s="4"/>
      <c r="E72" s="4"/>
      <c r="F72" s="4"/>
      <c r="G72" s="4"/>
      <c r="H72" s="4"/>
      <c r="I72" s="4"/>
      <c r="J72" s="4"/>
      <c r="K72" s="4"/>
      <c r="L72" s="4"/>
      <c r="M72" s="4"/>
      <c r="N72" s="4"/>
      <c r="O72" s="4"/>
      <c r="P72" s="4"/>
      <c r="Q72" s="4"/>
      <c r="AC72" s="521"/>
    </row>
    <row r="73" spans="2:29" ht="29.25" customHeight="1" thickBot="1">
      <c r="B73" s="592" t="s">
        <v>94</v>
      </c>
      <c r="C73" s="592"/>
      <c r="D73" s="592"/>
      <c r="E73" s="592"/>
      <c r="F73" s="592"/>
      <c r="G73" s="592"/>
      <c r="H73" s="592"/>
      <c r="I73" s="592"/>
      <c r="J73" s="592"/>
      <c r="K73" s="592"/>
      <c r="L73" s="592"/>
      <c r="M73" s="592"/>
      <c r="N73" s="592"/>
      <c r="O73" s="592"/>
      <c r="P73" s="592"/>
      <c r="Q73" s="592"/>
      <c r="AC73" s="521"/>
    </row>
    <row r="74" spans="2:29" ht="81" customHeight="1" thickBot="1">
      <c r="B74" s="583" t="s">
        <v>317</v>
      </c>
      <c r="C74" s="584"/>
      <c r="D74" s="584"/>
      <c r="E74" s="584"/>
      <c r="F74" s="585"/>
      <c r="G74" s="4"/>
      <c r="H74" s="586" t="s">
        <v>318</v>
      </c>
      <c r="I74" s="586"/>
      <c r="J74" s="586"/>
      <c r="K74" s="581" t="s">
        <v>9</v>
      </c>
      <c r="L74" s="582"/>
      <c r="M74" s="582"/>
      <c r="N74" s="602"/>
      <c r="O74" s="590" t="s">
        <v>10</v>
      </c>
      <c r="P74" s="590" t="s">
        <v>11</v>
      </c>
      <c r="Q74" s="590" t="s">
        <v>12</v>
      </c>
      <c r="Y74" s="590" t="s">
        <v>307</v>
      </c>
      <c r="Z74" s="576" t="s">
        <v>362</v>
      </c>
      <c r="AA74" s="576" t="s">
        <v>363</v>
      </c>
      <c r="AB74" s="632" t="s">
        <v>364</v>
      </c>
      <c r="AC74" s="634" t="s">
        <v>367</v>
      </c>
    </row>
    <row r="75" spans="2:29" ht="98.25" customHeight="1" thickBot="1">
      <c r="B75" s="6" t="s">
        <v>13</v>
      </c>
      <c r="C75" s="6" t="s">
        <v>14</v>
      </c>
      <c r="D75" s="6" t="s">
        <v>15</v>
      </c>
      <c r="E75" s="6" t="s">
        <v>16</v>
      </c>
      <c r="F75" s="7" t="s">
        <v>17</v>
      </c>
      <c r="G75" s="4"/>
      <c r="H75" s="6" t="s">
        <v>13</v>
      </c>
      <c r="I75" s="6" t="s">
        <v>14</v>
      </c>
      <c r="J75" s="7" t="s">
        <v>15</v>
      </c>
      <c r="K75" s="8" t="s">
        <v>18</v>
      </c>
      <c r="L75" s="8" t="s">
        <v>19</v>
      </c>
      <c r="M75" s="8" t="s">
        <v>20</v>
      </c>
      <c r="N75" s="8" t="s">
        <v>20</v>
      </c>
      <c r="O75" s="591"/>
      <c r="P75" s="603"/>
      <c r="Q75" s="607"/>
      <c r="R75" s="2"/>
      <c r="S75" s="1" t="s">
        <v>21</v>
      </c>
      <c r="T75" s="1" t="s">
        <v>22</v>
      </c>
      <c r="U75" s="1" t="s">
        <v>23</v>
      </c>
      <c r="V75" s="1" t="s">
        <v>95</v>
      </c>
      <c r="W75" s="1" t="s">
        <v>376</v>
      </c>
      <c r="Y75" s="591"/>
      <c r="Z75" s="577"/>
      <c r="AA75" s="577"/>
      <c r="AB75" s="633"/>
      <c r="AC75" s="634"/>
    </row>
    <row r="76" spans="2:29" ht="57.75" thickBot="1">
      <c r="B76" s="313" t="s">
        <v>96</v>
      </c>
      <c r="C76" s="314" t="s">
        <v>97</v>
      </c>
      <c r="D76" s="315" t="s">
        <v>98</v>
      </c>
      <c r="E76" s="316">
        <v>30511.32</v>
      </c>
      <c r="F76" s="316">
        <f>+E76</f>
        <v>30511.32</v>
      </c>
      <c r="G76" s="318"/>
      <c r="H76" s="313" t="s">
        <v>96</v>
      </c>
      <c r="I76" s="314" t="s">
        <v>97</v>
      </c>
      <c r="J76" s="315" t="s">
        <v>98</v>
      </c>
      <c r="K76" s="316">
        <v>30511.32</v>
      </c>
      <c r="L76" s="316">
        <f>+S76+T76+U76+V76</f>
        <v>30511.32</v>
      </c>
      <c r="M76" s="351"/>
      <c r="N76" s="352"/>
      <c r="O76" s="344">
        <f>+L76</f>
        <v>30511.32</v>
      </c>
      <c r="P76" s="597" t="s">
        <v>99</v>
      </c>
      <c r="Q76" s="72"/>
      <c r="R76" s="2"/>
      <c r="S76" s="564">
        <f>+'[1]EJECUCION FINANCIERA NMF AGO'!P33</f>
        <v>20596.48</v>
      </c>
      <c r="T76" s="564">
        <f>+'[1]EJECUCION FINANCIERA NMF AGO'!Q33</f>
        <v>9914.84</v>
      </c>
      <c r="U76" s="565"/>
      <c r="V76" s="566"/>
      <c r="W76" s="325" t="s">
        <v>403</v>
      </c>
      <c r="Y76" s="257"/>
      <c r="Z76" s="530"/>
      <c r="AA76" s="526"/>
      <c r="AB76" s="534"/>
      <c r="AC76" s="2"/>
    </row>
    <row r="77" spans="2:29" ht="120" customHeight="1" thickBot="1">
      <c r="B77" s="313" t="s">
        <v>100</v>
      </c>
      <c r="C77" s="314" t="s">
        <v>39</v>
      </c>
      <c r="D77" s="315" t="s">
        <v>101</v>
      </c>
      <c r="E77" s="316">
        <v>16000</v>
      </c>
      <c r="F77" s="316">
        <f aca="true" t="shared" si="8" ref="F77:F94">+E77</f>
        <v>16000</v>
      </c>
      <c r="G77" s="318"/>
      <c r="H77" s="313" t="s">
        <v>100</v>
      </c>
      <c r="I77" s="314" t="s">
        <v>39</v>
      </c>
      <c r="J77" s="315" t="s">
        <v>101</v>
      </c>
      <c r="K77" s="316">
        <v>16000</v>
      </c>
      <c r="L77" s="316">
        <f aca="true" t="shared" si="9" ref="L77:L94">+S77+T77+U77+V77</f>
        <v>16000</v>
      </c>
      <c r="M77" s="351"/>
      <c r="N77" s="352"/>
      <c r="O77" s="344">
        <f aca="true" t="shared" si="10" ref="O77:O94">+L77</f>
        <v>16000</v>
      </c>
      <c r="P77" s="597"/>
      <c r="Q77" s="72"/>
      <c r="R77" s="2"/>
      <c r="S77" s="564"/>
      <c r="T77" s="564"/>
      <c r="U77" s="564"/>
      <c r="V77" s="567">
        <f>+'[1]EJECUCION FINANCIERA NMF AGO'!S39</f>
        <v>16000</v>
      </c>
      <c r="W77" s="557" t="s">
        <v>404</v>
      </c>
      <c r="Y77" s="257"/>
      <c r="Z77" s="530"/>
      <c r="AA77" s="526"/>
      <c r="AB77" s="534"/>
      <c r="AC77" s="2"/>
    </row>
    <row r="78" spans="2:29" ht="72" thickBot="1">
      <c r="B78" s="9" t="s">
        <v>102</v>
      </c>
      <c r="C78" s="10" t="s">
        <v>103</v>
      </c>
      <c r="D78" s="11" t="s">
        <v>104</v>
      </c>
      <c r="E78" s="12">
        <v>5774</v>
      </c>
      <c r="F78" s="12">
        <f t="shared" si="8"/>
        <v>5774</v>
      </c>
      <c r="G78" s="4"/>
      <c r="H78" s="9" t="s">
        <v>102</v>
      </c>
      <c r="I78" s="10" t="s">
        <v>103</v>
      </c>
      <c r="J78" s="11" t="s">
        <v>104</v>
      </c>
      <c r="K78" s="12">
        <v>5774</v>
      </c>
      <c r="L78" s="12">
        <f t="shared" si="9"/>
        <v>0</v>
      </c>
      <c r="M78" s="71"/>
      <c r="N78" s="8"/>
      <c r="O78" s="54">
        <f t="shared" si="10"/>
        <v>0</v>
      </c>
      <c r="P78" s="597"/>
      <c r="Q78" s="72"/>
      <c r="R78" s="2"/>
      <c r="S78" s="568">
        <v>0</v>
      </c>
      <c r="T78" s="568">
        <v>0</v>
      </c>
      <c r="U78" s="568"/>
      <c r="V78" s="569"/>
      <c r="W78" s="21"/>
      <c r="Y78" s="257"/>
      <c r="Z78" s="530"/>
      <c r="AA78" s="526"/>
      <c r="AB78" s="534"/>
      <c r="AC78" s="2"/>
    </row>
    <row r="79" spans="2:29" ht="72" thickBot="1">
      <c r="B79" s="9" t="s">
        <v>38</v>
      </c>
      <c r="C79" s="10" t="s">
        <v>40</v>
      </c>
      <c r="D79" s="11" t="s">
        <v>104</v>
      </c>
      <c r="E79" s="12">
        <v>3327.73</v>
      </c>
      <c r="F79" s="12">
        <f t="shared" si="8"/>
        <v>3327.73</v>
      </c>
      <c r="G79" s="4"/>
      <c r="H79" s="9" t="s">
        <v>38</v>
      </c>
      <c r="I79" s="10" t="s">
        <v>40</v>
      </c>
      <c r="J79" s="11" t="s">
        <v>104</v>
      </c>
      <c r="K79" s="12">
        <v>3327.73</v>
      </c>
      <c r="L79" s="12">
        <f t="shared" si="9"/>
        <v>0</v>
      </c>
      <c r="M79" s="71"/>
      <c r="N79" s="8"/>
      <c r="O79" s="54">
        <f t="shared" si="10"/>
        <v>0</v>
      </c>
      <c r="P79" s="597"/>
      <c r="Q79" s="72"/>
      <c r="R79" s="2"/>
      <c r="S79" s="568">
        <v>0</v>
      </c>
      <c r="T79" s="568">
        <v>0</v>
      </c>
      <c r="U79" s="568"/>
      <c r="V79" s="569"/>
      <c r="W79" s="21"/>
      <c r="Y79" s="257"/>
      <c r="Z79" s="530"/>
      <c r="AA79" s="526"/>
      <c r="AB79" s="534"/>
      <c r="AC79" s="2"/>
    </row>
    <row r="80" spans="2:29" ht="57.75" thickBot="1">
      <c r="B80" s="313" t="s">
        <v>105</v>
      </c>
      <c r="C80" s="314" t="s">
        <v>106</v>
      </c>
      <c r="D80" s="315" t="s">
        <v>107</v>
      </c>
      <c r="E80" s="316">
        <f>117900+3150</f>
        <v>121050</v>
      </c>
      <c r="F80" s="316">
        <f t="shared" si="8"/>
        <v>121050</v>
      </c>
      <c r="G80" s="318"/>
      <c r="H80" s="313" t="s">
        <v>105</v>
      </c>
      <c r="I80" s="314" t="s">
        <v>106</v>
      </c>
      <c r="J80" s="315" t="s">
        <v>107</v>
      </c>
      <c r="K80" s="316">
        <f>117900+3150</f>
        <v>121050</v>
      </c>
      <c r="L80" s="316">
        <f t="shared" si="9"/>
        <v>142657.03358164552</v>
      </c>
      <c r="M80" s="351"/>
      <c r="N80" s="352"/>
      <c r="O80" s="344">
        <f t="shared" si="10"/>
        <v>142657.03358164552</v>
      </c>
      <c r="P80" s="597"/>
      <c r="Q80" s="72"/>
      <c r="R80" s="2"/>
      <c r="S80" s="564">
        <f>+'Plan compras anio 2 planificado'!Z148</f>
        <v>23480.67448889735</v>
      </c>
      <c r="T80" s="564">
        <f>+'Plan compras anio 2 planificado'!AA148</f>
        <v>61.35909274817459</v>
      </c>
      <c r="U80" s="564">
        <f>+'Plan compras anio 2 planificado'!AB144+'Plan compras anio 2 planificado'!AB145+'Plan compras anio 2 planificado'!AB146+'Plan compras anio 2 planificado'!AB147+'Plan compras anio 2 planificado'!AB148</f>
        <v>119115</v>
      </c>
      <c r="V80" s="567">
        <v>0</v>
      </c>
      <c r="W80" s="73" t="s">
        <v>388</v>
      </c>
      <c r="Y80" s="257">
        <f>+'Plan compras anio 2 planificado'!AB144+'Plan compras anio 2 planificado'!AB145+'Plan compras anio 2 planificado'!AB146+'Plan compras anio 2 planificado'!AB147+'Plan compras anio 2 planificado'!Z148+'Plan compras anio 2 planificado'!AA148</f>
        <v>142657.03358164552</v>
      </c>
      <c r="Z80" s="530">
        <f>+'[8]Detalle medicinas y prod. salud'!$M$155+'[8]Detalle medicinas y prod. salud'!$M$161+'[8]Detalle medicinas y prod. salud'!$M$162+'[8]Detalle medicinas y prod. salud'!$M$163+'[8]Detalle medicinas y prod. salud'!$M$164</f>
        <v>142657.19482</v>
      </c>
      <c r="AA80" s="526">
        <f>+S80+T80+U80</f>
        <v>142657.03358164552</v>
      </c>
      <c r="AB80" s="534">
        <f>+Z80-AA80</f>
        <v>0.16123835448524915</v>
      </c>
      <c r="AC80" s="2" t="s">
        <v>415</v>
      </c>
    </row>
    <row r="81" spans="2:29" ht="57.75" thickBot="1">
      <c r="B81" s="9" t="s">
        <v>32</v>
      </c>
      <c r="C81" s="10" t="s">
        <v>33</v>
      </c>
      <c r="D81" s="11" t="s">
        <v>57</v>
      </c>
      <c r="E81" s="12">
        <v>2080</v>
      </c>
      <c r="F81" s="12">
        <f t="shared" si="8"/>
        <v>2080</v>
      </c>
      <c r="G81" s="4"/>
      <c r="H81" s="9" t="s">
        <v>32</v>
      </c>
      <c r="I81" s="10" t="s">
        <v>33</v>
      </c>
      <c r="J81" s="11" t="s">
        <v>57</v>
      </c>
      <c r="K81" s="12">
        <v>2080</v>
      </c>
      <c r="L81" s="12">
        <f t="shared" si="9"/>
        <v>0</v>
      </c>
      <c r="M81" s="71"/>
      <c r="N81" s="8"/>
      <c r="O81" s="54">
        <f t="shared" si="10"/>
        <v>0</v>
      </c>
      <c r="P81" s="597"/>
      <c r="Q81" s="72"/>
      <c r="R81" s="2"/>
      <c r="S81" s="568"/>
      <c r="T81" s="568"/>
      <c r="U81" s="568">
        <v>0</v>
      </c>
      <c r="V81" s="569"/>
      <c r="W81" s="21"/>
      <c r="Y81" s="257"/>
      <c r="Z81" s="530"/>
      <c r="AA81" s="526"/>
      <c r="AB81" s="534"/>
      <c r="AC81" s="2"/>
    </row>
    <row r="82" spans="2:29" ht="120.75" thickBot="1">
      <c r="B82" s="9" t="s">
        <v>38</v>
      </c>
      <c r="C82" s="10" t="s">
        <v>39</v>
      </c>
      <c r="D82" s="11" t="s">
        <v>57</v>
      </c>
      <c r="E82" s="12">
        <f>92354.28+15861.12</f>
        <v>108215.4</v>
      </c>
      <c r="F82" s="12">
        <f t="shared" si="8"/>
        <v>108215.4</v>
      </c>
      <c r="G82" s="4"/>
      <c r="H82" s="313" t="s">
        <v>38</v>
      </c>
      <c r="I82" s="314" t="s">
        <v>39</v>
      </c>
      <c r="J82" s="315" t="s">
        <v>57</v>
      </c>
      <c r="K82" s="316">
        <v>92354.28</v>
      </c>
      <c r="L82" s="316">
        <f t="shared" si="9"/>
        <v>80332.63641835448</v>
      </c>
      <c r="M82" s="351"/>
      <c r="N82" s="352"/>
      <c r="O82" s="344">
        <f t="shared" si="10"/>
        <v>80332.63641835448</v>
      </c>
      <c r="P82" s="597"/>
      <c r="Q82" s="72"/>
      <c r="R82" s="2"/>
      <c r="S82" s="564">
        <f>+'Plan compras anio 2 planificado'!Z90+'Plan compras anio 2 planificado'!Z92+'Plan compras anio 2 planificado'!Z94+'Plan compras anio 2 planificado'!Z96+'Plan compras anio 2 planificado'!Z98+'Plan compras anio 2 planificado'!Z100</f>
        <v>4174.125511102649</v>
      </c>
      <c r="T82" s="564">
        <f>+'Plan compras anio 2 planificado'!AA100+'Plan compras anio 2 planificado'!AA90+'Plan compras anio 2 planificado'!AA98+'Plan compras anio 2 planificado'!AA96+'Plan compras anio 2 planificado'!AA94+'Plan compras anio 2 planificado'!AA92</f>
        <v>60297.39090725183</v>
      </c>
      <c r="U82" s="564">
        <f>+'[9]EJECUCION FINANCIERA SSF'!$X$11</f>
        <v>15861.12</v>
      </c>
      <c r="V82" s="567"/>
      <c r="W82" s="73" t="s">
        <v>392</v>
      </c>
      <c r="Y82" s="257">
        <f>+'Plan compras anio 2 planificado'!Z90+'Plan compras anio 2 planificado'!AA90+'Plan compras anio 2 planificado'!Z92+'Plan compras anio 2 planificado'!AA92+'Plan compras anio 2 planificado'!Z94+'Plan compras anio 2 planificado'!AA94+'Plan compras anio 2 planificado'!Z96+'Plan compras anio 2 planificado'!AA96+'Plan compras anio 2 planificado'!Z98+'Plan compras anio 2 planificado'!AA98+'Plan compras anio 2 planificado'!Z100+'Plan compras anio 2 planificado'!AA100</f>
        <v>64471.51641835447</v>
      </c>
      <c r="Z82" s="530">
        <f>+'[8]Detalle medicinas y prod. salud'!$M$107+'[8]Detalle medicinas y prod. salud'!$M$108+'[8]Detalle medicinas y prod. salud'!$M$109+'[8]Detalle medicinas y prod. salud'!$M$110+'[8]Detalle medicinas y prod. salud'!$M$111+'[8]Detalle medicinas y prod. salud'!$M$112</f>
        <v>113591.99488839999</v>
      </c>
      <c r="AA82" s="526">
        <f>+S82+T82+15861.12</f>
        <v>80332.63641835448</v>
      </c>
      <c r="AB82" s="534">
        <f>+Z82-AA82</f>
        <v>33259.35847004551</v>
      </c>
      <c r="AC82" s="2" t="s">
        <v>391</v>
      </c>
    </row>
    <row r="83" spans="2:29" ht="90.75" thickBot="1">
      <c r="B83" s="9" t="s">
        <v>38</v>
      </c>
      <c r="C83" s="10" t="s">
        <v>40</v>
      </c>
      <c r="D83" s="11" t="s">
        <v>57</v>
      </c>
      <c r="E83" s="12">
        <v>1185</v>
      </c>
      <c r="F83" s="12">
        <f t="shared" si="8"/>
        <v>1185</v>
      </c>
      <c r="G83" s="4"/>
      <c r="H83" s="313" t="s">
        <v>38</v>
      </c>
      <c r="I83" s="314" t="s">
        <v>40</v>
      </c>
      <c r="J83" s="315" t="s">
        <v>57</v>
      </c>
      <c r="K83" s="316">
        <v>1185</v>
      </c>
      <c r="L83" s="316">
        <f t="shared" si="9"/>
        <v>1215</v>
      </c>
      <c r="M83" s="351"/>
      <c r="N83" s="352"/>
      <c r="O83" s="344">
        <f t="shared" si="10"/>
        <v>1215</v>
      </c>
      <c r="P83" s="597"/>
      <c r="Q83" s="72"/>
      <c r="R83" s="2"/>
      <c r="S83" s="564">
        <f>+'[1]EJECUCION FINANCIERA NMF AGO'!P25</f>
        <v>760</v>
      </c>
      <c r="T83" s="564">
        <f>+'[1]EJECUCION FINANCIERA NMF AGO'!Q25</f>
        <v>455</v>
      </c>
      <c r="U83" s="564">
        <v>0</v>
      </c>
      <c r="V83" s="567"/>
      <c r="W83" s="73" t="s">
        <v>393</v>
      </c>
      <c r="Y83" s="257">
        <f>+'Plan compras anio 2 planificado'!Z55+'Plan compras anio 2 planificado'!AA55</f>
        <v>1215</v>
      </c>
      <c r="Z83" s="530">
        <f>+'[8]Detalle medicinas y prod. salud'!$M$73</f>
        <v>6634.199963999999</v>
      </c>
      <c r="AA83" s="526">
        <f>+S83+T83</f>
        <v>1215</v>
      </c>
      <c r="AB83" s="534">
        <f>+Z83-AA83</f>
        <v>5419.199963999999</v>
      </c>
      <c r="AC83" s="2" t="s">
        <v>365</v>
      </c>
    </row>
    <row r="84" spans="2:29" ht="102" customHeight="1" thickBot="1">
      <c r="B84" s="9" t="s">
        <v>38</v>
      </c>
      <c r="C84" s="10" t="s">
        <v>62</v>
      </c>
      <c r="D84" s="11" t="s">
        <v>57</v>
      </c>
      <c r="E84" s="12">
        <f>46785.17-15861.12</f>
        <v>30924.049999999996</v>
      </c>
      <c r="F84" s="12">
        <f t="shared" si="8"/>
        <v>30924.049999999996</v>
      </c>
      <c r="G84" s="4"/>
      <c r="H84" s="313" t="s">
        <v>38</v>
      </c>
      <c r="I84" s="314" t="s">
        <v>62</v>
      </c>
      <c r="J84" s="315" t="s">
        <v>57</v>
      </c>
      <c r="K84" s="316">
        <v>46785.17</v>
      </c>
      <c r="L84" s="316">
        <f t="shared" si="9"/>
        <v>29451.66</v>
      </c>
      <c r="M84" s="351"/>
      <c r="N84" s="352"/>
      <c r="O84" s="344">
        <f t="shared" si="10"/>
        <v>29451.66</v>
      </c>
      <c r="P84" s="597"/>
      <c r="Q84" s="72"/>
      <c r="R84" s="2"/>
      <c r="S84" s="564"/>
      <c r="T84" s="564">
        <f>+'[1]EJECUCION FINANCIERA NMF AGO'!Q28</f>
        <v>16027.61</v>
      </c>
      <c r="U84" s="564">
        <f>+'Plan compras anio 2 planificado'!AB104</f>
        <v>13424.05</v>
      </c>
      <c r="V84" s="567"/>
      <c r="W84" s="557" t="s">
        <v>407</v>
      </c>
      <c r="Y84" s="257">
        <f>+'Plan compras anio 2 planificado'!AB104+'Plan compras anio 2 planificado'!AA119</f>
        <v>29451.66</v>
      </c>
      <c r="Z84" s="530">
        <f>+'[8]Detalle medicinas y prod. salud'!$M$115+'[8]Detalle medicinas y prod. salud'!$M$130</f>
        <v>46951.655136</v>
      </c>
      <c r="AA84" s="526">
        <f>+T84+U84</f>
        <v>29451.66</v>
      </c>
      <c r="AB84" s="534">
        <f>+Z84-AA84</f>
        <v>17499.995136</v>
      </c>
      <c r="AC84" s="2" t="s">
        <v>390</v>
      </c>
    </row>
    <row r="85" spans="2:29" ht="60.75" thickBot="1">
      <c r="B85" s="313" t="s">
        <v>59</v>
      </c>
      <c r="C85" s="314" t="s">
        <v>63</v>
      </c>
      <c r="D85" s="315" t="s">
        <v>57</v>
      </c>
      <c r="E85" s="316">
        <v>77520</v>
      </c>
      <c r="F85" s="316">
        <f t="shared" si="8"/>
        <v>77520</v>
      </c>
      <c r="G85" s="318"/>
      <c r="H85" s="313" t="s">
        <v>59</v>
      </c>
      <c r="I85" s="314" t="s">
        <v>63</v>
      </c>
      <c r="J85" s="315" t="s">
        <v>57</v>
      </c>
      <c r="K85" s="316">
        <v>77520</v>
      </c>
      <c r="L85" s="316">
        <f t="shared" si="9"/>
        <v>53280</v>
      </c>
      <c r="M85" s="351"/>
      <c r="N85" s="352"/>
      <c r="O85" s="344">
        <f t="shared" si="10"/>
        <v>53280</v>
      </c>
      <c r="P85" s="597"/>
      <c r="Q85" s="72"/>
      <c r="R85" s="2"/>
      <c r="S85" s="564"/>
      <c r="T85" s="564"/>
      <c r="U85" s="564">
        <v>53280</v>
      </c>
      <c r="V85" s="567"/>
      <c r="W85" s="73" t="s">
        <v>389</v>
      </c>
      <c r="Y85" s="512">
        <f>+'Plan compras anio 2 planificado'!AB42</f>
        <v>53280</v>
      </c>
      <c r="Z85" s="530">
        <f>+'[8]Detalle medicinas y prod. salud'!$M$61</f>
        <v>106560</v>
      </c>
      <c r="AA85" s="526">
        <f>+U85</f>
        <v>53280</v>
      </c>
      <c r="AB85" s="534">
        <f>+Z85-AA85</f>
        <v>53280</v>
      </c>
      <c r="AC85" s="2" t="s">
        <v>366</v>
      </c>
    </row>
    <row r="86" spans="2:29" ht="132" customHeight="1" thickBot="1">
      <c r="B86" s="313" t="s">
        <v>100</v>
      </c>
      <c r="C86" s="314" t="s">
        <v>39</v>
      </c>
      <c r="D86" s="315" t="s">
        <v>36</v>
      </c>
      <c r="E86" s="316">
        <v>21500</v>
      </c>
      <c r="F86" s="316">
        <f t="shared" si="8"/>
        <v>21500</v>
      </c>
      <c r="G86" s="318"/>
      <c r="H86" s="313" t="s">
        <v>100</v>
      </c>
      <c r="I86" s="314" t="s">
        <v>39</v>
      </c>
      <c r="J86" s="315" t="s">
        <v>36</v>
      </c>
      <c r="K86" s="316">
        <v>21500</v>
      </c>
      <c r="L86" s="316">
        <f t="shared" si="9"/>
        <v>21500</v>
      </c>
      <c r="M86" s="331"/>
      <c r="N86" s="322"/>
      <c r="O86" s="344">
        <f t="shared" si="10"/>
        <v>21500</v>
      </c>
      <c r="P86" s="597"/>
      <c r="Q86" s="72"/>
      <c r="R86" s="2"/>
      <c r="S86" s="564"/>
      <c r="T86" s="564"/>
      <c r="U86" s="564"/>
      <c r="V86" s="567">
        <f>+'[1]EJECUCION FINANCIERA NMF AGO'!S40</f>
        <v>21500</v>
      </c>
      <c r="W86" s="557" t="s">
        <v>408</v>
      </c>
      <c r="Y86" s="257"/>
      <c r="Z86" s="530"/>
      <c r="AA86" s="526"/>
      <c r="AB86" s="534"/>
      <c r="AC86" s="2"/>
    </row>
    <row r="87" spans="2:29" ht="160.5" customHeight="1" thickBot="1">
      <c r="B87" s="313" t="s">
        <v>67</v>
      </c>
      <c r="C87" s="314" t="s">
        <v>68</v>
      </c>
      <c r="D87" s="315" t="s">
        <v>36</v>
      </c>
      <c r="E87" s="316">
        <v>8000</v>
      </c>
      <c r="F87" s="316">
        <f t="shared" si="8"/>
        <v>8000</v>
      </c>
      <c r="G87" s="318"/>
      <c r="H87" s="313" t="s">
        <v>67</v>
      </c>
      <c r="I87" s="314" t="s">
        <v>68</v>
      </c>
      <c r="J87" s="315" t="s">
        <v>36</v>
      </c>
      <c r="K87" s="316">
        <v>8000</v>
      </c>
      <c r="L87" s="316">
        <f t="shared" si="9"/>
        <v>10655</v>
      </c>
      <c r="M87" s="331"/>
      <c r="N87" s="322"/>
      <c r="O87" s="344">
        <f t="shared" si="10"/>
        <v>10655</v>
      </c>
      <c r="P87" s="597"/>
      <c r="Q87" s="72"/>
      <c r="R87" s="2"/>
      <c r="S87" s="564"/>
      <c r="T87" s="564"/>
      <c r="U87" s="564">
        <v>10655</v>
      </c>
      <c r="V87" s="567"/>
      <c r="W87" s="557" t="s">
        <v>409</v>
      </c>
      <c r="Y87" s="257">
        <f>+'Plan compras anio 2 planificado'!AB137+'Plan compras anio 2 planificado'!AB136+'Plan compras anio 2 planificado'!AB139</f>
        <v>10655</v>
      </c>
      <c r="Z87" s="530">
        <f>+'[8]Detalle medicinas y prod. salud'!$M$148+'[8]Detalle medicinas y prod. salud'!$M$147+'[8]Detalle medicinas y prod. salud'!$M$150</f>
        <v>10655</v>
      </c>
      <c r="AA87" s="526">
        <f>+U87</f>
        <v>10655</v>
      </c>
      <c r="AB87" s="534">
        <f>+Z87-AA87</f>
        <v>0</v>
      </c>
      <c r="AC87" s="2"/>
    </row>
    <row r="88" spans="2:29" ht="236.25" customHeight="1" thickBot="1">
      <c r="B88" s="313" t="s">
        <v>32</v>
      </c>
      <c r="C88" s="314" t="s">
        <v>33</v>
      </c>
      <c r="D88" s="315" t="s">
        <v>36</v>
      </c>
      <c r="E88" s="316">
        <v>15566.49</v>
      </c>
      <c r="F88" s="316">
        <f t="shared" si="8"/>
        <v>15566.49</v>
      </c>
      <c r="G88" s="318"/>
      <c r="H88" s="313" t="s">
        <v>32</v>
      </c>
      <c r="I88" s="314" t="s">
        <v>33</v>
      </c>
      <c r="J88" s="315" t="s">
        <v>36</v>
      </c>
      <c r="K88" s="316">
        <v>15566.49</v>
      </c>
      <c r="L88" s="316">
        <f t="shared" si="9"/>
        <v>17646.49</v>
      </c>
      <c r="M88" s="331"/>
      <c r="N88" s="322"/>
      <c r="O88" s="344">
        <f t="shared" si="10"/>
        <v>17646.49</v>
      </c>
      <c r="P88" s="597"/>
      <c r="Q88" s="72"/>
      <c r="R88" s="2"/>
      <c r="S88" s="564"/>
      <c r="T88" s="564"/>
      <c r="U88" s="564">
        <f>+'[1]EJECUCION FINANCIERA NMF AGO'!R15+'[1]PNUD Plan 2015'!F7</f>
        <v>17646.49</v>
      </c>
      <c r="V88" s="567"/>
      <c r="W88" s="557" t="s">
        <v>411</v>
      </c>
      <c r="Y88" s="257"/>
      <c r="Z88" s="530"/>
      <c r="AA88" s="526"/>
      <c r="AB88" s="534"/>
      <c r="AC88" s="2"/>
    </row>
    <row r="89" spans="2:29" ht="57.75" thickBot="1">
      <c r="B89" s="313" t="s">
        <v>96</v>
      </c>
      <c r="C89" s="314" t="s">
        <v>97</v>
      </c>
      <c r="D89" s="315" t="s">
        <v>108</v>
      </c>
      <c r="E89" s="316">
        <f>12279.02+77231.26+0.22</f>
        <v>89510.5</v>
      </c>
      <c r="F89" s="316">
        <f t="shared" si="8"/>
        <v>89510.5</v>
      </c>
      <c r="G89" s="318"/>
      <c r="H89" s="313" t="s">
        <v>96</v>
      </c>
      <c r="I89" s="314" t="s">
        <v>97</v>
      </c>
      <c r="J89" s="315" t="s">
        <v>108</v>
      </c>
      <c r="K89" s="316">
        <f>12279.02+77231.26+0.22</f>
        <v>89510.5</v>
      </c>
      <c r="L89" s="316">
        <f t="shared" si="9"/>
        <v>89510.5</v>
      </c>
      <c r="M89" s="331"/>
      <c r="N89" s="322"/>
      <c r="O89" s="344">
        <f t="shared" si="10"/>
        <v>89510.5</v>
      </c>
      <c r="P89" s="597"/>
      <c r="Q89" s="72"/>
      <c r="R89" s="2"/>
      <c r="S89" s="564">
        <f>+'[1]EJECUCION FINANCIERA NMF AGO'!P34</f>
        <v>45312.49</v>
      </c>
      <c r="T89" s="564">
        <f>+'[1]EJECUCION FINANCIERA NMF AGO'!Q34</f>
        <v>31324.971400000002</v>
      </c>
      <c r="U89" s="564"/>
      <c r="V89" s="570">
        <f>+'[1]EJECUCION FINANCIERA NMF AGO'!S34</f>
        <v>12873.0386</v>
      </c>
      <c r="W89" s="73" t="s">
        <v>410</v>
      </c>
      <c r="Y89" s="257"/>
      <c r="Z89" s="530"/>
      <c r="AA89" s="526"/>
      <c r="AB89" s="534"/>
      <c r="AC89" s="2"/>
    </row>
    <row r="90" spans="2:29" ht="57.75" thickBot="1">
      <c r="B90" s="313" t="s">
        <v>100</v>
      </c>
      <c r="C90" s="314" t="s">
        <v>39</v>
      </c>
      <c r="D90" s="315" t="s">
        <v>28</v>
      </c>
      <c r="E90" s="316">
        <f>14100+6000</f>
        <v>20100</v>
      </c>
      <c r="F90" s="316">
        <f t="shared" si="8"/>
        <v>20100</v>
      </c>
      <c r="G90" s="345"/>
      <c r="H90" s="313" t="s">
        <v>100</v>
      </c>
      <c r="I90" s="314" t="s">
        <v>39</v>
      </c>
      <c r="J90" s="315" t="s">
        <v>28</v>
      </c>
      <c r="K90" s="316">
        <f>14100+6000</f>
        <v>20100</v>
      </c>
      <c r="L90" s="316">
        <f t="shared" si="9"/>
        <v>14000</v>
      </c>
      <c r="M90" s="346"/>
      <c r="N90" s="322"/>
      <c r="O90" s="344">
        <f t="shared" si="10"/>
        <v>14000</v>
      </c>
      <c r="P90" s="597"/>
      <c r="Q90" s="72"/>
      <c r="R90" s="2"/>
      <c r="S90" s="564"/>
      <c r="T90" s="564"/>
      <c r="U90" s="564">
        <v>0</v>
      </c>
      <c r="V90" s="567">
        <f>+'[1]EJECUCION FINANCIERA NMF AGO'!S41</f>
        <v>14000</v>
      </c>
      <c r="W90" s="73" t="s">
        <v>405</v>
      </c>
      <c r="Y90" s="257"/>
      <c r="Z90" s="530"/>
      <c r="AA90" s="526"/>
      <c r="AB90" s="534"/>
      <c r="AC90" s="2"/>
    </row>
    <row r="91" spans="2:29" ht="72" thickBot="1">
      <c r="B91" s="313" t="s">
        <v>100</v>
      </c>
      <c r="C91" s="314" t="s">
        <v>109</v>
      </c>
      <c r="D91" s="315" t="s">
        <v>110</v>
      </c>
      <c r="E91" s="316">
        <v>4000</v>
      </c>
      <c r="F91" s="316">
        <f t="shared" si="8"/>
        <v>4000</v>
      </c>
      <c r="G91" s="318"/>
      <c r="H91" s="313" t="s">
        <v>100</v>
      </c>
      <c r="I91" s="314" t="s">
        <v>109</v>
      </c>
      <c r="J91" s="315" t="s">
        <v>110</v>
      </c>
      <c r="K91" s="316">
        <v>4000</v>
      </c>
      <c r="L91" s="316">
        <f t="shared" si="9"/>
        <v>4000</v>
      </c>
      <c r="M91" s="318"/>
      <c r="N91" s="318"/>
      <c r="O91" s="344">
        <f t="shared" si="10"/>
        <v>4000</v>
      </c>
      <c r="P91" s="597"/>
      <c r="Q91" s="4"/>
      <c r="R91" s="2"/>
      <c r="S91" s="564"/>
      <c r="T91" s="564"/>
      <c r="U91" s="564"/>
      <c r="V91" s="567">
        <f>+'[1]EJECUCION FINANCIERA NMF AGO'!S37</f>
        <v>4000</v>
      </c>
      <c r="W91" s="557" t="s">
        <v>406</v>
      </c>
      <c r="Y91" s="257"/>
      <c r="Z91" s="530"/>
      <c r="AA91" s="526"/>
      <c r="AB91" s="534"/>
      <c r="AC91" s="2"/>
    </row>
    <row r="92" spans="2:29" ht="63.75" customHeight="1" thickBot="1">
      <c r="B92" s="313" t="s">
        <v>32</v>
      </c>
      <c r="C92" s="314" t="s">
        <v>77</v>
      </c>
      <c r="D92" s="315" t="s">
        <v>42</v>
      </c>
      <c r="E92" s="316">
        <v>14430</v>
      </c>
      <c r="F92" s="316">
        <f t="shared" si="8"/>
        <v>14430</v>
      </c>
      <c r="G92" s="318"/>
      <c r="H92" s="313" t="s">
        <v>32</v>
      </c>
      <c r="I92" s="314" t="s">
        <v>77</v>
      </c>
      <c r="J92" s="315" t="s">
        <v>42</v>
      </c>
      <c r="K92" s="316">
        <v>14430</v>
      </c>
      <c r="L92" s="316">
        <f t="shared" si="9"/>
        <v>14430</v>
      </c>
      <c r="M92" s="318"/>
      <c r="N92" s="318"/>
      <c r="O92" s="344">
        <f t="shared" si="10"/>
        <v>14430</v>
      </c>
      <c r="P92" s="597"/>
      <c r="Q92" s="4"/>
      <c r="R92" s="2"/>
      <c r="S92" s="564"/>
      <c r="T92" s="564"/>
      <c r="U92" s="564">
        <f>+'[1]EJECUCION FINANCIERA NMF AGO'!R35</f>
        <v>14430</v>
      </c>
      <c r="V92" s="567"/>
      <c r="W92" s="73" t="s">
        <v>412</v>
      </c>
      <c r="Y92" s="257"/>
      <c r="Z92" s="530"/>
      <c r="AA92" s="526"/>
      <c r="AB92" s="534"/>
      <c r="AC92" s="2"/>
    </row>
    <row r="93" spans="2:29" ht="114.75" thickBot="1">
      <c r="B93" s="313" t="s">
        <v>100</v>
      </c>
      <c r="C93" s="314" t="s">
        <v>111</v>
      </c>
      <c r="D93" s="315" t="s">
        <v>110</v>
      </c>
      <c r="E93" s="316">
        <v>94639.23</v>
      </c>
      <c r="F93" s="316">
        <f t="shared" si="8"/>
        <v>94639.23</v>
      </c>
      <c r="G93" s="318"/>
      <c r="H93" s="313" t="s">
        <v>100</v>
      </c>
      <c r="I93" s="314" t="s">
        <v>111</v>
      </c>
      <c r="J93" s="315" t="s">
        <v>110</v>
      </c>
      <c r="K93" s="316">
        <v>94639.23</v>
      </c>
      <c r="L93" s="316">
        <f t="shared" si="9"/>
        <v>94639.23</v>
      </c>
      <c r="M93" s="318"/>
      <c r="N93" s="318"/>
      <c r="O93" s="344">
        <f t="shared" si="10"/>
        <v>94639.23</v>
      </c>
      <c r="P93" s="597"/>
      <c r="Q93" s="4"/>
      <c r="R93" s="2"/>
      <c r="S93" s="564"/>
      <c r="T93" s="564"/>
      <c r="U93" s="564"/>
      <c r="V93" s="567">
        <f>+'[1]EJECUCION FINANCIERA NMF AGO'!S38</f>
        <v>94639.23</v>
      </c>
      <c r="W93" s="557" t="s">
        <v>413</v>
      </c>
      <c r="Y93" s="257"/>
      <c r="Z93" s="530"/>
      <c r="AA93" s="526"/>
      <c r="AB93" s="534"/>
      <c r="AC93" s="2"/>
    </row>
    <row r="94" spans="2:29" ht="81.75" customHeight="1" thickBot="1">
      <c r="B94" s="313" t="s">
        <v>26</v>
      </c>
      <c r="C94" s="314" t="s">
        <v>27</v>
      </c>
      <c r="D94" s="315" t="s">
        <v>81</v>
      </c>
      <c r="E94" s="316">
        <v>3105</v>
      </c>
      <c r="F94" s="316">
        <f t="shared" si="8"/>
        <v>3105</v>
      </c>
      <c r="G94" s="318"/>
      <c r="H94" s="313" t="s">
        <v>26</v>
      </c>
      <c r="I94" s="314" t="s">
        <v>27</v>
      </c>
      <c r="J94" s="315" t="s">
        <v>81</v>
      </c>
      <c r="K94" s="316">
        <v>3105</v>
      </c>
      <c r="L94" s="316">
        <f t="shared" si="9"/>
        <v>3105</v>
      </c>
      <c r="M94" s="318"/>
      <c r="N94" s="318"/>
      <c r="O94" s="344">
        <f t="shared" si="10"/>
        <v>3105</v>
      </c>
      <c r="P94" s="597"/>
      <c r="Q94" s="4"/>
      <c r="R94" s="2"/>
      <c r="S94" s="564"/>
      <c r="T94" s="564"/>
      <c r="U94" s="564">
        <f>+'[1]EJECUCION FINANCIERA NMF AGO'!R36</f>
        <v>3105</v>
      </c>
      <c r="V94" s="567"/>
      <c r="W94" s="557" t="s">
        <v>414</v>
      </c>
      <c r="Y94" s="257"/>
      <c r="Z94" s="530"/>
      <c r="AA94" s="526"/>
      <c r="AB94" s="534"/>
      <c r="AC94" s="2"/>
    </row>
    <row r="95" spans="2:29" ht="32.25" customHeight="1">
      <c r="B95" s="594" t="s">
        <v>314</v>
      </c>
      <c r="C95" s="595"/>
      <c r="D95" s="595"/>
      <c r="E95" s="596"/>
      <c r="F95" s="74">
        <f>SUM(F76:F94)</f>
        <v>667438.72</v>
      </c>
      <c r="G95" s="4"/>
      <c r="H95" s="9"/>
      <c r="I95" s="10"/>
      <c r="J95" s="11"/>
      <c r="K95" s="12"/>
      <c r="L95" s="74">
        <f>SUM(L76:L94)</f>
        <v>622933.8699999999</v>
      </c>
      <c r="M95" s="12">
        <f>SUM(M76:M94)</f>
        <v>0</v>
      </c>
      <c r="N95" s="12">
        <f>SUM(N76:N94)</f>
        <v>0</v>
      </c>
      <c r="O95" s="75">
        <f>SUM(O76:O94)</f>
        <v>622933.8699999999</v>
      </c>
      <c r="P95" s="75">
        <f aca="true" t="shared" si="11" ref="P95:Y95">SUM(P76:P94)</f>
        <v>0</v>
      </c>
      <c r="Q95" s="75">
        <f t="shared" si="11"/>
        <v>0</v>
      </c>
      <c r="R95" s="75">
        <f t="shared" si="11"/>
        <v>0</v>
      </c>
      <c r="S95" s="75">
        <f>SUM(S76:S94)</f>
        <v>94323.76999999999</v>
      </c>
      <c r="T95" s="75">
        <f>SUM(T76:T94)</f>
        <v>118081.17139999999</v>
      </c>
      <c r="U95" s="75">
        <f>SUM(U76:U94)</f>
        <v>247516.65999999997</v>
      </c>
      <c r="V95" s="75">
        <f>SUM(V76:V94)</f>
        <v>163012.2686</v>
      </c>
      <c r="W95" s="39"/>
      <c r="X95" s="552">
        <f t="shared" si="11"/>
        <v>0</v>
      </c>
      <c r="Y95" s="258">
        <f t="shared" si="11"/>
        <v>301730.20999999996</v>
      </c>
      <c r="Z95" s="258">
        <f>SUM(Z76:Z94)</f>
        <v>427050.0448084</v>
      </c>
      <c r="AA95" s="258">
        <f>SUM(AA76:AA94)</f>
        <v>317591.32999999996</v>
      </c>
      <c r="AB95" s="535">
        <f>SUM(AB76:AB94)</f>
        <v>109458.7148084</v>
      </c>
      <c r="AC95" s="2"/>
    </row>
    <row r="96" spans="2:28" ht="15">
      <c r="B96" s="61"/>
      <c r="C96" s="61"/>
      <c r="D96" s="4"/>
      <c r="E96" s="4"/>
      <c r="F96" s="46"/>
      <c r="G96" s="4"/>
      <c r="H96" s="4"/>
      <c r="I96" s="4"/>
      <c r="J96" s="4"/>
      <c r="K96" s="4"/>
      <c r="L96" s="41">
        <f>+F95-L95</f>
        <v>44504.85000000009</v>
      </c>
      <c r="M96" s="4"/>
      <c r="N96" s="4"/>
      <c r="O96" s="4"/>
      <c r="P96" s="4"/>
      <c r="Q96" s="4"/>
      <c r="V96" s="69"/>
      <c r="W96" s="69"/>
      <c r="AA96" s="549">
        <f>+'Plan compras anio 2 planificado'!W152</f>
        <v>301730.21</v>
      </c>
      <c r="AB96" s="543">
        <f>+O95-AA96</f>
        <v>321203.65999999986</v>
      </c>
    </row>
    <row r="97" spans="2:28" ht="48.75" customHeight="1">
      <c r="B97" s="61"/>
      <c r="C97" s="61"/>
      <c r="D97" s="4"/>
      <c r="E97" s="4"/>
      <c r="F97" s="46"/>
      <c r="G97" s="4"/>
      <c r="H97" s="598" t="s">
        <v>312</v>
      </c>
      <c r="I97" s="598"/>
      <c r="J97" s="598"/>
      <c r="K97" s="598"/>
      <c r="L97" s="598"/>
      <c r="M97" s="62"/>
      <c r="N97" s="62"/>
      <c r="O97" s="63">
        <f>+O95</f>
        <v>622933.8699999999</v>
      </c>
      <c r="P97" s="63">
        <f aca="true" t="shared" si="12" ref="P97:Y97">+P95</f>
        <v>0</v>
      </c>
      <c r="Q97" s="63">
        <f t="shared" si="12"/>
        <v>0</v>
      </c>
      <c r="R97" s="63">
        <f t="shared" si="12"/>
        <v>0</v>
      </c>
      <c r="S97" s="63">
        <f t="shared" si="12"/>
        <v>94323.76999999999</v>
      </c>
      <c r="T97" s="63">
        <f t="shared" si="12"/>
        <v>118081.17139999999</v>
      </c>
      <c r="U97" s="63">
        <f t="shared" si="12"/>
        <v>247516.65999999997</v>
      </c>
      <c r="V97" s="63">
        <f t="shared" si="12"/>
        <v>163012.2686</v>
      </c>
      <c r="W97" s="63"/>
      <c r="X97" s="63"/>
      <c r="Y97" s="63">
        <f t="shared" si="12"/>
        <v>301730.20999999996</v>
      </c>
      <c r="Z97" s="526">
        <f>+AA95-AA97</f>
        <v>301730.21</v>
      </c>
      <c r="AA97" s="543">
        <f>+AA95-AA96</f>
        <v>15861.119999999937</v>
      </c>
      <c r="AB97" s="543">
        <f>+O76+O77+O86+O88+O89+O90+O91+O92+O93+O94</f>
        <v>305342.54</v>
      </c>
    </row>
    <row r="98" spans="2:28" ht="47.25" customHeight="1">
      <c r="B98" s="61"/>
      <c r="C98" s="61"/>
      <c r="D98" s="4"/>
      <c r="E98" s="4"/>
      <c r="F98" s="46"/>
      <c r="G98" s="4"/>
      <c r="H98" s="598" t="s">
        <v>311</v>
      </c>
      <c r="I98" s="598"/>
      <c r="J98" s="598"/>
      <c r="K98" s="598"/>
      <c r="L98" s="598"/>
      <c r="M98" s="2"/>
      <c r="N98" s="2"/>
      <c r="O98" s="63">
        <f>+O53+O21</f>
        <v>637793.525078901</v>
      </c>
      <c r="P98" s="63" t="e">
        <f>+P53+P21</f>
        <v>#VALUE!</v>
      </c>
      <c r="Q98" s="63">
        <f>+Q53+Q21</f>
        <v>0</v>
      </c>
      <c r="R98" s="63">
        <f>+R53+R21</f>
        <v>0</v>
      </c>
      <c r="S98" s="63">
        <f>+S53+S19</f>
        <v>16334.599999999999</v>
      </c>
      <c r="T98" s="63">
        <f>+T53+T19</f>
        <v>91713.16999999998</v>
      </c>
      <c r="U98" s="63">
        <f>+U53+U19</f>
        <v>530005.5150789008</v>
      </c>
      <c r="V98" s="63"/>
      <c r="W98" s="63"/>
      <c r="X98" s="63"/>
      <c r="Y98" s="63">
        <f>+Y53+Y21</f>
        <v>461575.84507890086</v>
      </c>
      <c r="Z98" s="526">
        <f>+AA54</f>
        <v>461575.9850789009</v>
      </c>
      <c r="AA98" s="543"/>
      <c r="AB98" s="543"/>
    </row>
    <row r="99" spans="2:28" ht="14.25">
      <c r="B99" s="61"/>
      <c r="C99" s="61"/>
      <c r="D99" s="4"/>
      <c r="E99" s="4"/>
      <c r="F99" s="46"/>
      <c r="G99" s="4"/>
      <c r="H99" s="4"/>
      <c r="I99" s="4"/>
      <c r="J99" s="4"/>
      <c r="K99" s="4"/>
      <c r="L99" s="4"/>
      <c r="M99" s="4"/>
      <c r="N99" s="4"/>
      <c r="O99" s="4"/>
      <c r="P99" s="4"/>
      <c r="Q99" s="4"/>
      <c r="AA99" s="543"/>
      <c r="AB99" s="543"/>
    </row>
    <row r="100" spans="2:28" ht="67.5" customHeight="1">
      <c r="B100" s="594" t="s">
        <v>309</v>
      </c>
      <c r="C100" s="595"/>
      <c r="D100" s="595"/>
      <c r="E100" s="596"/>
      <c r="F100" s="376">
        <f>+F95+F53+F19</f>
        <v>2325778.3000000003</v>
      </c>
      <c r="G100" s="4"/>
      <c r="H100" s="599" t="s">
        <v>310</v>
      </c>
      <c r="I100" s="600"/>
      <c r="J100" s="600"/>
      <c r="K100" s="600"/>
      <c r="L100" s="601"/>
      <c r="M100" s="63"/>
      <c r="N100" s="63"/>
      <c r="O100" s="76">
        <f>+O97+O98</f>
        <v>1260727.3950789007</v>
      </c>
      <c r="P100" s="76" t="e">
        <f aca="true" t="shared" si="13" ref="P100:Y100">+P97+P98</f>
        <v>#VALUE!</v>
      </c>
      <c r="Q100" s="76">
        <f t="shared" si="13"/>
        <v>0</v>
      </c>
      <c r="R100" s="76">
        <f t="shared" si="13"/>
        <v>0</v>
      </c>
      <c r="S100" s="76">
        <f>+S97+S98</f>
        <v>110658.37</v>
      </c>
      <c r="T100" s="76">
        <f t="shared" si="13"/>
        <v>209794.34139999998</v>
      </c>
      <c r="U100" s="76">
        <f>+U97+U98</f>
        <v>777522.1750789008</v>
      </c>
      <c r="V100" s="76">
        <f t="shared" si="13"/>
        <v>163012.2686</v>
      </c>
      <c r="W100" s="76"/>
      <c r="X100" s="76"/>
      <c r="Y100" s="76">
        <f t="shared" si="13"/>
        <v>763306.0550789009</v>
      </c>
      <c r="Z100" s="531">
        <f>+S100+T100+U100+V100</f>
        <v>1260987.1550789007</v>
      </c>
      <c r="AA100" s="543"/>
      <c r="AB100" s="543"/>
    </row>
    <row r="101" spans="2:27" ht="14.25">
      <c r="B101" s="61"/>
      <c r="C101" s="61"/>
      <c r="D101" s="4"/>
      <c r="E101" s="4"/>
      <c r="F101" s="46"/>
      <c r="G101" s="4"/>
      <c r="H101" s="4"/>
      <c r="I101" s="4"/>
      <c r="J101" s="4"/>
      <c r="K101" s="4"/>
      <c r="L101" s="4"/>
      <c r="M101" s="4"/>
      <c r="N101" s="4"/>
      <c r="O101" s="4"/>
      <c r="P101" s="4"/>
      <c r="Q101" s="4"/>
      <c r="AA101" s="522"/>
    </row>
    <row r="102" spans="2:27" ht="40.5" customHeight="1">
      <c r="B102" s="626">
        <f>+F100-B103</f>
        <v>1065050.9049210995</v>
      </c>
      <c r="C102" s="627"/>
      <c r="D102" s="628"/>
      <c r="E102" s="622" t="s">
        <v>332</v>
      </c>
      <c r="F102" s="622"/>
      <c r="G102" s="4"/>
      <c r="H102" s="4"/>
      <c r="I102" s="4"/>
      <c r="J102" s="688"/>
      <c r="K102" s="4"/>
      <c r="L102" s="690" t="s">
        <v>417</v>
      </c>
      <c r="M102" s="690"/>
      <c r="N102" s="690"/>
      <c r="O102" s="691">
        <v>0.49</v>
      </c>
      <c r="P102" s="4"/>
      <c r="Q102" s="4"/>
      <c r="S102" s="76">
        <f>+S100-S103</f>
        <v>40258.7</v>
      </c>
      <c r="T102" s="76">
        <f>+T100-T103</f>
        <v>140618.08999999997</v>
      </c>
      <c r="U102" s="76">
        <f>+U100-U103</f>
        <v>598290.5250789007</v>
      </c>
      <c r="V102" s="76">
        <v>0</v>
      </c>
      <c r="W102" s="551"/>
      <c r="Z102" s="531">
        <f>+Z97+Z98</f>
        <v>763306.1950789009</v>
      </c>
      <c r="AA102" s="522">
        <f>+Z102/O100</f>
        <v>0.6054490431939337</v>
      </c>
    </row>
    <row r="103" spans="2:27" ht="39" customHeight="1">
      <c r="B103" s="623">
        <f>+O100</f>
        <v>1260727.3950789007</v>
      </c>
      <c r="C103" s="624"/>
      <c r="D103" s="625"/>
      <c r="E103" s="622" t="s">
        <v>331</v>
      </c>
      <c r="F103" s="622"/>
      <c r="G103" s="4"/>
      <c r="H103" s="4"/>
      <c r="I103" s="4"/>
      <c r="J103" s="688"/>
      <c r="K103" s="4"/>
      <c r="L103" s="690" t="s">
        <v>418</v>
      </c>
      <c r="M103" s="690"/>
      <c r="N103" s="690"/>
      <c r="O103" s="691">
        <v>0.51</v>
      </c>
      <c r="P103" s="4"/>
      <c r="Q103" s="4"/>
      <c r="S103" s="76">
        <f>+S89+S76+S47</f>
        <v>70399.67</v>
      </c>
      <c r="T103" s="76">
        <f>+T89+T76+T52+T50+T49+T16</f>
        <v>69176.25140000001</v>
      </c>
      <c r="U103" s="76">
        <f>+U94+U92+U88+U17+U12+U49+U51</f>
        <v>179231.65</v>
      </c>
      <c r="V103" s="76">
        <f>+V100</f>
        <v>163012.2686</v>
      </c>
      <c r="W103" s="551"/>
      <c r="Z103" s="531">
        <f>+O100-Z102</f>
        <v>497421.19999999984</v>
      </c>
      <c r="AA103" s="522">
        <f>+Z103/O100</f>
        <v>0.3945509568060663</v>
      </c>
    </row>
    <row r="104" spans="2:26" ht="14.25">
      <c r="B104" s="78" t="s">
        <v>112</v>
      </c>
      <c r="F104" s="79"/>
      <c r="O104" s="69"/>
      <c r="S104" s="543">
        <f>+'Plan compras anio 2 planificado'!Z152</f>
        <v>40258.700000000004</v>
      </c>
      <c r="T104" s="543">
        <f>+'Plan compras anio 2 planificado'!AA152</f>
        <v>140618.09</v>
      </c>
      <c r="U104" s="543">
        <f>+'Plan compras anio 2 planificado'!AB152</f>
        <v>582429.2650789008</v>
      </c>
      <c r="V104" s="544"/>
      <c r="W104" s="544"/>
      <c r="Z104" s="543">
        <f>+Z100-Z102-Z103</f>
        <v>259.7600000000093</v>
      </c>
    </row>
    <row r="105" spans="2:26" ht="46.5">
      <c r="B105" s="78" t="s">
        <v>113</v>
      </c>
      <c r="H105" s="687"/>
      <c r="I105" s="687"/>
      <c r="J105" s="689"/>
      <c r="K105" s="687"/>
      <c r="L105" s="690" t="s">
        <v>419</v>
      </c>
      <c r="M105" s="690"/>
      <c r="N105" s="690"/>
      <c r="O105" s="691">
        <v>0.62</v>
      </c>
      <c r="P105" s="687"/>
      <c r="S105" s="544"/>
      <c r="T105" s="544"/>
      <c r="U105" s="545">
        <f>+U102-U104</f>
        <v>15861.259999999893</v>
      </c>
      <c r="V105" s="560">
        <f>+V103+S76+T76</f>
        <v>193523.58860000002</v>
      </c>
      <c r="W105" s="544"/>
      <c r="Z105" s="543">
        <f>+S103+V103+U103+T103</f>
        <v>481819.84</v>
      </c>
    </row>
    <row r="106" spans="2:26" ht="46.5">
      <c r="B106" s="78" t="s">
        <v>114</v>
      </c>
      <c r="J106" s="689"/>
      <c r="L106" s="690" t="s">
        <v>420</v>
      </c>
      <c r="M106" s="690"/>
      <c r="N106" s="690"/>
      <c r="O106" s="691">
        <v>0.48</v>
      </c>
      <c r="S106" s="544"/>
      <c r="T106" s="544"/>
      <c r="U106" s="545"/>
      <c r="V106" s="561">
        <f>+'[11]Reprogramaciones S2_MINSAL-PNUD'!$U$65</f>
        <v>196673.58860000002</v>
      </c>
      <c r="W106" s="544"/>
      <c r="Z106" s="543">
        <f>+Z103-Z105</f>
        <v>15601.359999999811</v>
      </c>
    </row>
    <row r="107" spans="15:26" ht="14.25">
      <c r="O107" s="69"/>
      <c r="U107" s="69"/>
      <c r="V107" s="561">
        <f>+V105-V106</f>
        <v>-3150</v>
      </c>
      <c r="Z107" s="543">
        <f>+AA97-Z106</f>
        <v>259.76000000012573</v>
      </c>
    </row>
    <row r="108" spans="15:23" ht="42.75">
      <c r="O108" s="563"/>
      <c r="U108" s="69"/>
      <c r="V108" s="562">
        <f>+'[11]Reprogramaciones S2_MINSAL-PNUD'!$U$56</f>
        <v>3150</v>
      </c>
      <c r="W108" s="3" t="s">
        <v>416</v>
      </c>
    </row>
  </sheetData>
  <sheetProtection/>
  <autoFilter ref="A30:Q53"/>
  <mergeCells count="71">
    <mergeCell ref="J102:J103"/>
    <mergeCell ref="J105:J106"/>
    <mergeCell ref="AA74:AA75"/>
    <mergeCell ref="AB74:AB75"/>
    <mergeCell ref="AA29:AA30"/>
    <mergeCell ref="AB29:AB30"/>
    <mergeCell ref="AC74:AC75"/>
    <mergeCell ref="AC29:AC30"/>
    <mergeCell ref="E103:F103"/>
    <mergeCell ref="B103:D103"/>
    <mergeCell ref="B102:D102"/>
    <mergeCell ref="E102:F102"/>
    <mergeCell ref="B5:C5"/>
    <mergeCell ref="D5:E5"/>
    <mergeCell ref="B7:Q7"/>
    <mergeCell ref="B8:Q8"/>
    <mergeCell ref="H29:J29"/>
    <mergeCell ref="B29:F29"/>
    <mergeCell ref="D4:E4"/>
    <mergeCell ref="B53:E53"/>
    <mergeCell ref="B4:C4"/>
    <mergeCell ref="W10:W11"/>
    <mergeCell ref="W29:W30"/>
    <mergeCell ref="B21:C21"/>
    <mergeCell ref="U10:U11"/>
    <mergeCell ref="P15:P17"/>
    <mergeCell ref="S29:S30"/>
    <mergeCell ref="T29:T30"/>
    <mergeCell ref="B1:D1"/>
    <mergeCell ref="B2:C2"/>
    <mergeCell ref="D2:E2"/>
    <mergeCell ref="B3:C3"/>
    <mergeCell ref="D3:E3"/>
    <mergeCell ref="Q74:Q75"/>
    <mergeCell ref="P34:P46"/>
    <mergeCell ref="H53:J53"/>
    <mergeCell ref="H54:L54"/>
    <mergeCell ref="H56:L56"/>
    <mergeCell ref="B95:E95"/>
    <mergeCell ref="P76:P94"/>
    <mergeCell ref="H97:L97"/>
    <mergeCell ref="H98:L98"/>
    <mergeCell ref="H100:L100"/>
    <mergeCell ref="K74:N74"/>
    <mergeCell ref="O74:O75"/>
    <mergeCell ref="P74:P75"/>
    <mergeCell ref="Y74:Y75"/>
    <mergeCell ref="B73:Q73"/>
    <mergeCell ref="B74:F74"/>
    <mergeCell ref="H74:J74"/>
    <mergeCell ref="Y29:Y30"/>
    <mergeCell ref="Q29:Q30"/>
    <mergeCell ref="P29:P30"/>
    <mergeCell ref="O29:O30"/>
    <mergeCell ref="B100:E100"/>
    <mergeCell ref="B24:F24"/>
    <mergeCell ref="K29:N29"/>
    <mergeCell ref="S10:S11"/>
    <mergeCell ref="B10:F10"/>
    <mergeCell ref="H10:J10"/>
    <mergeCell ref="K10:N10"/>
    <mergeCell ref="O10:O11"/>
    <mergeCell ref="Q10:Q11"/>
    <mergeCell ref="P10:P11"/>
    <mergeCell ref="B27:Q27"/>
    <mergeCell ref="T10:T11"/>
    <mergeCell ref="Z29:Z30"/>
    <mergeCell ref="Z74:Z75"/>
    <mergeCell ref="V29:V30"/>
    <mergeCell ref="V10:V11"/>
    <mergeCell ref="U29:U30"/>
  </mergeCells>
  <printOptions/>
  <pageMargins left="0.03937007874015748" right="0.03937007874015748" top="0.7480314960629921" bottom="0.7480314960629921" header="0.31496062992125984" footer="0.31496062992125984"/>
  <pageSetup horizontalDpi="600" verticalDpi="600" orientation="landscape" scale="50"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U61"/>
  <sheetViews>
    <sheetView view="pageBreakPreview" zoomScale="90" zoomScaleNormal="85" zoomScaleSheetLayoutView="90" zoomScalePageLayoutView="0" workbookViewId="0" topLeftCell="A22">
      <selection activeCell="F52" sqref="F52"/>
    </sheetView>
  </sheetViews>
  <sheetFormatPr defaultColWidth="8.00390625" defaultRowHeight="12.75" customHeight="1"/>
  <cols>
    <col min="1" max="1" width="8.00390625" style="91" customWidth="1"/>
    <col min="2" max="2" width="59.00390625" style="91" customWidth="1"/>
    <col min="3" max="3" width="13.875" style="378" customWidth="1"/>
    <col min="4" max="5" width="8.00390625" style="91" customWidth="1"/>
    <col min="6" max="6" width="9.125" style="91" bestFit="1" customWidth="1"/>
    <col min="7" max="7" width="9.75390625" style="91" bestFit="1" customWidth="1"/>
    <col min="8" max="8" width="9.75390625" style="91" customWidth="1"/>
    <col min="9" max="9" width="8.00390625" style="91" customWidth="1"/>
    <col min="10" max="10" width="8.00390625" style="432" customWidth="1"/>
    <col min="11" max="12" width="8.00390625" style="91" customWidth="1"/>
    <col min="13" max="13" width="9.75390625" style="445" bestFit="1" customWidth="1"/>
    <col min="14" max="14" width="8.00390625" style="91" customWidth="1"/>
    <col min="15" max="15" width="12.75390625" style="91" customWidth="1"/>
    <col min="16" max="16" width="12.75390625" style="445" customWidth="1"/>
    <col min="17" max="18" width="8.00390625" style="91" customWidth="1"/>
    <col min="19" max="19" width="19.00390625" style="379" customWidth="1"/>
    <col min="20" max="20" width="11.875" style="91" customWidth="1"/>
    <col min="21" max="21" width="12.625" style="91" bestFit="1" customWidth="1"/>
    <col min="22" max="16384" width="8.00390625" style="91" customWidth="1"/>
  </cols>
  <sheetData>
    <row r="1" ht="15.75" customHeight="1">
      <c r="A1" s="377" t="s">
        <v>334</v>
      </c>
    </row>
    <row r="4" spans="2:19" ht="12.75" customHeight="1">
      <c r="B4" s="636" t="s">
        <v>335</v>
      </c>
      <c r="C4" s="637" t="s">
        <v>122</v>
      </c>
      <c r="D4" s="637" t="s">
        <v>123</v>
      </c>
      <c r="E4" s="637"/>
      <c r="F4" s="637"/>
      <c r="G4" s="637"/>
      <c r="H4" s="637"/>
      <c r="I4" s="637"/>
      <c r="J4" s="637"/>
      <c r="K4" s="637"/>
      <c r="L4" s="638" t="s">
        <v>336</v>
      </c>
      <c r="M4" s="456"/>
      <c r="N4" s="639" t="s">
        <v>337</v>
      </c>
      <c r="O4" s="639"/>
      <c r="P4" s="639"/>
      <c r="Q4" s="639"/>
      <c r="R4" s="637" t="s">
        <v>153</v>
      </c>
      <c r="S4" s="635" t="s">
        <v>338</v>
      </c>
    </row>
    <row r="5" spans="2:19" ht="12.75" customHeight="1">
      <c r="B5" s="636"/>
      <c r="C5" s="637"/>
      <c r="D5" s="380" t="s">
        <v>132</v>
      </c>
      <c r="E5" s="380"/>
      <c r="F5" s="380"/>
      <c r="G5" s="380"/>
      <c r="H5" s="380"/>
      <c r="I5" s="380" t="s">
        <v>339</v>
      </c>
      <c r="J5" s="433"/>
      <c r="K5" s="380" t="s">
        <v>135</v>
      </c>
      <c r="L5" s="638"/>
      <c r="M5" s="457"/>
      <c r="N5" s="380" t="s">
        <v>132</v>
      </c>
      <c r="O5" s="380" t="s">
        <v>339</v>
      </c>
      <c r="P5" s="446"/>
      <c r="Q5" s="380" t="s">
        <v>135</v>
      </c>
      <c r="R5" s="637"/>
      <c r="S5" s="635"/>
    </row>
    <row r="6" spans="2:19" ht="12.75" customHeight="1">
      <c r="B6" s="381" t="s">
        <v>193</v>
      </c>
      <c r="C6" s="382" t="s">
        <v>158</v>
      </c>
      <c r="D6" s="383">
        <v>15726.9565217391</v>
      </c>
      <c r="E6" s="383"/>
      <c r="F6" s="383"/>
      <c r="G6" s="383"/>
      <c r="H6" s="383"/>
      <c r="I6" s="383">
        <v>15587.1739130435</v>
      </c>
      <c r="J6" s="434">
        <f>+'Plan compras anio 2 planificado'!J43</f>
        <v>17450</v>
      </c>
      <c r="K6" s="383">
        <v>14925.652173913</v>
      </c>
      <c r="L6" s="384">
        <v>21</v>
      </c>
      <c r="M6" s="447">
        <f>+'Plan compras anio 2 planificado'!N43</f>
        <v>25.518739255014328</v>
      </c>
      <c r="N6" s="384">
        <v>330266.086956522</v>
      </c>
      <c r="O6" s="384">
        <v>327330.652173913</v>
      </c>
      <c r="P6" s="447">
        <f>+J6*M6</f>
        <v>445302</v>
      </c>
      <c r="Q6" s="384">
        <v>313438.695652174</v>
      </c>
      <c r="R6" s="384">
        <v>971035.434782609</v>
      </c>
      <c r="S6" s="385" t="s">
        <v>156</v>
      </c>
    </row>
    <row r="7" spans="2:19" ht="12.75" customHeight="1">
      <c r="B7" s="381" t="s">
        <v>194</v>
      </c>
      <c r="C7" s="382" t="s">
        <v>158</v>
      </c>
      <c r="D7" s="383">
        <v>16535.7714285714</v>
      </c>
      <c r="E7" s="383"/>
      <c r="F7" s="383"/>
      <c r="G7" s="383"/>
      <c r="H7" s="383"/>
      <c r="I7" s="383">
        <v>16388.8</v>
      </c>
      <c r="J7" s="434">
        <f>+'Plan compras anio 2 planificado'!J44</f>
        <v>17664</v>
      </c>
      <c r="K7" s="383">
        <v>15693.2571428571</v>
      </c>
      <c r="L7" s="384">
        <v>47.4</v>
      </c>
      <c r="M7" s="447">
        <f>+'Plan compras anio 2 planificado'!N44</f>
        <v>36.08103260869565</v>
      </c>
      <c r="N7" s="384">
        <v>783795.565714286</v>
      </c>
      <c r="O7" s="384">
        <v>776829.12</v>
      </c>
      <c r="P7" s="447">
        <f>+J7*M7</f>
        <v>637335.36</v>
      </c>
      <c r="Q7" s="384">
        <v>743860.388571429</v>
      </c>
      <c r="R7" s="384">
        <v>2304485.07428571</v>
      </c>
      <c r="S7" s="385" t="s">
        <v>156</v>
      </c>
    </row>
    <row r="8" spans="2:19" ht="12" customHeight="1">
      <c r="B8" s="381" t="s">
        <v>191</v>
      </c>
      <c r="C8" s="382" t="s">
        <v>158</v>
      </c>
      <c r="D8" s="383">
        <v>270</v>
      </c>
      <c r="E8" s="383"/>
      <c r="F8" s="383"/>
      <c r="G8" s="383"/>
      <c r="H8" s="383"/>
      <c r="I8" s="383">
        <v>120</v>
      </c>
      <c r="J8" s="434">
        <f>+'Plan compras anio 2 planificado'!S41</f>
        <v>48</v>
      </c>
      <c r="K8" s="383">
        <v>0</v>
      </c>
      <c r="L8" s="384">
        <v>646</v>
      </c>
      <c r="M8" s="447">
        <f>+'Plan compras anio 2 planificado'!N41</f>
        <v>1110</v>
      </c>
      <c r="N8" s="384">
        <f>D8*L8</f>
        <v>174420</v>
      </c>
      <c r="O8" s="384">
        <v>77520</v>
      </c>
      <c r="P8" s="447">
        <f>+J8*M8</f>
        <v>53280</v>
      </c>
      <c r="Q8" s="384">
        <v>0</v>
      </c>
      <c r="R8" s="384">
        <f>SUM(N8:Q8)</f>
        <v>305220</v>
      </c>
      <c r="S8" s="385" t="s">
        <v>156</v>
      </c>
    </row>
    <row r="9" spans="2:21" ht="12" customHeight="1">
      <c r="B9" s="381" t="s">
        <v>157</v>
      </c>
      <c r="C9" s="382" t="s">
        <v>158</v>
      </c>
      <c r="D9" s="383">
        <v>167705</v>
      </c>
      <c r="E9" s="383"/>
      <c r="F9" s="383"/>
      <c r="G9" s="383"/>
      <c r="H9" s="383"/>
      <c r="I9" s="383">
        <v>137657.16</v>
      </c>
      <c r="J9" s="434">
        <f>+'Plan compras anio 2 planificado'!S12+'Plan compras anio 2 planificado'!S15+'Plan compras anio 2 planificado'!S18+'Plan compras anio 2 planificado'!S21+'Plan compras anio 2 planificado'!S128</f>
        <v>119800</v>
      </c>
      <c r="K9" s="383">
        <v>136316.108888889</v>
      </c>
      <c r="L9" s="384">
        <v>1.01</v>
      </c>
      <c r="M9" s="447">
        <f>+P9/J9</f>
        <v>1.0964290484140236</v>
      </c>
      <c r="N9" s="384">
        <f>D9*L9</f>
        <v>169382.05</v>
      </c>
      <c r="O9" s="384">
        <v>139033.7316</v>
      </c>
      <c r="P9" s="447">
        <f>+'Plan compras anio 2 planificado'!V12+'Plan compras anio 2 planificado'!V15+'Plan compras anio 2 planificado'!V18+'Plan compras anio 2 planificado'!V21+'Plan compras anio 2 planificado'!V128</f>
        <v>131352.2</v>
      </c>
      <c r="Q9" s="384">
        <v>137679.269977778</v>
      </c>
      <c r="R9" s="384">
        <f>SUM(N9:Q9)</f>
        <v>577447.251577778</v>
      </c>
      <c r="S9" s="385" t="s">
        <v>156</v>
      </c>
      <c r="U9" s="429">
        <f>+P6+P7+P8+P9+P19+P22+P23+P24</f>
        <v>1480494.2099999997</v>
      </c>
    </row>
    <row r="10" spans="2:21" s="416" customFormat="1" ht="12.75" customHeight="1">
      <c r="B10" s="417" t="s">
        <v>177</v>
      </c>
      <c r="C10" s="418" t="s">
        <v>158</v>
      </c>
      <c r="D10" s="419">
        <v>20075</v>
      </c>
      <c r="E10" s="419"/>
      <c r="F10" s="419"/>
      <c r="G10" s="419"/>
      <c r="H10" s="419"/>
      <c r="I10" s="419">
        <v>16729.1666666667</v>
      </c>
      <c r="J10" s="434"/>
      <c r="K10" s="419">
        <v>13383.3333333333</v>
      </c>
      <c r="L10" s="420">
        <v>4.49</v>
      </c>
      <c r="M10" s="447"/>
      <c r="N10" s="420">
        <v>90136.75</v>
      </c>
      <c r="O10" s="420">
        <v>75113.9583333333</v>
      </c>
      <c r="P10" s="447"/>
      <c r="Q10" s="420">
        <v>60091.1666666667</v>
      </c>
      <c r="R10" s="420">
        <f>SUM(N10:Q10)</f>
        <v>225341.875</v>
      </c>
      <c r="S10" s="421" t="s">
        <v>156</v>
      </c>
      <c r="U10" s="416">
        <f>+'Plan compras anio 2 planificado'!V152</f>
        <v>1421382.21</v>
      </c>
    </row>
    <row r="11" spans="2:21" s="416" customFormat="1" ht="12.75" customHeight="1">
      <c r="B11" s="417" t="s">
        <v>178</v>
      </c>
      <c r="C11" s="418" t="s">
        <v>158</v>
      </c>
      <c r="D11" s="419">
        <v>15095.8333333333</v>
      </c>
      <c r="E11" s="419"/>
      <c r="F11" s="419"/>
      <c r="G11" s="419"/>
      <c r="H11" s="419"/>
      <c r="I11" s="419">
        <v>12579.8611111111</v>
      </c>
      <c r="J11" s="434"/>
      <c r="K11" s="419">
        <v>10063.8888888889</v>
      </c>
      <c r="L11" s="420">
        <v>4.68</v>
      </c>
      <c r="M11" s="447"/>
      <c r="N11" s="420">
        <v>70648.5</v>
      </c>
      <c r="O11" s="420">
        <v>58873.75</v>
      </c>
      <c r="P11" s="447"/>
      <c r="Q11" s="420">
        <v>47099</v>
      </c>
      <c r="R11" s="420">
        <f>SUM(N11:Q11)</f>
        <v>176621.25</v>
      </c>
      <c r="S11" s="421" t="s">
        <v>156</v>
      </c>
      <c r="U11" s="430">
        <f>+U9-U10</f>
        <v>59111.99999999977</v>
      </c>
    </row>
    <row r="12" spans="2:21" s="416" customFormat="1" ht="12.75" customHeight="1">
      <c r="B12" s="417" t="s">
        <v>179</v>
      </c>
      <c r="C12" s="418" t="s">
        <v>158</v>
      </c>
      <c r="D12" s="419">
        <v>490.384615384615</v>
      </c>
      <c r="E12" s="419"/>
      <c r="F12" s="419"/>
      <c r="G12" s="419"/>
      <c r="H12" s="419"/>
      <c r="I12" s="419">
        <v>408.653846153846</v>
      </c>
      <c r="J12" s="434"/>
      <c r="K12" s="419">
        <v>326.923076923077</v>
      </c>
      <c r="L12" s="420">
        <v>72.22</v>
      </c>
      <c r="M12" s="447"/>
      <c r="N12" s="420">
        <v>35415.5769230769</v>
      </c>
      <c r="O12" s="420">
        <v>29512.9807692308</v>
      </c>
      <c r="P12" s="447"/>
      <c r="Q12" s="420">
        <v>23610.3846153846</v>
      </c>
      <c r="R12" s="420">
        <f>SUM(N12:Q12)</f>
        <v>88538.9423076923</v>
      </c>
      <c r="S12" s="421" t="s">
        <v>156</v>
      </c>
      <c r="U12" s="430">
        <f>+P18+P21+P25+P26+P34+P52</f>
        <v>155098.16999999998</v>
      </c>
    </row>
    <row r="13" spans="2:19" s="416" customFormat="1" ht="12.75" customHeight="1">
      <c r="B13" s="417" t="s">
        <v>226</v>
      </c>
      <c r="C13" s="418" t="s">
        <v>158</v>
      </c>
      <c r="D13" s="419">
        <v>24241.25</v>
      </c>
      <c r="E13" s="419"/>
      <c r="F13" s="419"/>
      <c r="G13" s="419"/>
      <c r="H13" s="419"/>
      <c r="I13" s="419">
        <v>25100</v>
      </c>
      <c r="J13" s="434"/>
      <c r="K13" s="419">
        <v>26210</v>
      </c>
      <c r="L13" s="420">
        <v>3.78</v>
      </c>
      <c r="M13" s="447"/>
      <c r="N13" s="420">
        <v>91631.925</v>
      </c>
      <c r="O13" s="420">
        <v>94878</v>
      </c>
      <c r="P13" s="447"/>
      <c r="Q13" s="420">
        <v>99073.8</v>
      </c>
      <c r="R13" s="420">
        <v>285583.725</v>
      </c>
      <c r="S13" s="421" t="s">
        <v>156</v>
      </c>
    </row>
    <row r="14" spans="2:19" s="416" customFormat="1" ht="12.75" customHeight="1">
      <c r="B14" s="417" t="s">
        <v>227</v>
      </c>
      <c r="C14" s="418" t="s">
        <v>158</v>
      </c>
      <c r="D14" s="419">
        <v>23210</v>
      </c>
      <c r="E14" s="419"/>
      <c r="F14" s="419"/>
      <c r="G14" s="419"/>
      <c r="H14" s="419"/>
      <c r="I14" s="419">
        <v>24275</v>
      </c>
      <c r="J14" s="434"/>
      <c r="K14" s="419">
        <v>25591.25</v>
      </c>
      <c r="L14" s="420">
        <v>6.35</v>
      </c>
      <c r="M14" s="447"/>
      <c r="N14" s="420">
        <v>147383.5</v>
      </c>
      <c r="O14" s="420">
        <v>154146.25</v>
      </c>
      <c r="P14" s="447"/>
      <c r="Q14" s="420">
        <v>162504.4375</v>
      </c>
      <c r="R14" s="420">
        <v>464034.1875</v>
      </c>
      <c r="S14" s="421" t="s">
        <v>156</v>
      </c>
    </row>
    <row r="15" spans="2:19" s="416" customFormat="1" ht="12.75" customHeight="1">
      <c r="B15" s="417" t="s">
        <v>214</v>
      </c>
      <c r="C15" s="418" t="s">
        <v>158</v>
      </c>
      <c r="D15" s="419">
        <v>102.666666666667</v>
      </c>
      <c r="E15" s="419"/>
      <c r="F15" s="419"/>
      <c r="G15" s="419"/>
      <c r="H15" s="419"/>
      <c r="I15" s="419">
        <v>82.1333333333334</v>
      </c>
      <c r="J15" s="434"/>
      <c r="K15" s="419">
        <v>61.6</v>
      </c>
      <c r="L15" s="420">
        <v>153.125</v>
      </c>
      <c r="M15" s="447"/>
      <c r="N15" s="420">
        <v>15720.8333333333</v>
      </c>
      <c r="O15" s="420">
        <v>12576.6666666667</v>
      </c>
      <c r="P15" s="447"/>
      <c r="Q15" s="420">
        <v>9432.5</v>
      </c>
      <c r="R15" s="420">
        <v>37730</v>
      </c>
      <c r="S15" s="421" t="s">
        <v>156</v>
      </c>
    </row>
    <row r="16" spans="2:21" s="416" customFormat="1" ht="12.75" customHeight="1">
      <c r="B16" s="417" t="s">
        <v>215</v>
      </c>
      <c r="C16" s="418" t="s">
        <v>158</v>
      </c>
      <c r="D16" s="419">
        <v>842.5</v>
      </c>
      <c r="E16" s="419"/>
      <c r="F16" s="419"/>
      <c r="G16" s="419"/>
      <c r="H16" s="419"/>
      <c r="I16" s="419">
        <v>674</v>
      </c>
      <c r="J16" s="434"/>
      <c r="K16" s="419">
        <v>505.5</v>
      </c>
      <c r="L16" s="420">
        <v>3.18770833333333</v>
      </c>
      <c r="M16" s="447"/>
      <c r="N16" s="420">
        <v>2685.64427083333</v>
      </c>
      <c r="O16" s="420">
        <v>2148.51541666667</v>
      </c>
      <c r="P16" s="447"/>
      <c r="Q16" s="420">
        <v>1611.3865625</v>
      </c>
      <c r="R16" s="420">
        <v>6445.54625</v>
      </c>
      <c r="S16" s="421" t="s">
        <v>156</v>
      </c>
      <c r="U16" s="430">
        <f>+U11+P18+P21+P25+P26+P34+P52</f>
        <v>214210.16999999975</v>
      </c>
    </row>
    <row r="17" spans="2:21" s="416" customFormat="1" ht="12.75" customHeight="1">
      <c r="B17" s="417" t="s">
        <v>209</v>
      </c>
      <c r="C17" s="418" t="s">
        <v>158</v>
      </c>
      <c r="D17" s="419">
        <v>1031.25</v>
      </c>
      <c r="E17" s="419"/>
      <c r="F17" s="419"/>
      <c r="G17" s="419"/>
      <c r="H17" s="419"/>
      <c r="I17" s="419">
        <v>825</v>
      </c>
      <c r="J17" s="434"/>
      <c r="K17" s="419">
        <v>618.75</v>
      </c>
      <c r="L17" s="420">
        <v>5.63</v>
      </c>
      <c r="M17" s="447"/>
      <c r="N17" s="420">
        <v>5805.9375</v>
      </c>
      <c r="O17" s="420">
        <v>4644.75</v>
      </c>
      <c r="P17" s="447">
        <f>+J17*M17</f>
        <v>0</v>
      </c>
      <c r="Q17" s="420">
        <v>3483.5625</v>
      </c>
      <c r="R17" s="420">
        <f>SUM(N17:Q17)</f>
        <v>13934.25</v>
      </c>
      <c r="S17" s="421" t="s">
        <v>156</v>
      </c>
      <c r="U17" s="430">
        <f>+'Plan compras anio 2 planificado'!X152</f>
        <v>461575.84507890086</v>
      </c>
    </row>
    <row r="18" spans="2:21" ht="12.75" customHeight="1">
      <c r="B18" s="381" t="s">
        <v>167</v>
      </c>
      <c r="C18" s="382" t="s">
        <v>158</v>
      </c>
      <c r="D18" s="383">
        <v>34268</v>
      </c>
      <c r="E18" s="383"/>
      <c r="F18" s="383"/>
      <c r="G18" s="383"/>
      <c r="H18" s="383"/>
      <c r="I18" s="383">
        <v>27020</v>
      </c>
      <c r="J18" s="434">
        <f>+'Plan compras anio 2 planificado'!S79+'Plan compras anio 2 planificado'!S22</f>
        <v>20860</v>
      </c>
      <c r="K18" s="383">
        <v>25373</v>
      </c>
      <c r="L18" s="384">
        <v>1.08</v>
      </c>
      <c r="M18" s="447">
        <f>+'Plan compras anio 2 planificado'!N22</f>
        <v>1.4</v>
      </c>
      <c r="N18" s="384">
        <v>37035.2520761723</v>
      </c>
      <c r="O18" s="384">
        <v>29208.6292495672</v>
      </c>
      <c r="P18" s="448">
        <f>+'Plan compras anio 2 planificado'!X22+'Plan compras anio 2 planificado'!X79</f>
        <v>29204</v>
      </c>
      <c r="Q18" s="384">
        <v>27431.3735730236</v>
      </c>
      <c r="R18" s="384">
        <v>93675.2548987631</v>
      </c>
      <c r="S18" s="385" t="s">
        <v>156</v>
      </c>
      <c r="T18" s="386"/>
      <c r="U18" s="429">
        <f>+U16-U17</f>
        <v>-247365.6750789011</v>
      </c>
    </row>
    <row r="19" spans="2:19" ht="12.75" customHeight="1">
      <c r="B19" s="381" t="s">
        <v>230</v>
      </c>
      <c r="C19" s="382" t="s">
        <v>158</v>
      </c>
      <c r="D19" s="383">
        <v>20055.48</v>
      </c>
      <c r="E19" s="383"/>
      <c r="F19" s="383"/>
      <c r="G19" s="383"/>
      <c r="H19" s="383"/>
      <c r="I19" s="383">
        <v>21001.2</v>
      </c>
      <c r="J19" s="434">
        <f>+'Plan compras anio 2 planificado'!S80</f>
        <v>27750</v>
      </c>
      <c r="K19" s="383">
        <v>22170.03</v>
      </c>
      <c r="L19" s="384">
        <v>0.30000000000000004</v>
      </c>
      <c r="M19" s="447">
        <f>+'Plan compras anio 2 planificado'!N80</f>
        <v>0.06493333333333333</v>
      </c>
      <c r="N19" s="384">
        <v>6016.644</v>
      </c>
      <c r="O19" s="384">
        <v>6300.36</v>
      </c>
      <c r="P19" s="447">
        <f>+J19*M19</f>
        <v>1801.8999999999999</v>
      </c>
      <c r="Q19" s="384">
        <v>6651.009</v>
      </c>
      <c r="R19" s="384">
        <v>18968.013</v>
      </c>
      <c r="S19" s="385" t="s">
        <v>156</v>
      </c>
    </row>
    <row r="20" spans="2:19" s="416" customFormat="1" ht="12.75" customHeight="1">
      <c r="B20" s="417" t="s">
        <v>180</v>
      </c>
      <c r="C20" s="418" t="s">
        <v>158</v>
      </c>
      <c r="D20" s="419">
        <v>4704.75</v>
      </c>
      <c r="E20" s="419"/>
      <c r="F20" s="419"/>
      <c r="G20" s="419"/>
      <c r="H20" s="419"/>
      <c r="I20" s="419">
        <v>3920.625</v>
      </c>
      <c r="J20" s="434"/>
      <c r="K20" s="419">
        <v>3136.5</v>
      </c>
      <c r="L20" s="420">
        <v>4.68</v>
      </c>
      <c r="M20" s="447"/>
      <c r="N20" s="420">
        <v>22018.23</v>
      </c>
      <c r="O20" s="420">
        <v>18348.525</v>
      </c>
      <c r="P20" s="447"/>
      <c r="Q20" s="420">
        <v>14678.82</v>
      </c>
      <c r="R20" s="420">
        <v>55045.575</v>
      </c>
      <c r="S20" s="421" t="s">
        <v>156</v>
      </c>
    </row>
    <row r="21" spans="2:19" ht="12.75" customHeight="1">
      <c r="B21" s="381" t="s">
        <v>181</v>
      </c>
      <c r="C21" s="382" t="s">
        <v>158</v>
      </c>
      <c r="D21" s="383">
        <v>7057.125</v>
      </c>
      <c r="E21" s="383"/>
      <c r="F21" s="383"/>
      <c r="G21" s="383"/>
      <c r="H21" s="383"/>
      <c r="I21" s="383">
        <v>5880.9375</v>
      </c>
      <c r="J21" s="434">
        <f>+'Plan compras anio 2 planificado'!S32</f>
        <v>5700</v>
      </c>
      <c r="K21" s="383">
        <v>4704.75</v>
      </c>
      <c r="L21" s="384">
        <v>3.25</v>
      </c>
      <c r="M21" s="447">
        <f>+'Plan compras anio 2 planificado'!N32</f>
        <v>3.3</v>
      </c>
      <c r="N21" s="384">
        <v>22935.65625</v>
      </c>
      <c r="O21" s="384">
        <v>19113.046875</v>
      </c>
      <c r="P21" s="448">
        <f aca="true" t="shared" si="0" ref="P21:P26">+J21*M21</f>
        <v>18810</v>
      </c>
      <c r="Q21" s="384">
        <v>15290.4375</v>
      </c>
      <c r="R21" s="384">
        <v>57339.140625</v>
      </c>
      <c r="S21" s="385" t="s">
        <v>156</v>
      </c>
    </row>
    <row r="22" spans="2:19" ht="12.75" customHeight="1">
      <c r="B22" s="381" t="s">
        <v>231</v>
      </c>
      <c r="C22" s="382" t="s">
        <v>158</v>
      </c>
      <c r="D22" s="383">
        <v>2750</v>
      </c>
      <c r="E22" s="383"/>
      <c r="F22" s="383"/>
      <c r="G22" s="383"/>
      <c r="H22" s="383"/>
      <c r="I22" s="383">
        <v>2640</v>
      </c>
      <c r="J22" s="434">
        <f>+'Plan compras anio 2 planificado'!S83</f>
        <v>2868</v>
      </c>
      <c r="K22" s="383">
        <v>2625</v>
      </c>
      <c r="L22" s="384">
        <v>36</v>
      </c>
      <c r="M22" s="447">
        <f>+'Plan compras anio 2 planificado'!N83</f>
        <v>36.75</v>
      </c>
      <c r="N22" s="384">
        <v>99000</v>
      </c>
      <c r="O22" s="384">
        <v>95040</v>
      </c>
      <c r="P22" s="447">
        <f t="shared" si="0"/>
        <v>105399</v>
      </c>
      <c r="Q22" s="384">
        <v>94500</v>
      </c>
      <c r="R22" s="384">
        <v>288540</v>
      </c>
      <c r="S22" s="385" t="s">
        <v>156</v>
      </c>
    </row>
    <row r="23" spans="2:19" ht="12.75" customHeight="1">
      <c r="B23" s="381" t="s">
        <v>232</v>
      </c>
      <c r="C23" s="382" t="s">
        <v>158</v>
      </c>
      <c r="D23" s="383">
        <v>2303.25</v>
      </c>
      <c r="E23" s="383"/>
      <c r="F23" s="383"/>
      <c r="G23" s="383"/>
      <c r="H23" s="383"/>
      <c r="I23" s="383">
        <v>2475.5</v>
      </c>
      <c r="J23" s="434">
        <f>+'Plan compras anio 2 planificado'!S84</f>
        <v>1450</v>
      </c>
      <c r="K23" s="383">
        <v>2647.75</v>
      </c>
      <c r="L23" s="384">
        <v>36</v>
      </c>
      <c r="M23" s="447">
        <f>+'Plan compras anio 2 planificado'!N84</f>
        <v>36.75</v>
      </c>
      <c r="N23" s="384">
        <v>82917</v>
      </c>
      <c r="O23" s="384">
        <v>89118</v>
      </c>
      <c r="P23" s="447">
        <f t="shared" si="0"/>
        <v>53287.5</v>
      </c>
      <c r="Q23" s="384">
        <v>95319</v>
      </c>
      <c r="R23" s="384">
        <v>267354</v>
      </c>
      <c r="S23" s="385" t="s">
        <v>156</v>
      </c>
    </row>
    <row r="24" spans="2:19" ht="12.75" customHeight="1">
      <c r="B24" s="381" t="s">
        <v>233</v>
      </c>
      <c r="C24" s="382" t="s">
        <v>158</v>
      </c>
      <c r="D24" s="383">
        <v>2303.25</v>
      </c>
      <c r="E24" s="383"/>
      <c r="F24" s="383"/>
      <c r="G24" s="383"/>
      <c r="H24" s="383"/>
      <c r="I24" s="383">
        <v>2475.5</v>
      </c>
      <c r="J24" s="434">
        <f>+'Plan compras anio 2 planificado'!S85</f>
        <v>1435</v>
      </c>
      <c r="K24" s="383">
        <v>2647.75</v>
      </c>
      <c r="L24" s="384">
        <v>36</v>
      </c>
      <c r="M24" s="447">
        <f>+'Plan compras anio 2 planificado'!N85</f>
        <v>36.75</v>
      </c>
      <c r="N24" s="384">
        <v>82917</v>
      </c>
      <c r="O24" s="384">
        <v>89118</v>
      </c>
      <c r="P24" s="447">
        <f t="shared" si="0"/>
        <v>52736.25</v>
      </c>
      <c r="Q24" s="384">
        <v>95319</v>
      </c>
      <c r="R24" s="384">
        <v>267354</v>
      </c>
      <c r="S24" s="385" t="s">
        <v>156</v>
      </c>
    </row>
    <row r="25" spans="2:19" ht="12.75" customHeight="1">
      <c r="B25" s="381" t="s">
        <v>205</v>
      </c>
      <c r="C25" s="382" t="s">
        <v>158</v>
      </c>
      <c r="D25" s="383">
        <v>341.333333333333</v>
      </c>
      <c r="E25" s="383"/>
      <c r="F25" s="383"/>
      <c r="G25" s="383"/>
      <c r="H25" s="383"/>
      <c r="I25" s="383">
        <v>273.066666666667</v>
      </c>
      <c r="J25" s="434">
        <f>+'Plan compras anio 2 planificado'!S53</f>
        <v>273</v>
      </c>
      <c r="K25" s="383">
        <v>204.8</v>
      </c>
      <c r="L25" s="384">
        <v>14.2083333333333</v>
      </c>
      <c r="M25" s="447">
        <f>+'Plan compras anio 2 planificado'!N53</f>
        <v>13.185860805860806</v>
      </c>
      <c r="N25" s="384">
        <v>4849.77777777778</v>
      </c>
      <c r="O25" s="384">
        <v>3879.82222222222</v>
      </c>
      <c r="P25" s="448">
        <f t="shared" si="0"/>
        <v>3599.74</v>
      </c>
      <c r="Q25" s="384">
        <v>2909.86666666667</v>
      </c>
      <c r="R25" s="384">
        <v>11639.4666666667</v>
      </c>
      <c r="S25" s="385" t="s">
        <v>156</v>
      </c>
    </row>
    <row r="26" spans="2:19" ht="12.75" customHeight="1">
      <c r="B26" s="381" t="s">
        <v>206</v>
      </c>
      <c r="C26" s="382" t="s">
        <v>158</v>
      </c>
      <c r="D26" s="383">
        <v>600</v>
      </c>
      <c r="E26" s="383"/>
      <c r="F26" s="383"/>
      <c r="G26" s="383"/>
      <c r="H26" s="383"/>
      <c r="I26" s="383">
        <v>480</v>
      </c>
      <c r="J26" s="434">
        <f>+'Plan compras anio 2 planificado'!S54</f>
        <v>480</v>
      </c>
      <c r="K26" s="383">
        <v>360</v>
      </c>
      <c r="L26" s="384">
        <v>11.29</v>
      </c>
      <c r="M26" s="447">
        <f>+'Plan compras anio 2 planificado'!N54</f>
        <v>11.29</v>
      </c>
      <c r="N26" s="384">
        <v>6774</v>
      </c>
      <c r="O26" s="384">
        <v>5419.2</v>
      </c>
      <c r="P26" s="448">
        <f t="shared" si="0"/>
        <v>5419.2</v>
      </c>
      <c r="Q26" s="384">
        <v>4064.4</v>
      </c>
      <c r="R26" s="384">
        <v>16257.6</v>
      </c>
      <c r="S26" s="385" t="s">
        <v>156</v>
      </c>
    </row>
    <row r="27" spans="2:19" s="416" customFormat="1" ht="12.75" customHeight="1">
      <c r="B27" s="417" t="s">
        <v>210</v>
      </c>
      <c r="C27" s="418" t="s">
        <v>158</v>
      </c>
      <c r="D27" s="419">
        <v>1465</v>
      </c>
      <c r="E27" s="419"/>
      <c r="F27" s="419"/>
      <c r="G27" s="419"/>
      <c r="H27" s="419"/>
      <c r="I27" s="419">
        <v>1172</v>
      </c>
      <c r="J27" s="434"/>
      <c r="K27" s="419">
        <v>879</v>
      </c>
      <c r="L27" s="420">
        <v>1.96625</v>
      </c>
      <c r="M27" s="447"/>
      <c r="N27" s="420">
        <v>2880.55625</v>
      </c>
      <c r="O27" s="420">
        <v>2304.445</v>
      </c>
      <c r="P27" s="447"/>
      <c r="Q27" s="420">
        <v>1728.33375</v>
      </c>
      <c r="R27" s="420">
        <v>6913.335</v>
      </c>
      <c r="S27" s="421" t="s">
        <v>156</v>
      </c>
    </row>
    <row r="28" spans="2:19" s="416" customFormat="1" ht="12.75" customHeight="1">
      <c r="B28" s="417" t="s">
        <v>211</v>
      </c>
      <c r="C28" s="418" t="s">
        <v>158</v>
      </c>
      <c r="D28" s="419">
        <v>375</v>
      </c>
      <c r="E28" s="419"/>
      <c r="F28" s="419"/>
      <c r="G28" s="419"/>
      <c r="H28" s="419"/>
      <c r="I28" s="419">
        <v>300</v>
      </c>
      <c r="J28" s="434"/>
      <c r="K28" s="419">
        <v>225</v>
      </c>
      <c r="L28" s="420">
        <v>12.7776</v>
      </c>
      <c r="M28" s="447"/>
      <c r="N28" s="420">
        <v>4791.6</v>
      </c>
      <c r="O28" s="420">
        <v>3833.28</v>
      </c>
      <c r="P28" s="447"/>
      <c r="Q28" s="420">
        <v>2874.96</v>
      </c>
      <c r="R28" s="420">
        <v>11499.84</v>
      </c>
      <c r="S28" s="421" t="s">
        <v>156</v>
      </c>
    </row>
    <row r="29" spans="2:19" s="416" customFormat="1" ht="12.75" customHeight="1">
      <c r="B29" s="417" t="s">
        <v>212</v>
      </c>
      <c r="C29" s="418" t="s">
        <v>158</v>
      </c>
      <c r="D29" s="419">
        <v>2026.25</v>
      </c>
      <c r="E29" s="419"/>
      <c r="F29" s="419"/>
      <c r="G29" s="419"/>
      <c r="H29" s="419"/>
      <c r="I29" s="419">
        <v>1621</v>
      </c>
      <c r="J29" s="434"/>
      <c r="K29" s="419">
        <v>1215.75</v>
      </c>
      <c r="L29" s="420">
        <v>5</v>
      </c>
      <c r="M29" s="447"/>
      <c r="N29" s="420">
        <v>10131.25</v>
      </c>
      <c r="O29" s="420">
        <v>8105</v>
      </c>
      <c r="P29" s="447"/>
      <c r="Q29" s="420">
        <v>6078.75</v>
      </c>
      <c r="R29" s="420">
        <v>24315</v>
      </c>
      <c r="S29" s="421" t="s">
        <v>156</v>
      </c>
    </row>
    <row r="30" spans="2:19" s="416" customFormat="1" ht="12.75" customHeight="1">
      <c r="B30" s="417" t="s">
        <v>213</v>
      </c>
      <c r="C30" s="418" t="s">
        <v>158</v>
      </c>
      <c r="D30" s="419">
        <v>2026.25</v>
      </c>
      <c r="E30" s="419"/>
      <c r="F30" s="419"/>
      <c r="G30" s="419"/>
      <c r="H30" s="419"/>
      <c r="I30" s="419">
        <v>1621</v>
      </c>
      <c r="J30" s="434"/>
      <c r="K30" s="419">
        <v>1215.75</v>
      </c>
      <c r="L30" s="420">
        <v>5</v>
      </c>
      <c r="M30" s="447"/>
      <c r="N30" s="420">
        <v>10131.25</v>
      </c>
      <c r="O30" s="420">
        <v>8105</v>
      </c>
      <c r="P30" s="447"/>
      <c r="Q30" s="420">
        <v>6078.75</v>
      </c>
      <c r="R30" s="420">
        <v>24315</v>
      </c>
      <c r="S30" s="421" t="s">
        <v>156</v>
      </c>
    </row>
    <row r="31" spans="2:19" s="416" customFormat="1" ht="12.75" customHeight="1">
      <c r="B31" s="417" t="s">
        <v>340</v>
      </c>
      <c r="C31" s="418" t="s">
        <v>341</v>
      </c>
      <c r="D31" s="419">
        <v>6</v>
      </c>
      <c r="E31" s="419"/>
      <c r="F31" s="419"/>
      <c r="G31" s="419"/>
      <c r="H31" s="419"/>
      <c r="I31" s="419">
        <v>5</v>
      </c>
      <c r="J31" s="434"/>
      <c r="K31" s="419">
        <v>4</v>
      </c>
      <c r="L31" s="420">
        <v>850</v>
      </c>
      <c r="M31" s="447"/>
      <c r="N31" s="420">
        <v>5100</v>
      </c>
      <c r="O31" s="420">
        <v>4250</v>
      </c>
      <c r="P31" s="447"/>
      <c r="Q31" s="420">
        <v>3400</v>
      </c>
      <c r="R31" s="420">
        <v>12750</v>
      </c>
      <c r="S31" s="421" t="s">
        <v>156</v>
      </c>
    </row>
    <row r="32" spans="2:19" s="416" customFormat="1" ht="12.75" customHeight="1">
      <c r="B32" s="417" t="s">
        <v>340</v>
      </c>
      <c r="C32" s="418" t="s">
        <v>341</v>
      </c>
      <c r="D32" s="419">
        <v>6</v>
      </c>
      <c r="E32" s="419"/>
      <c r="F32" s="419"/>
      <c r="G32" s="419"/>
      <c r="H32" s="419"/>
      <c r="I32" s="419">
        <v>5</v>
      </c>
      <c r="J32" s="434"/>
      <c r="K32" s="419">
        <v>4</v>
      </c>
      <c r="L32" s="420">
        <v>350</v>
      </c>
      <c r="M32" s="447"/>
      <c r="N32" s="420">
        <v>2100</v>
      </c>
      <c r="O32" s="420">
        <v>1750</v>
      </c>
      <c r="P32" s="447"/>
      <c r="Q32" s="420">
        <v>1400</v>
      </c>
      <c r="R32" s="420">
        <v>5250</v>
      </c>
      <c r="S32" s="421" t="s">
        <v>156</v>
      </c>
    </row>
    <row r="33" spans="2:19" s="416" customFormat="1" ht="12.75" customHeight="1">
      <c r="B33" s="417" t="s">
        <v>342</v>
      </c>
      <c r="C33" s="418" t="s">
        <v>248</v>
      </c>
      <c r="D33" s="419">
        <v>555.555555555556</v>
      </c>
      <c r="E33" s="419"/>
      <c r="F33" s="419"/>
      <c r="G33" s="419"/>
      <c r="H33" s="419"/>
      <c r="I33" s="419">
        <v>555.555555555556</v>
      </c>
      <c r="J33" s="434"/>
      <c r="K33" s="419">
        <v>555.555555555556</v>
      </c>
      <c r="L33" s="420">
        <v>9.98</v>
      </c>
      <c r="M33" s="447"/>
      <c r="N33" s="420">
        <v>5544.44444444444</v>
      </c>
      <c r="O33" s="420">
        <v>5544.44444444444</v>
      </c>
      <c r="P33" s="447"/>
      <c r="Q33" s="420">
        <v>5544.44444444444</v>
      </c>
      <c r="R33" s="420">
        <v>16633.3333333333</v>
      </c>
      <c r="S33" s="421" t="s">
        <v>156</v>
      </c>
    </row>
    <row r="34" spans="2:19" ht="12.75" customHeight="1">
      <c r="B34" s="387" t="s">
        <v>271</v>
      </c>
      <c r="C34" s="388" t="s">
        <v>272</v>
      </c>
      <c r="D34" s="389">
        <v>15360</v>
      </c>
      <c r="E34" s="389"/>
      <c r="F34" s="389"/>
      <c r="G34" s="389"/>
      <c r="H34" s="389"/>
      <c r="I34" s="389">
        <v>13440</v>
      </c>
      <c r="J34" s="435">
        <f>+'Plan compras anio 2 planificado'!S130</f>
        <v>16177.777777777777</v>
      </c>
      <c r="K34" s="389">
        <v>11520</v>
      </c>
      <c r="L34" s="390">
        <v>3.25</v>
      </c>
      <c r="M34" s="449">
        <f>+P34/J34</f>
        <v>2.7</v>
      </c>
      <c r="N34" s="390">
        <v>49920</v>
      </c>
      <c r="O34" s="390">
        <v>43680</v>
      </c>
      <c r="P34" s="449">
        <f>+'Plan compras anio 2 planificado'!X130</f>
        <v>43680</v>
      </c>
      <c r="Q34" s="390">
        <v>37440</v>
      </c>
      <c r="R34" s="390">
        <v>131040</v>
      </c>
      <c r="S34" s="385" t="s">
        <v>156</v>
      </c>
    </row>
    <row r="35" spans="2:19" ht="12.75" customHeight="1">
      <c r="B35" s="391" t="s">
        <v>343</v>
      </c>
      <c r="C35" s="392"/>
      <c r="D35" s="393"/>
      <c r="E35" s="393"/>
      <c r="F35" s="393"/>
      <c r="G35" s="393"/>
      <c r="H35" s="393"/>
      <c r="I35" s="393"/>
      <c r="J35" s="436"/>
      <c r="K35" s="393"/>
      <c r="L35" s="394"/>
      <c r="M35" s="458"/>
      <c r="N35" s="395">
        <f>SUM(N6:N34)</f>
        <v>2372355.0304964464</v>
      </c>
      <c r="O35" s="395">
        <f>SUM(O6:O34)</f>
        <v>2185726.127751044</v>
      </c>
      <c r="P35" s="450">
        <f>SUM(P6:P34)</f>
        <v>1581207.1499999997</v>
      </c>
      <c r="Q35" s="395">
        <f>SUM(Q6:Q34)</f>
        <v>2022593.7369800669</v>
      </c>
      <c r="R35" s="395">
        <f>SUM(R6:R34)</f>
        <v>6765307.095227552</v>
      </c>
      <c r="S35" s="396"/>
    </row>
    <row r="36" spans="2:20" ht="12.75" customHeight="1">
      <c r="B36" s="397"/>
      <c r="C36" s="398"/>
      <c r="D36" s="399"/>
      <c r="E36" s="399"/>
      <c r="F36" s="399"/>
      <c r="G36" s="399"/>
      <c r="H36" s="399"/>
      <c r="I36" s="399"/>
      <c r="J36" s="437"/>
      <c r="K36" s="399"/>
      <c r="L36" s="400"/>
      <c r="M36" s="451"/>
      <c r="N36" s="400"/>
      <c r="O36" s="400"/>
      <c r="P36" s="451"/>
      <c r="Q36" s="400"/>
      <c r="R36" s="400"/>
      <c r="S36" s="401"/>
      <c r="T36" s="386"/>
    </row>
    <row r="37" spans="2:19" ht="12.75" customHeight="1">
      <c r="B37" s="402" t="s">
        <v>344</v>
      </c>
      <c r="C37" s="403"/>
      <c r="D37" s="404"/>
      <c r="E37" s="404"/>
      <c r="F37" s="404"/>
      <c r="G37" s="404"/>
      <c r="H37" s="404"/>
      <c r="I37" s="404"/>
      <c r="J37" s="438"/>
      <c r="K37" s="404"/>
      <c r="L37" s="405"/>
      <c r="M37" s="452"/>
      <c r="N37" s="405"/>
      <c r="O37" s="405"/>
      <c r="P37" s="452"/>
      <c r="Q37" s="405"/>
      <c r="R37" s="405"/>
      <c r="S37" s="396"/>
    </row>
    <row r="38" spans="2:19" s="409" customFormat="1" ht="24" customHeight="1">
      <c r="B38" s="406" t="s">
        <v>238</v>
      </c>
      <c r="C38" s="407" t="s">
        <v>345</v>
      </c>
      <c r="D38" s="408">
        <v>18068</v>
      </c>
      <c r="E38" s="504">
        <f>+D38/D40</f>
        <v>0.10750410548111479</v>
      </c>
      <c r="F38" s="505">
        <f>+F40*E38</f>
        <v>12094.211866625414</v>
      </c>
      <c r="G38" s="408">
        <f>+G40*E38</f>
        <v>2835.7164183544755</v>
      </c>
      <c r="H38" s="408">
        <f>+H40*E38</f>
        <v>2828.325511102649</v>
      </c>
      <c r="I38" s="408">
        <v>18920</v>
      </c>
      <c r="J38" s="439">
        <f>+'Plan compras anio 2 planificado'!S89</f>
        <v>18897.516129032258</v>
      </c>
      <c r="K38" s="408">
        <v>19973</v>
      </c>
      <c r="L38" s="408">
        <v>0.31</v>
      </c>
      <c r="M38" s="454">
        <f>+'Plan compras anio 2 planificado'!N89</f>
        <v>0.31</v>
      </c>
      <c r="N38" s="408">
        <v>5601.08</v>
      </c>
      <c r="O38" s="408">
        <v>5865.2</v>
      </c>
      <c r="P38" s="453">
        <f>+'Plan compras anio 2 planificado'!X89</f>
        <v>5858.23</v>
      </c>
      <c r="Q38" s="408">
        <v>6191.63</v>
      </c>
      <c r="R38" s="408">
        <v>17657.91</v>
      </c>
      <c r="S38" s="385" t="s">
        <v>156</v>
      </c>
    </row>
    <row r="39" spans="2:19" s="409" customFormat="1" ht="24" customHeight="1">
      <c r="B39" s="406"/>
      <c r="C39" s="407"/>
      <c r="D39" s="408">
        <v>150000</v>
      </c>
      <c r="E39" s="504">
        <f>+D39/D40</f>
        <v>0.8924958945188852</v>
      </c>
      <c r="F39" s="505">
        <f>+F40*E39</f>
        <v>100405.78813337459</v>
      </c>
      <c r="G39" s="408">
        <f>+G40*E39</f>
        <v>23542.033581645526</v>
      </c>
      <c r="H39" s="408">
        <f>+H40*E39</f>
        <v>23480.67448889735</v>
      </c>
      <c r="I39" s="408"/>
      <c r="J39" s="439"/>
      <c r="K39" s="408"/>
      <c r="L39" s="408"/>
      <c r="M39" s="454"/>
      <c r="N39" s="408"/>
      <c r="O39" s="408"/>
      <c r="P39" s="453"/>
      <c r="Q39" s="408"/>
      <c r="R39" s="408"/>
      <c r="S39" s="385"/>
    </row>
    <row r="40" spans="2:19" s="409" customFormat="1" ht="24" customHeight="1">
      <c r="B40" s="406"/>
      <c r="C40" s="407"/>
      <c r="D40" s="408">
        <f>SUM(D38:D39)</f>
        <v>168068</v>
      </c>
      <c r="E40" s="408"/>
      <c r="F40" s="408">
        <v>112500</v>
      </c>
      <c r="G40" s="408">
        <v>26377.75</v>
      </c>
      <c r="H40" s="408">
        <v>26309</v>
      </c>
      <c r="I40" s="408"/>
      <c r="J40" s="439"/>
      <c r="K40" s="408"/>
      <c r="L40" s="408"/>
      <c r="M40" s="454"/>
      <c r="N40" s="408"/>
      <c r="O40" s="408"/>
      <c r="P40" s="453"/>
      <c r="Q40" s="408"/>
      <c r="R40" s="408"/>
      <c r="S40" s="385"/>
    </row>
    <row r="41" spans="2:19" ht="12.75" customHeight="1">
      <c r="B41" s="381" t="s">
        <v>240</v>
      </c>
      <c r="C41" s="382" t="s">
        <v>241</v>
      </c>
      <c r="D41" s="243">
        <v>18068</v>
      </c>
      <c r="E41" s="502">
        <f>+D41/D45</f>
        <v>0.41318118411123056</v>
      </c>
      <c r="F41" s="383">
        <f>+F45*E41</f>
        <v>21278.830981728373</v>
      </c>
      <c r="G41" s="383">
        <f>+G45*E41</f>
        <v>8270.647762354502</v>
      </c>
      <c r="H41" s="383">
        <f>+H45*E41</f>
        <v>463.5892885728007</v>
      </c>
      <c r="I41" s="243">
        <v>18920</v>
      </c>
      <c r="J41" s="434">
        <f>+'Plan compras anio 2 planificado'!S91</f>
        <v>18920</v>
      </c>
      <c r="K41" s="243">
        <v>19973</v>
      </c>
      <c r="L41" s="243">
        <v>0.59</v>
      </c>
      <c r="M41" s="447">
        <f>+'Plan compras anio 2 planificado'!N91</f>
        <v>0.59</v>
      </c>
      <c r="N41" s="243">
        <v>10660.12</v>
      </c>
      <c r="O41" s="243">
        <v>11162.8</v>
      </c>
      <c r="P41" s="453">
        <f>+'Plan compras anio 2 planificado'!X91</f>
        <v>11162.8</v>
      </c>
      <c r="Q41" s="243">
        <v>11784.07</v>
      </c>
      <c r="R41" s="243">
        <v>33606.99</v>
      </c>
      <c r="S41" s="385" t="s">
        <v>156</v>
      </c>
    </row>
    <row r="42" spans="2:19" ht="12.75" customHeight="1">
      <c r="B42" s="381" t="s">
        <v>242</v>
      </c>
      <c r="C42" s="382" t="s">
        <v>197</v>
      </c>
      <c r="D42" s="243">
        <v>18068</v>
      </c>
      <c r="E42" s="502">
        <f>+D42/D45</f>
        <v>0.41318118411123056</v>
      </c>
      <c r="F42" s="383">
        <f>+F45*E42</f>
        <v>21278.830981728373</v>
      </c>
      <c r="G42" s="383">
        <f>+G45*E42</f>
        <v>8270.647762354502</v>
      </c>
      <c r="H42" s="383">
        <f>+H45*E42</f>
        <v>463.5892885728007</v>
      </c>
      <c r="I42" s="243">
        <v>18920</v>
      </c>
      <c r="J42" s="434">
        <f>+'Plan compras anio 2 planificado'!S93</f>
        <v>18197.338206475346</v>
      </c>
      <c r="K42" s="243">
        <v>19973</v>
      </c>
      <c r="L42" s="243">
        <v>0.4</v>
      </c>
      <c r="M42" s="447">
        <f>+'Plan compras anio 2 planificado'!N93</f>
        <v>0.415885</v>
      </c>
      <c r="N42" s="243">
        <v>7227.2</v>
      </c>
      <c r="O42" s="243">
        <v>7568</v>
      </c>
      <c r="P42" s="453">
        <f>+'Plan compras anio 2 planificado'!X93</f>
        <v>7568</v>
      </c>
      <c r="Q42" s="243">
        <v>7989.2</v>
      </c>
      <c r="R42" s="243">
        <v>22784.4</v>
      </c>
      <c r="S42" s="385" t="s">
        <v>156</v>
      </c>
    </row>
    <row r="43" spans="2:19" ht="12.75" customHeight="1">
      <c r="B43" s="381" t="s">
        <v>243</v>
      </c>
      <c r="C43" s="382" t="s">
        <v>241</v>
      </c>
      <c r="D43" s="243">
        <v>2318</v>
      </c>
      <c r="E43" s="502">
        <f>+D43/D45</f>
        <v>0.053008301127398294</v>
      </c>
      <c r="F43" s="383">
        <f>+F45*E43</f>
        <v>2729.9275080610123</v>
      </c>
      <c r="G43" s="383">
        <f>+G45*E43</f>
        <v>1061.0671636671316</v>
      </c>
      <c r="H43" s="383">
        <f>+H45*E43</f>
        <v>59.47531386494089</v>
      </c>
      <c r="I43" s="243">
        <v>2215</v>
      </c>
      <c r="J43" s="434">
        <f>+'Plan compras anio 2 planificado'!S95</f>
        <v>2215</v>
      </c>
      <c r="K43" s="243">
        <v>2111</v>
      </c>
      <c r="L43" s="243">
        <v>0.59</v>
      </c>
      <c r="M43" s="447">
        <f>+'Plan compras anio 2 planificado'!N95</f>
        <v>0.59</v>
      </c>
      <c r="N43" s="243">
        <v>1367.62</v>
      </c>
      <c r="O43" s="243">
        <v>1306.85</v>
      </c>
      <c r="P43" s="453">
        <f>+'Plan compras anio 2 planificado'!X95</f>
        <v>1306.85</v>
      </c>
      <c r="Q43" s="243">
        <v>1245.49</v>
      </c>
      <c r="R43" s="243">
        <v>3919.96</v>
      </c>
      <c r="S43" s="385" t="s">
        <v>156</v>
      </c>
    </row>
    <row r="44" spans="2:19" ht="12.75" customHeight="1">
      <c r="B44" s="381" t="s">
        <v>244</v>
      </c>
      <c r="C44" s="382" t="s">
        <v>241</v>
      </c>
      <c r="D44" s="243">
        <v>5275</v>
      </c>
      <c r="E44" s="502">
        <f>+D44/D45</f>
        <v>0.12062933065014064</v>
      </c>
      <c r="F44" s="383">
        <f>+F45*E44</f>
        <v>6212.4105284822435</v>
      </c>
      <c r="G44" s="383">
        <f>+G45*E44</f>
        <v>2414.637311623865</v>
      </c>
      <c r="H44" s="383">
        <f>+H45*E44</f>
        <v>135.3461089894578</v>
      </c>
      <c r="I44" s="243">
        <v>5618</v>
      </c>
      <c r="J44" s="434">
        <f>+'Plan compras anio 2 planificado'!S97</f>
        <v>5618</v>
      </c>
      <c r="K44" s="243">
        <v>5962</v>
      </c>
      <c r="L44" s="243">
        <v>0.59</v>
      </c>
      <c r="M44" s="447">
        <f>+'Plan compras anio 2 planificado'!N95</f>
        <v>0.59</v>
      </c>
      <c r="N44" s="243">
        <v>3112.25</v>
      </c>
      <c r="O44" s="243">
        <v>3314.62</v>
      </c>
      <c r="P44" s="453">
        <f>+'Plan compras anio 2 planificado'!X97</f>
        <v>3314.62</v>
      </c>
      <c r="Q44" s="243">
        <v>3517.58</v>
      </c>
      <c r="R44" s="243">
        <v>9944.45</v>
      </c>
      <c r="S44" s="385" t="s">
        <v>156</v>
      </c>
    </row>
    <row r="45" spans="2:19" ht="12.75" customHeight="1">
      <c r="B45" s="381"/>
      <c r="C45" s="382"/>
      <c r="D45" s="243">
        <f>SUM(D41:D44)</f>
        <v>43729</v>
      </c>
      <c r="E45" s="243"/>
      <c r="F45" s="243">
        <v>51500</v>
      </c>
      <c r="G45" s="243">
        <f>18895+1122</f>
        <v>20017</v>
      </c>
      <c r="H45" s="243">
        <v>1122</v>
      </c>
      <c r="I45" s="243"/>
      <c r="J45" s="434"/>
      <c r="K45" s="243"/>
      <c r="L45" s="243"/>
      <c r="M45" s="447"/>
      <c r="N45" s="243"/>
      <c r="O45" s="243"/>
      <c r="P45" s="453"/>
      <c r="Q45" s="243"/>
      <c r="R45" s="243"/>
      <c r="S45" s="385"/>
    </row>
    <row r="46" spans="2:19" ht="12.75" customHeight="1">
      <c r="B46" s="381" t="s">
        <v>245</v>
      </c>
      <c r="C46" s="382" t="s">
        <v>170</v>
      </c>
      <c r="D46" s="243">
        <v>226</v>
      </c>
      <c r="E46" s="243"/>
      <c r="F46" s="243"/>
      <c r="G46" s="243"/>
      <c r="H46" s="243"/>
      <c r="I46" s="243">
        <v>181</v>
      </c>
      <c r="J46" s="434">
        <f>+'Plan compras anio 2 planificado'!S99</f>
        <v>181</v>
      </c>
      <c r="K46" s="243">
        <v>137</v>
      </c>
      <c r="L46" s="243">
        <v>110</v>
      </c>
      <c r="M46" s="447">
        <f>+'Plan compras anio 2 planificado'!N99</f>
        <v>110</v>
      </c>
      <c r="N46" s="243">
        <v>24860</v>
      </c>
      <c r="O46" s="243">
        <v>19910</v>
      </c>
      <c r="P46" s="453">
        <f>+'Plan compras anio 2 planificado'!X99</f>
        <v>19910</v>
      </c>
      <c r="Q46" s="243">
        <v>15070</v>
      </c>
      <c r="R46" s="243">
        <v>59840</v>
      </c>
      <c r="S46" s="385" t="s">
        <v>156</v>
      </c>
    </row>
    <row r="47" spans="2:19" s="196" customFormat="1" ht="25.5" customHeight="1">
      <c r="B47" s="417" t="s">
        <v>249</v>
      </c>
      <c r="C47" s="422" t="s">
        <v>346</v>
      </c>
      <c r="D47" s="423">
        <v>4</v>
      </c>
      <c r="E47" s="423"/>
      <c r="F47" s="423"/>
      <c r="G47" s="423"/>
      <c r="H47" s="423"/>
      <c r="I47" s="423">
        <v>4</v>
      </c>
      <c r="J47" s="440"/>
      <c r="K47" s="423">
        <v>4</v>
      </c>
      <c r="L47" s="423">
        <v>1434</v>
      </c>
      <c r="M47" s="454"/>
      <c r="N47" s="423">
        <v>5736</v>
      </c>
      <c r="O47" s="423">
        <v>5736</v>
      </c>
      <c r="P47" s="454">
        <f>+K47*M47</f>
        <v>0</v>
      </c>
      <c r="Q47" s="423">
        <v>5736</v>
      </c>
      <c r="R47" s="423">
        <v>17208</v>
      </c>
      <c r="S47" s="421" t="s">
        <v>156</v>
      </c>
    </row>
    <row r="48" spans="2:19" ht="12.75" customHeight="1">
      <c r="B48" s="406" t="s">
        <v>264</v>
      </c>
      <c r="C48" s="382" t="s">
        <v>217</v>
      </c>
      <c r="D48" s="243">
        <v>50000</v>
      </c>
      <c r="E48" s="243"/>
      <c r="F48" s="243"/>
      <c r="G48" s="243"/>
      <c r="H48" s="243"/>
      <c r="I48" s="243">
        <v>50000</v>
      </c>
      <c r="J48" s="434">
        <f>+'Plan compras anio 2 planificado'!S119</f>
        <v>49920</v>
      </c>
      <c r="K48" s="243">
        <v>0</v>
      </c>
      <c r="L48" s="243">
        <v>0.35</v>
      </c>
      <c r="M48" s="447">
        <f>+'Plan compras anio 2 planificado'!N119</f>
        <v>0.32106590544871794</v>
      </c>
      <c r="N48" s="243">
        <v>17500</v>
      </c>
      <c r="O48" s="243">
        <v>17500</v>
      </c>
      <c r="P48" s="454">
        <f>+K48*M48</f>
        <v>0</v>
      </c>
      <c r="Q48" s="243">
        <v>17500</v>
      </c>
      <c r="R48" s="243">
        <v>52500</v>
      </c>
      <c r="S48" s="385" t="s">
        <v>156</v>
      </c>
    </row>
    <row r="49" spans="2:19" ht="12.75" customHeight="1">
      <c r="B49" s="406" t="s">
        <v>265</v>
      </c>
      <c r="C49" s="382" t="s">
        <v>217</v>
      </c>
      <c r="D49" s="243">
        <v>5000</v>
      </c>
      <c r="E49" s="243"/>
      <c r="F49" s="243"/>
      <c r="G49" s="243"/>
      <c r="H49" s="243"/>
      <c r="I49" s="243">
        <v>5000</v>
      </c>
      <c r="J49" s="434">
        <f>+'Plan compras anio 2 planificado'!S121</f>
        <v>4809</v>
      </c>
      <c r="K49" s="243">
        <v>4809</v>
      </c>
      <c r="L49" s="243">
        <v>2.52</v>
      </c>
      <c r="M49" s="447">
        <f>+'Plan compras anio 2 planificado'!N121</f>
        <v>0.9699999999999999</v>
      </c>
      <c r="N49" s="243">
        <v>12600</v>
      </c>
      <c r="O49" s="243">
        <v>12600</v>
      </c>
      <c r="P49" s="453">
        <f>+K49*M49</f>
        <v>4664.73</v>
      </c>
      <c r="Q49" s="243">
        <v>12600</v>
      </c>
      <c r="R49" s="243">
        <v>37800</v>
      </c>
      <c r="S49" s="385" t="s">
        <v>156</v>
      </c>
    </row>
    <row r="50" spans="2:19" s="428" customFormat="1" ht="12.75" customHeight="1">
      <c r="B50" s="424" t="s">
        <v>266</v>
      </c>
      <c r="C50" s="425" t="s">
        <v>217</v>
      </c>
      <c r="D50" s="426">
        <v>700</v>
      </c>
      <c r="E50" s="426"/>
      <c r="F50" s="426"/>
      <c r="G50" s="426"/>
      <c r="H50" s="426"/>
      <c r="I50" s="426">
        <v>700</v>
      </c>
      <c r="J50" s="441"/>
      <c r="K50" s="426">
        <v>0</v>
      </c>
      <c r="L50" s="426">
        <v>2</v>
      </c>
      <c r="M50" s="448"/>
      <c r="N50" s="426">
        <v>1400</v>
      </c>
      <c r="O50" s="426">
        <v>1400</v>
      </c>
      <c r="P50" s="453">
        <f>+K50*M50</f>
        <v>0</v>
      </c>
      <c r="Q50" s="426"/>
      <c r="R50" s="426">
        <v>2800</v>
      </c>
      <c r="S50" s="427" t="s">
        <v>156</v>
      </c>
    </row>
    <row r="51" spans="2:19" ht="12.75" customHeight="1">
      <c r="B51" s="381" t="s">
        <v>280</v>
      </c>
      <c r="C51" s="382" t="s">
        <v>217</v>
      </c>
      <c r="D51" s="243">
        <v>120</v>
      </c>
      <c r="E51" s="243"/>
      <c r="F51" s="243"/>
      <c r="G51" s="243"/>
      <c r="H51" s="243"/>
      <c r="I51" s="243">
        <v>120</v>
      </c>
      <c r="J51" s="434">
        <f>+'Plan compras anio 2 planificado'!S138</f>
        <v>120</v>
      </c>
      <c r="K51" s="243">
        <v>120</v>
      </c>
      <c r="L51" s="243">
        <v>5</v>
      </c>
      <c r="M51" s="447">
        <f>+'Plan compras anio 2 planificado'!N138</f>
        <v>5</v>
      </c>
      <c r="N51" s="243">
        <v>600</v>
      </c>
      <c r="O51" s="243">
        <v>600</v>
      </c>
      <c r="P51" s="453">
        <f>+K51*M51</f>
        <v>600</v>
      </c>
      <c r="Q51" s="243">
        <v>600</v>
      </c>
      <c r="R51" s="243">
        <v>1800</v>
      </c>
      <c r="S51" s="385" t="s">
        <v>156</v>
      </c>
    </row>
    <row r="52" spans="2:19" ht="12.75" customHeight="1">
      <c r="B52" s="410" t="s">
        <v>347</v>
      </c>
      <c r="C52" s="403"/>
      <c r="D52" s="411"/>
      <c r="E52" s="411"/>
      <c r="F52" s="411"/>
      <c r="G52" s="411"/>
      <c r="H52" s="411"/>
      <c r="I52" s="411"/>
      <c r="J52" s="442"/>
      <c r="K52" s="411"/>
      <c r="L52" s="411"/>
      <c r="M52" s="452"/>
      <c r="N52" s="412">
        <f>SUM(N38:N51)</f>
        <v>90664.27</v>
      </c>
      <c r="O52" s="412">
        <f>SUM(O38:O51)</f>
        <v>86963.47</v>
      </c>
      <c r="P52" s="455">
        <f>SUM(P38:P51)</f>
        <v>54385.229999999996</v>
      </c>
      <c r="Q52" s="412">
        <f>SUM(Q38:Q51)</f>
        <v>82233.97</v>
      </c>
      <c r="R52" s="412">
        <f>SUM(R38:R51)</f>
        <v>259861.71</v>
      </c>
      <c r="S52" s="396"/>
    </row>
    <row r="53" spans="2:19" ht="12.75" customHeight="1">
      <c r="B53" s="381"/>
      <c r="C53" s="382"/>
      <c r="D53" s="243"/>
      <c r="E53" s="243"/>
      <c r="F53" s="243"/>
      <c r="G53" s="243"/>
      <c r="H53" s="243"/>
      <c r="I53" s="243"/>
      <c r="J53" s="443"/>
      <c r="K53" s="243"/>
      <c r="L53" s="243"/>
      <c r="M53" s="447"/>
      <c r="N53" s="243"/>
      <c r="O53" s="243"/>
      <c r="P53" s="447"/>
      <c r="Q53" s="243"/>
      <c r="R53" s="243"/>
      <c r="S53" s="385"/>
    </row>
    <row r="54" spans="2:19" ht="12.75" customHeight="1">
      <c r="B54" s="391" t="s">
        <v>348</v>
      </c>
      <c r="C54" s="413"/>
      <c r="D54" s="414"/>
      <c r="E54" s="414"/>
      <c r="F54" s="414"/>
      <c r="G54" s="414"/>
      <c r="H54" s="414"/>
      <c r="I54" s="414"/>
      <c r="J54" s="444"/>
      <c r="K54" s="414"/>
      <c r="L54" s="414"/>
      <c r="M54" s="459"/>
      <c r="N54" s="395">
        <f>SUM(N52,N35)</f>
        <v>2463019.3004964464</v>
      </c>
      <c r="O54" s="395">
        <f>SUM(O52,O35)</f>
        <v>2272689.597751044</v>
      </c>
      <c r="P54" s="450">
        <f>SUM(P52,P35)</f>
        <v>1635592.3799999997</v>
      </c>
      <c r="Q54" s="395">
        <f>SUM(Q52,Q35)</f>
        <v>2104827.706980067</v>
      </c>
      <c r="R54" s="395">
        <f>SUM(R52,R35)</f>
        <v>7025168.805227552</v>
      </c>
      <c r="S54" s="415"/>
    </row>
    <row r="56" spans="16:21" ht="12.75" customHeight="1">
      <c r="P56" s="445">
        <f>+'Plan compras anio 2 planificado'!U158</f>
        <v>3968830.475078901</v>
      </c>
      <c r="S56" s="431" t="e">
        <f>+P54+#REF!</f>
        <v>#REF!</v>
      </c>
      <c r="T56" s="91">
        <f>+'Plan compras anio 2 planificado'!U152+'Plan compras anio 2 planificado'!V152+'Plan compras anio 2 planificado'!X152</f>
        <v>2245718.055078901</v>
      </c>
      <c r="U56" s="429" t="e">
        <f>+S56-T56</f>
        <v>#REF!</v>
      </c>
    </row>
    <row r="57" spans="15:16" ht="12.75" customHeight="1">
      <c r="O57" s="386"/>
      <c r="P57" s="445">
        <f>+P54-P56</f>
        <v>-2333238.0950789014</v>
      </c>
    </row>
    <row r="58" spans="14:18" ht="12.75" customHeight="1">
      <c r="N58" s="386"/>
      <c r="O58" s="386"/>
      <c r="Q58" s="386"/>
      <c r="R58" s="386"/>
    </row>
    <row r="61" ht="12.75" customHeight="1">
      <c r="O61" s="386"/>
    </row>
    <row r="62" ht="12" customHeight="1"/>
  </sheetData>
  <sheetProtection selectLockedCells="1" selectUnlockedCells="1"/>
  <mergeCells count="7">
    <mergeCell ref="S4:S5"/>
    <mergeCell ref="B4:B5"/>
    <mergeCell ref="C4:C5"/>
    <mergeCell ref="D4:K4"/>
    <mergeCell ref="L4:L5"/>
    <mergeCell ref="N4:Q4"/>
    <mergeCell ref="R4:R5"/>
  </mergeCells>
  <printOptions/>
  <pageMargins left="0.7" right="0.7" top="0.75" bottom="0.75" header="0.5118055555555555" footer="0.5118055555555555"/>
  <pageSetup fitToHeight="0" fitToWidth="1" horizontalDpi="300" verticalDpi="300" orientation="landscape" paperSize="8" scale="68"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CL1080"/>
  <sheetViews>
    <sheetView zoomScalePageLayoutView="0" workbookViewId="0" topLeftCell="A1">
      <pane ySplit="11" topLeftCell="A152" activePane="bottomLeft" state="frozen"/>
      <selection pane="topLeft" activeCell="C1" sqref="C1"/>
      <selection pane="bottomLeft" activeCell="J15" sqref="J15"/>
    </sheetView>
  </sheetViews>
  <sheetFormatPr defaultColWidth="10.00390625" defaultRowHeight="14.25"/>
  <cols>
    <col min="1" max="1" width="16.875" style="91" customWidth="1"/>
    <col min="2" max="2" width="27.00390625" style="91" customWidth="1"/>
    <col min="3" max="3" width="13.125" style="81" customWidth="1"/>
    <col min="4" max="4" width="54.125" style="82" customWidth="1"/>
    <col min="5" max="5" width="18.75390625" style="82" hidden="1" customWidth="1"/>
    <col min="6" max="7" width="0" style="82" hidden="1" customWidth="1"/>
    <col min="8" max="8" width="12.125" style="83" customWidth="1"/>
    <col min="9" max="9" width="10.00390625" style="84" customWidth="1"/>
    <col min="10" max="10" width="12.50390625" style="85" customWidth="1"/>
    <col min="11" max="11" width="9.50390625" style="86" customWidth="1"/>
    <col min="12" max="12" width="12.50390625" style="87" customWidth="1"/>
    <col min="13" max="13" width="4.875" style="87" customWidth="1"/>
    <col min="14" max="14" width="14.375" style="473" customWidth="1"/>
    <col min="15" max="15" width="22.125" style="88" customWidth="1"/>
    <col min="16" max="16" width="18.75390625" style="87" hidden="1" customWidth="1"/>
    <col min="17" max="18" width="20.375" style="89" hidden="1" customWidth="1"/>
    <col min="19" max="24" width="20.375" style="472" customWidth="1"/>
    <col min="25" max="25" width="20.375" style="489" customWidth="1"/>
    <col min="26" max="30" width="20.375" style="90" customWidth="1"/>
    <col min="31" max="31" width="76.125" style="82" hidden="1" customWidth="1"/>
    <col min="32" max="40" width="10.00390625" style="82" hidden="1" customWidth="1"/>
    <col min="41" max="43" width="10.00390625" style="91" hidden="1" customWidth="1"/>
    <col min="44" max="44" width="4.25390625" style="91" hidden="1" customWidth="1"/>
    <col min="45" max="45" width="11.25390625" style="91" bestFit="1" customWidth="1"/>
    <col min="46" max="46" width="11.50390625" style="91" bestFit="1" customWidth="1"/>
    <col min="47" max="16384" width="10.00390625" style="91" customWidth="1"/>
  </cols>
  <sheetData>
    <row r="1" spans="19:24" ht="14.25" hidden="1">
      <c r="S1" s="460"/>
      <c r="T1" s="460"/>
      <c r="U1" s="460"/>
      <c r="V1" s="460"/>
      <c r="W1" s="460"/>
      <c r="X1" s="460"/>
    </row>
    <row r="2" spans="19:24" ht="14.25" hidden="1">
      <c r="S2" s="460"/>
      <c r="T2" s="460"/>
      <c r="U2" s="460"/>
      <c r="V2" s="460"/>
      <c r="W2" s="460"/>
      <c r="X2" s="460"/>
    </row>
    <row r="3" spans="19:24" ht="14.25" hidden="1">
      <c r="S3" s="460"/>
      <c r="T3" s="460"/>
      <c r="U3" s="460"/>
      <c r="V3" s="460"/>
      <c r="W3" s="460"/>
      <c r="X3" s="460"/>
    </row>
    <row r="4" spans="19:24" ht="14.25" hidden="1">
      <c r="S4" s="460"/>
      <c r="T4" s="460"/>
      <c r="U4" s="460"/>
      <c r="V4" s="460"/>
      <c r="W4" s="460"/>
      <c r="X4" s="460"/>
    </row>
    <row r="5" spans="19:24" ht="14.25" hidden="1">
      <c r="S5" s="460"/>
      <c r="T5" s="460"/>
      <c r="U5" s="460"/>
      <c r="V5" s="460"/>
      <c r="W5" s="460"/>
      <c r="X5" s="460"/>
    </row>
    <row r="6" spans="1:24" ht="27" customHeight="1">
      <c r="A6" s="80" t="s">
        <v>117</v>
      </c>
      <c r="B6" s="80"/>
      <c r="S6" s="460"/>
      <c r="T6" s="460"/>
      <c r="U6" s="460"/>
      <c r="V6" s="460"/>
      <c r="W6" s="460"/>
      <c r="X6" s="460"/>
    </row>
    <row r="7" spans="19:24" ht="14.25">
      <c r="S7" s="460"/>
      <c r="T7" s="460"/>
      <c r="U7" s="460"/>
      <c r="V7" s="460"/>
      <c r="W7" s="460"/>
      <c r="X7" s="460"/>
    </row>
    <row r="8" spans="19:24" ht="15" thickBot="1">
      <c r="S8" s="460"/>
      <c r="T8" s="460"/>
      <c r="U8" s="460"/>
      <c r="V8" s="460"/>
      <c r="W8" s="460"/>
      <c r="X8" s="460"/>
    </row>
    <row r="9" spans="1:45" s="93" customFormat="1" ht="27.75" customHeight="1" thickBot="1">
      <c r="A9" s="666" t="s">
        <v>118</v>
      </c>
      <c r="B9" s="666" t="s">
        <v>119</v>
      </c>
      <c r="C9" s="667" t="s">
        <v>120</v>
      </c>
      <c r="D9" s="660" t="s">
        <v>121</v>
      </c>
      <c r="E9" s="660" t="s">
        <v>122</v>
      </c>
      <c r="F9" s="660" t="s">
        <v>123</v>
      </c>
      <c r="G9" s="660"/>
      <c r="H9" s="660"/>
      <c r="I9" s="660"/>
      <c r="J9" s="660"/>
      <c r="K9" s="661" t="s">
        <v>124</v>
      </c>
      <c r="L9" s="661"/>
      <c r="M9" s="661"/>
      <c r="N9" s="661"/>
      <c r="O9" s="662" t="s">
        <v>125</v>
      </c>
      <c r="P9" s="662"/>
      <c r="Q9" s="662"/>
      <c r="R9" s="92"/>
      <c r="S9" s="640" t="s">
        <v>126</v>
      </c>
      <c r="T9" s="641"/>
      <c r="U9" s="641"/>
      <c r="V9" s="641"/>
      <c r="W9" s="641"/>
      <c r="X9" s="641"/>
      <c r="Y9" s="642"/>
      <c r="Z9" s="663" t="s">
        <v>354</v>
      </c>
      <c r="AA9" s="664"/>
      <c r="AB9" s="664"/>
      <c r="AC9" s="664"/>
      <c r="AD9" s="665"/>
      <c r="AE9" s="643" t="s">
        <v>25</v>
      </c>
      <c r="AF9" s="658" t="s">
        <v>127</v>
      </c>
      <c r="AG9" s="658"/>
      <c r="AH9" s="658"/>
      <c r="AI9" s="659" t="s">
        <v>128</v>
      </c>
      <c r="AJ9" s="658" t="s">
        <v>129</v>
      </c>
      <c r="AK9" s="658"/>
      <c r="AL9" s="658"/>
      <c r="AM9" s="658"/>
      <c r="AN9" s="659" t="s">
        <v>130</v>
      </c>
      <c r="AS9" s="643" t="s">
        <v>131</v>
      </c>
    </row>
    <row r="10" spans="1:45" s="93" customFormat="1" ht="81" customHeight="1">
      <c r="A10" s="666"/>
      <c r="B10" s="666"/>
      <c r="C10" s="667"/>
      <c r="D10" s="660"/>
      <c r="E10" s="660"/>
      <c r="F10" s="355" t="s">
        <v>132</v>
      </c>
      <c r="G10" s="356" t="s">
        <v>133</v>
      </c>
      <c r="H10" s="357" t="s">
        <v>134</v>
      </c>
      <c r="I10" s="358" t="s">
        <v>135</v>
      </c>
      <c r="J10" s="359" t="s">
        <v>136</v>
      </c>
      <c r="K10" s="360" t="s">
        <v>137</v>
      </c>
      <c r="L10" s="361" t="s">
        <v>132</v>
      </c>
      <c r="M10" s="362" t="s">
        <v>138</v>
      </c>
      <c r="N10" s="474" t="s">
        <v>139</v>
      </c>
      <c r="O10" s="364" t="s">
        <v>140</v>
      </c>
      <c r="P10" s="361" t="s">
        <v>135</v>
      </c>
      <c r="Q10" s="363" t="s">
        <v>141</v>
      </c>
      <c r="R10" s="94" t="s">
        <v>88</v>
      </c>
      <c r="S10" s="461" t="s">
        <v>142</v>
      </c>
      <c r="T10" s="461" t="s">
        <v>333</v>
      </c>
      <c r="U10" s="490" t="s">
        <v>143</v>
      </c>
      <c r="V10" s="461" t="s">
        <v>144</v>
      </c>
      <c r="W10" s="461" t="s">
        <v>349</v>
      </c>
      <c r="X10" s="461" t="s">
        <v>145</v>
      </c>
      <c r="Y10" s="491" t="s">
        <v>350</v>
      </c>
      <c r="Z10" s="354" t="s">
        <v>146</v>
      </c>
      <c r="AA10" s="354" t="s">
        <v>147</v>
      </c>
      <c r="AB10" s="354" t="s">
        <v>148</v>
      </c>
      <c r="AC10" s="354" t="s">
        <v>308</v>
      </c>
      <c r="AD10" s="354" t="s">
        <v>149</v>
      </c>
      <c r="AE10" s="643"/>
      <c r="AF10" s="95" t="s">
        <v>127</v>
      </c>
      <c r="AG10" s="95" t="s">
        <v>150</v>
      </c>
      <c r="AH10" s="95" t="s">
        <v>151</v>
      </c>
      <c r="AI10" s="659"/>
      <c r="AJ10" s="95" t="s">
        <v>152</v>
      </c>
      <c r="AK10" s="95" t="s">
        <v>150</v>
      </c>
      <c r="AL10" s="95" t="s">
        <v>151</v>
      </c>
      <c r="AM10" s="95" t="s">
        <v>153</v>
      </c>
      <c r="AN10" s="659"/>
      <c r="AS10" s="643"/>
    </row>
    <row r="11" spans="1:44" s="93" customFormat="1" ht="12.75">
      <c r="A11" s="96"/>
      <c r="B11" s="96"/>
      <c r="C11" s="96"/>
      <c r="D11" s="96"/>
      <c r="E11" s="96"/>
      <c r="F11" s="96"/>
      <c r="G11" s="96"/>
      <c r="H11" s="96"/>
      <c r="I11" s="96"/>
      <c r="J11" s="96"/>
      <c r="K11" s="96"/>
      <c r="L11" s="96"/>
      <c r="M11" s="96"/>
      <c r="N11" s="475"/>
      <c r="O11" s="96"/>
      <c r="P11" s="96"/>
      <c r="Q11" s="96"/>
      <c r="R11" s="96"/>
      <c r="S11" s="462"/>
      <c r="T11" s="462"/>
      <c r="U11" s="462"/>
      <c r="V11" s="462"/>
      <c r="W11" s="462"/>
      <c r="X11" s="462"/>
      <c r="Y11" s="462"/>
      <c r="Z11" s="96"/>
      <c r="AA11" s="96"/>
      <c r="AB11" s="96"/>
      <c r="AC11" s="96"/>
      <c r="AD11" s="96"/>
      <c r="AE11" s="96"/>
      <c r="AF11" s="96"/>
      <c r="AG11" s="96"/>
      <c r="AH11" s="96"/>
      <c r="AI11" s="96"/>
      <c r="AJ11" s="96"/>
      <c r="AK11" s="96"/>
      <c r="AL11" s="96"/>
      <c r="AM11" s="96"/>
      <c r="AN11" s="96"/>
      <c r="AO11" s="96"/>
      <c r="AP11" s="96"/>
      <c r="AQ11" s="96"/>
      <c r="AR11" s="96"/>
    </row>
    <row r="12" spans="1:45" s="113" customFormat="1" ht="25.5" customHeight="1">
      <c r="A12" s="646" t="s">
        <v>154</v>
      </c>
      <c r="B12" s="99" t="s">
        <v>155</v>
      </c>
      <c r="C12" s="100" t="s">
        <v>156</v>
      </c>
      <c r="D12" s="99" t="s">
        <v>157</v>
      </c>
      <c r="E12" s="99" t="s">
        <v>158</v>
      </c>
      <c r="F12" s="101">
        <f>18540*1.11*1.5</f>
        <v>30869.100000000002</v>
      </c>
      <c r="G12" s="102"/>
      <c r="H12" s="103">
        <f>19880*1.11</f>
        <v>22066.800000000003</v>
      </c>
      <c r="I12" s="101">
        <f>21210*1.11</f>
        <v>23543.100000000002</v>
      </c>
      <c r="J12" s="104">
        <f>+H12</f>
        <v>22066.800000000003</v>
      </c>
      <c r="K12" s="105">
        <v>1.01</v>
      </c>
      <c r="L12" s="106">
        <f>F12*$K$12</f>
        <v>31177.791</v>
      </c>
      <c r="M12" s="107"/>
      <c r="N12" s="476">
        <f>+V12/S12</f>
        <v>1.0964292951736498</v>
      </c>
      <c r="O12" s="108">
        <f>PRODUCT(H12,K12)</f>
        <v>22287.468000000004</v>
      </c>
      <c r="P12" s="106">
        <f>I12*$K$12</f>
        <v>23778.531000000003</v>
      </c>
      <c r="Q12" s="89">
        <f>N12*J12</f>
        <v>24194.6859707379</v>
      </c>
      <c r="R12" s="89">
        <f>Q12-O12</f>
        <v>1907.2179707378964</v>
      </c>
      <c r="S12" s="463">
        <f>+'[6]Detalle medicinas y prod. salud'!$AS$14</f>
        <v>19281.991180882927</v>
      </c>
      <c r="T12" s="463">
        <f>+H12-S12</f>
        <v>2784.8088191170755</v>
      </c>
      <c r="U12" s="460"/>
      <c r="V12" s="460">
        <v>21141.34</v>
      </c>
      <c r="W12" s="460"/>
      <c r="X12" s="460"/>
      <c r="Y12" s="489">
        <f>+W12+X12</f>
        <v>0</v>
      </c>
      <c r="Z12" s="109"/>
      <c r="AA12" s="109"/>
      <c r="AB12" s="109"/>
      <c r="AC12" s="109">
        <f>+Z12+AA12+AB12</f>
        <v>0</v>
      </c>
      <c r="AD12" s="109">
        <f>+O12+W12-U12-V12-AC12</f>
        <v>1146.1280000000042</v>
      </c>
      <c r="AE12" s="110" t="s">
        <v>159</v>
      </c>
      <c r="AF12" s="111"/>
      <c r="AG12" s="111"/>
      <c r="AH12" s="111"/>
      <c r="AI12" s="111"/>
      <c r="AJ12" s="111"/>
      <c r="AK12" s="111"/>
      <c r="AL12" s="111"/>
      <c r="AM12" s="111"/>
      <c r="AN12" s="111"/>
      <c r="AO12" s="112"/>
      <c r="AP12" s="112"/>
      <c r="AQ12" s="112"/>
      <c r="AS12" s="113" t="s">
        <v>160</v>
      </c>
    </row>
    <row r="13" spans="1:43" s="93" customFormat="1" ht="12.75">
      <c r="A13" s="646"/>
      <c r="B13" s="262" t="s">
        <v>315</v>
      </c>
      <c r="C13" s="263"/>
      <c r="D13" s="264"/>
      <c r="E13" s="264"/>
      <c r="F13" s="265"/>
      <c r="G13" s="266"/>
      <c r="H13" s="267"/>
      <c r="I13" s="267"/>
      <c r="J13" s="268"/>
      <c r="K13" s="269"/>
      <c r="L13" s="260">
        <f>SUM(L12:L12)</f>
        <v>31177.791</v>
      </c>
      <c r="M13" s="261"/>
      <c r="N13" s="477"/>
      <c r="O13" s="269">
        <f aca="true" t="shared" si="0" ref="O13:Y13">SUM(O12:O12)</f>
        <v>22287.468000000004</v>
      </c>
      <c r="P13" s="260">
        <f t="shared" si="0"/>
        <v>23778.531000000003</v>
      </c>
      <c r="Q13" s="260">
        <f t="shared" si="0"/>
        <v>24194.6859707379</v>
      </c>
      <c r="R13" s="260">
        <f t="shared" si="0"/>
        <v>1907.2179707378964</v>
      </c>
      <c r="S13" s="464"/>
      <c r="T13" s="464"/>
      <c r="U13" s="464">
        <f t="shared" si="0"/>
        <v>0</v>
      </c>
      <c r="V13" s="464">
        <f t="shared" si="0"/>
        <v>21141.34</v>
      </c>
      <c r="W13" s="466">
        <f t="shared" si="0"/>
        <v>0</v>
      </c>
      <c r="X13" s="466">
        <f t="shared" si="0"/>
        <v>0</v>
      </c>
      <c r="Y13" s="466">
        <f t="shared" si="0"/>
        <v>0</v>
      </c>
      <c r="Z13" s="269">
        <f>SUM(Z12:Z12)</f>
        <v>0</v>
      </c>
      <c r="AA13" s="269">
        <f>SUM(AA12:AA12)</f>
        <v>0</v>
      </c>
      <c r="AB13" s="269">
        <f>SUM(AB12:AB12)</f>
        <v>0</v>
      </c>
      <c r="AC13" s="269"/>
      <c r="AD13" s="270">
        <f>SUM(AD12)</f>
        <v>1146.1280000000042</v>
      </c>
      <c r="AE13" s="117"/>
      <c r="AF13" s="111"/>
      <c r="AG13" s="111"/>
      <c r="AH13" s="111"/>
      <c r="AI13" s="111"/>
      <c r="AJ13" s="111"/>
      <c r="AK13" s="111"/>
      <c r="AL13" s="111"/>
      <c r="AM13" s="111"/>
      <c r="AN13" s="111"/>
      <c r="AO13" s="98"/>
      <c r="AP13" s="98"/>
      <c r="AQ13" s="98"/>
    </row>
    <row r="14" spans="1:44" s="93" customFormat="1" ht="12.75">
      <c r="A14" s="98"/>
      <c r="B14" s="98"/>
      <c r="C14" s="98"/>
      <c r="D14" s="98"/>
      <c r="E14" s="98"/>
      <c r="F14" s="98"/>
      <c r="G14" s="98"/>
      <c r="H14" s="98"/>
      <c r="I14" s="98"/>
      <c r="J14" s="98"/>
      <c r="K14" s="98"/>
      <c r="L14" s="98"/>
      <c r="M14" s="98"/>
      <c r="N14" s="478"/>
      <c r="O14" s="98"/>
      <c r="P14" s="98"/>
      <c r="Q14" s="98"/>
      <c r="R14" s="98"/>
      <c r="S14" s="465"/>
      <c r="T14" s="465"/>
      <c r="U14" s="465"/>
      <c r="V14" s="465"/>
      <c r="W14" s="465"/>
      <c r="X14" s="465"/>
      <c r="Y14" s="465"/>
      <c r="Z14" s="98"/>
      <c r="AA14" s="98"/>
      <c r="AB14" s="98"/>
      <c r="AC14" s="98"/>
      <c r="AD14" s="98"/>
      <c r="AE14" s="98"/>
      <c r="AF14" s="98"/>
      <c r="AG14" s="98"/>
      <c r="AH14" s="98"/>
      <c r="AI14" s="98"/>
      <c r="AJ14" s="98"/>
      <c r="AK14" s="98"/>
      <c r="AL14" s="98"/>
      <c r="AM14" s="98"/>
      <c r="AN14" s="98"/>
      <c r="AO14" s="98"/>
      <c r="AP14" s="98"/>
      <c r="AQ14" s="98"/>
      <c r="AR14" s="98"/>
    </row>
    <row r="15" spans="1:45" s="129" customFormat="1" ht="25.5" customHeight="1">
      <c r="A15" s="646" t="s">
        <v>161</v>
      </c>
      <c r="B15" s="99" t="s">
        <v>155</v>
      </c>
      <c r="C15" s="100" t="s">
        <v>156</v>
      </c>
      <c r="D15" s="99" t="s">
        <v>157</v>
      </c>
      <c r="E15" s="99" t="s">
        <v>158</v>
      </c>
      <c r="F15" s="122">
        <f>3685.2*1.11*1.5</f>
        <v>6135.858</v>
      </c>
      <c r="G15" s="123"/>
      <c r="H15" s="124">
        <f>3960.8*1.1</f>
        <v>4356.88</v>
      </c>
      <c r="I15" s="122">
        <f>4236.4*1.1</f>
        <v>4660.04</v>
      </c>
      <c r="J15" s="119">
        <f>+H15</f>
        <v>4356.88</v>
      </c>
      <c r="K15" s="105">
        <v>1.01</v>
      </c>
      <c r="L15" s="106">
        <f>F15*$K$15</f>
        <v>6197.21658</v>
      </c>
      <c r="M15" s="107"/>
      <c r="N15" s="476">
        <f>+V15/S15</f>
        <v>1.0964301578017308</v>
      </c>
      <c r="O15" s="116">
        <f>H15*$K$15</f>
        <v>4400.4488</v>
      </c>
      <c r="P15" s="106">
        <f>I15*$K$15</f>
        <v>4706.6404</v>
      </c>
      <c r="Q15" s="89">
        <f>N15*J15</f>
        <v>4777.014625923205</v>
      </c>
      <c r="R15" s="89">
        <f aca="true" t="shared" si="1" ref="R15:R76">Q15-O15</f>
        <v>376.565825923205</v>
      </c>
      <c r="S15" s="463">
        <f>+'[6]Detalle medicinas y prod. salud'!$AS$15</f>
        <v>3807.0459575545715</v>
      </c>
      <c r="T15" s="463">
        <f>+H15-S15</f>
        <v>549.8340424454286</v>
      </c>
      <c r="U15" s="460"/>
      <c r="V15" s="460">
        <v>4174.16</v>
      </c>
      <c r="W15" s="460">
        <v>0</v>
      </c>
      <c r="X15" s="460"/>
      <c r="Y15" s="489">
        <f>+W15+X15</f>
        <v>0</v>
      </c>
      <c r="Z15" s="109"/>
      <c r="AA15" s="109"/>
      <c r="AB15" s="109"/>
      <c r="AC15" s="109">
        <f>+Z15+AA15+AB15</f>
        <v>0</v>
      </c>
      <c r="AD15" s="109">
        <f>+O15+W15-U15-V15-AC15</f>
        <v>226.28880000000026</v>
      </c>
      <c r="AE15" s="110" t="s">
        <v>159</v>
      </c>
      <c r="AF15" s="125">
        <v>463</v>
      </c>
      <c r="AG15" s="125">
        <v>496</v>
      </c>
      <c r="AH15" s="125">
        <v>528</v>
      </c>
      <c r="AI15" s="126">
        <v>1.27</v>
      </c>
      <c r="AJ15" s="125">
        <f>AF15*$K$15</f>
        <v>467.63</v>
      </c>
      <c r="AK15" s="125">
        <f>AG15*$K$15</f>
        <v>500.96</v>
      </c>
      <c r="AL15" s="125">
        <f>AH15*$K$15</f>
        <v>533.28</v>
      </c>
      <c r="AM15" s="125">
        <f>AJ15+AK15+AL15</f>
        <v>1501.87</v>
      </c>
      <c r="AN15" s="127"/>
      <c r="AO15" s="128"/>
      <c r="AP15" s="128"/>
      <c r="AQ15" s="128"/>
      <c r="AS15" s="129" t="s">
        <v>160</v>
      </c>
    </row>
    <row r="16" spans="1:43" s="131" customFormat="1" ht="14.25">
      <c r="A16" s="646"/>
      <c r="B16" s="262" t="s">
        <v>315</v>
      </c>
      <c r="C16" s="263"/>
      <c r="D16" s="264"/>
      <c r="E16" s="264"/>
      <c r="F16" s="265"/>
      <c r="G16" s="266"/>
      <c r="H16" s="267"/>
      <c r="I16" s="267"/>
      <c r="J16" s="268"/>
      <c r="K16" s="269"/>
      <c r="L16" s="260">
        <f>SUM(L15:L15)</f>
        <v>6197.21658</v>
      </c>
      <c r="M16" s="261"/>
      <c r="N16" s="477"/>
      <c r="O16" s="269">
        <f aca="true" t="shared" si="2" ref="O16:Y16">SUM(O15:O15)</f>
        <v>4400.4488</v>
      </c>
      <c r="P16" s="260">
        <f t="shared" si="2"/>
        <v>4706.6404</v>
      </c>
      <c r="Q16" s="260">
        <f t="shared" si="2"/>
        <v>4777.014625923205</v>
      </c>
      <c r="R16" s="260">
        <f t="shared" si="2"/>
        <v>376.565825923205</v>
      </c>
      <c r="S16" s="464"/>
      <c r="T16" s="464"/>
      <c r="U16" s="464">
        <f t="shared" si="2"/>
        <v>0</v>
      </c>
      <c r="V16" s="464">
        <f t="shared" si="2"/>
        <v>4174.16</v>
      </c>
      <c r="W16" s="466">
        <f t="shared" si="2"/>
        <v>0</v>
      </c>
      <c r="X16" s="466">
        <f t="shared" si="2"/>
        <v>0</v>
      </c>
      <c r="Y16" s="466">
        <f t="shared" si="2"/>
        <v>0</v>
      </c>
      <c r="Z16" s="269">
        <f>SUM(Z15:Z15)</f>
        <v>0</v>
      </c>
      <c r="AA16" s="269">
        <f>SUM(AA15:AA15)</f>
        <v>0</v>
      </c>
      <c r="AB16" s="269">
        <f>SUM(AB15:AB15)</f>
        <v>0</v>
      </c>
      <c r="AC16" s="269"/>
      <c r="AD16" s="270">
        <f>SUM(AD15)</f>
        <v>226.28880000000026</v>
      </c>
      <c r="AE16" s="130"/>
      <c r="AF16" s="121"/>
      <c r="AG16" s="121"/>
      <c r="AH16" s="121"/>
      <c r="AI16" s="121"/>
      <c r="AJ16" s="121"/>
      <c r="AK16" s="121"/>
      <c r="AL16" s="121"/>
      <c r="AM16" s="121"/>
      <c r="AN16" s="120"/>
      <c r="AO16" s="98"/>
      <c r="AP16" s="98"/>
      <c r="AQ16" s="98"/>
    </row>
    <row r="17" spans="1:43" s="131" customFormat="1" ht="14.25">
      <c r="A17" s="98"/>
      <c r="B17" s="98"/>
      <c r="C17" s="98"/>
      <c r="D17" s="98"/>
      <c r="E17" s="98"/>
      <c r="F17" s="98"/>
      <c r="G17" s="98"/>
      <c r="H17" s="98"/>
      <c r="I17" s="98"/>
      <c r="J17" s="98"/>
      <c r="K17" s="98"/>
      <c r="L17" s="98"/>
      <c r="M17" s="98"/>
      <c r="N17" s="478"/>
      <c r="O17" s="98"/>
      <c r="P17" s="98"/>
      <c r="Q17" s="98"/>
      <c r="R17" s="98"/>
      <c r="S17" s="465"/>
      <c r="T17" s="465"/>
      <c r="U17" s="465"/>
      <c r="V17" s="465"/>
      <c r="W17" s="465"/>
      <c r="X17" s="465"/>
      <c r="Y17" s="465"/>
      <c r="Z17" s="98"/>
      <c r="AA17" s="98"/>
      <c r="AB17" s="98"/>
      <c r="AC17" s="98"/>
      <c r="AD17" s="98"/>
      <c r="AE17" s="657" t="s">
        <v>162</v>
      </c>
      <c r="AF17" s="121"/>
      <c r="AG17" s="121"/>
      <c r="AH17" s="121"/>
      <c r="AI17" s="121"/>
      <c r="AJ17" s="121"/>
      <c r="AK17" s="121"/>
      <c r="AL17" s="121"/>
      <c r="AM17" s="121"/>
      <c r="AN17" s="120"/>
      <c r="AO17" s="98"/>
      <c r="AP17" s="98"/>
      <c r="AQ17" s="98"/>
    </row>
    <row r="18" spans="1:45" s="129" customFormat="1" ht="37.5" customHeight="1">
      <c r="A18" s="643" t="s">
        <v>163</v>
      </c>
      <c r="B18" s="99" t="s">
        <v>155</v>
      </c>
      <c r="C18" s="100" t="s">
        <v>156</v>
      </c>
      <c r="D18" s="99" t="s">
        <v>157</v>
      </c>
      <c r="E18" s="99" t="s">
        <v>158</v>
      </c>
      <c r="F18" s="122">
        <f>13900*1.11*1.5</f>
        <v>23143.500000000004</v>
      </c>
      <c r="G18" s="123"/>
      <c r="H18" s="124">
        <f>14000*1.11</f>
        <v>15540.000000000002</v>
      </c>
      <c r="I18" s="122">
        <f>14500*1.11</f>
        <v>16095.000000000002</v>
      </c>
      <c r="J18" s="119">
        <f>+H18</f>
        <v>15540.000000000002</v>
      </c>
      <c r="K18" s="105">
        <v>1.01</v>
      </c>
      <c r="L18" s="106">
        <f>F18*$K$18</f>
        <v>23374.935000000005</v>
      </c>
      <c r="M18" s="107"/>
      <c r="N18" s="476">
        <f>+V18/S18</f>
        <v>1.096428735065521</v>
      </c>
      <c r="O18" s="116">
        <f>H18*$K$18</f>
        <v>15695.400000000001</v>
      </c>
      <c r="P18" s="106">
        <f>I18*$K$18</f>
        <v>16255.950000000003</v>
      </c>
      <c r="Q18" s="89">
        <f>N18*J18</f>
        <v>17038.5025429182</v>
      </c>
      <c r="R18" s="89">
        <f t="shared" si="1"/>
        <v>1343.1025429181973</v>
      </c>
      <c r="S18" s="463">
        <f>+'[6]Detalle medicinas y prod. salud'!$AS$16</f>
        <v>13578.867028790793</v>
      </c>
      <c r="T18" s="463">
        <f>+H18-S18</f>
        <v>1961.1329712092083</v>
      </c>
      <c r="U18" s="460"/>
      <c r="V18" s="460">
        <v>14888.26</v>
      </c>
      <c r="W18" s="460">
        <v>0</v>
      </c>
      <c r="X18" s="460"/>
      <c r="Y18" s="489">
        <f>+W18+X18</f>
        <v>0</v>
      </c>
      <c r="Z18" s="109"/>
      <c r="AA18" s="109"/>
      <c r="AB18" s="109"/>
      <c r="AC18" s="109">
        <f>+Z18+AA18+AB18</f>
        <v>0</v>
      </c>
      <c r="AD18" s="109">
        <f>+O18-V18-U18-AC18+W18</f>
        <v>807.1400000000012</v>
      </c>
      <c r="AE18" s="657"/>
      <c r="AF18" s="125"/>
      <c r="AG18" s="125"/>
      <c r="AH18" s="125"/>
      <c r="AI18" s="125"/>
      <c r="AJ18" s="125"/>
      <c r="AK18" s="125"/>
      <c r="AL18" s="125"/>
      <c r="AM18" s="125"/>
      <c r="AN18" s="127"/>
      <c r="AO18" s="128"/>
      <c r="AP18" s="128"/>
      <c r="AQ18" s="128"/>
      <c r="AS18" s="129" t="s">
        <v>160</v>
      </c>
    </row>
    <row r="19" spans="1:43" s="131" customFormat="1" ht="14.25">
      <c r="A19" s="643"/>
      <c r="B19" s="262" t="s">
        <v>315</v>
      </c>
      <c r="C19" s="263"/>
      <c r="D19" s="264"/>
      <c r="E19" s="264"/>
      <c r="F19" s="265"/>
      <c r="G19" s="266"/>
      <c r="H19" s="267"/>
      <c r="I19" s="267"/>
      <c r="J19" s="268"/>
      <c r="K19" s="269"/>
      <c r="L19" s="260">
        <f>SUM(L18:L18)</f>
        <v>23374.935000000005</v>
      </c>
      <c r="M19" s="261"/>
      <c r="N19" s="477"/>
      <c r="O19" s="269">
        <f>SUM(O18:O18)</f>
        <v>15695.400000000001</v>
      </c>
      <c r="P19" s="260">
        <f aca="true" t="shared" si="3" ref="P19:Y19">SUM(P18:P18)</f>
        <v>16255.950000000003</v>
      </c>
      <c r="Q19" s="260">
        <f t="shared" si="3"/>
        <v>17038.5025429182</v>
      </c>
      <c r="R19" s="260">
        <f t="shared" si="3"/>
        <v>1343.1025429181973</v>
      </c>
      <c r="S19" s="464"/>
      <c r="T19" s="464"/>
      <c r="U19" s="464">
        <f t="shared" si="3"/>
        <v>0</v>
      </c>
      <c r="V19" s="464">
        <f t="shared" si="3"/>
        <v>14888.26</v>
      </c>
      <c r="W19" s="466">
        <f t="shared" si="3"/>
        <v>0</v>
      </c>
      <c r="X19" s="466">
        <f t="shared" si="3"/>
        <v>0</v>
      </c>
      <c r="Y19" s="466">
        <f t="shared" si="3"/>
        <v>0</v>
      </c>
      <c r="Z19" s="269">
        <f>SUM(Z18:Z18)</f>
        <v>0</v>
      </c>
      <c r="AA19" s="269">
        <f>SUM(AA18:AA18)</f>
        <v>0</v>
      </c>
      <c r="AB19" s="269">
        <f>SUM(AB18:AB18)</f>
        <v>0</v>
      </c>
      <c r="AC19" s="269"/>
      <c r="AD19" s="270">
        <f>SUM(AD18)</f>
        <v>807.1400000000012</v>
      </c>
      <c r="AE19" s="657"/>
      <c r="AF19" s="121"/>
      <c r="AG19" s="121"/>
      <c r="AH19" s="121"/>
      <c r="AI19" s="121"/>
      <c r="AJ19" s="121"/>
      <c r="AK19" s="121"/>
      <c r="AL19" s="121"/>
      <c r="AM19" s="121"/>
      <c r="AN19" s="120"/>
      <c r="AO19" s="98"/>
      <c r="AP19" s="98"/>
      <c r="AQ19" s="98"/>
    </row>
    <row r="20" spans="1:43" s="131" customFormat="1" ht="14.25">
      <c r="A20" s="98"/>
      <c r="B20" s="98"/>
      <c r="C20" s="98"/>
      <c r="D20" s="98"/>
      <c r="E20" s="98"/>
      <c r="F20" s="98"/>
      <c r="G20" s="98"/>
      <c r="H20" s="98"/>
      <c r="I20" s="98"/>
      <c r="J20" s="98"/>
      <c r="K20" s="98"/>
      <c r="L20" s="98"/>
      <c r="M20" s="98"/>
      <c r="N20" s="478"/>
      <c r="O20" s="98"/>
      <c r="P20" s="98"/>
      <c r="Q20" s="98"/>
      <c r="R20" s="98"/>
      <c r="S20" s="465"/>
      <c r="T20" s="465"/>
      <c r="U20" s="465"/>
      <c r="V20" s="465"/>
      <c r="W20" s="465"/>
      <c r="X20" s="465"/>
      <c r="Y20" s="465"/>
      <c r="Z20" s="98"/>
      <c r="AA20" s="98"/>
      <c r="AB20" s="98"/>
      <c r="AC20" s="98"/>
      <c r="AD20" s="98"/>
      <c r="AE20" s="657"/>
      <c r="AF20" s="121"/>
      <c r="AG20" s="121"/>
      <c r="AH20" s="121"/>
      <c r="AI20" s="121"/>
      <c r="AJ20" s="121"/>
      <c r="AK20" s="121"/>
      <c r="AL20" s="121"/>
      <c r="AM20" s="121"/>
      <c r="AN20" s="120"/>
      <c r="AO20" s="98"/>
      <c r="AP20" s="98"/>
      <c r="AQ20" s="98"/>
    </row>
    <row r="21" spans="1:45" s="129" customFormat="1" ht="53.25" customHeight="1">
      <c r="A21" s="646" t="s">
        <v>164</v>
      </c>
      <c r="B21" s="99" t="s">
        <v>155</v>
      </c>
      <c r="C21" s="645" t="s">
        <v>156</v>
      </c>
      <c r="D21" s="99" t="s">
        <v>165</v>
      </c>
      <c r="E21" s="99" t="s">
        <v>158</v>
      </c>
      <c r="F21" s="122">
        <f>27000*0.6*1.5</f>
        <v>24300</v>
      </c>
      <c r="G21" s="123"/>
      <c r="H21" s="124">
        <f>27000*0.5</f>
        <v>13500</v>
      </c>
      <c r="I21" s="122">
        <f>27000*0.4</f>
        <v>10800</v>
      </c>
      <c r="J21" s="119">
        <f>+H21</f>
        <v>13500</v>
      </c>
      <c r="K21" s="105">
        <v>1.01</v>
      </c>
      <c r="L21" s="133">
        <f>F21*$K$21</f>
        <v>24543</v>
      </c>
      <c r="M21" s="132"/>
      <c r="N21" s="476">
        <f>+V21/S21</f>
        <v>1.0964290230947875</v>
      </c>
      <c r="O21" s="116">
        <f>H21*$K$21</f>
        <v>13635</v>
      </c>
      <c r="P21" s="133">
        <f>I21*$K$21</f>
        <v>10908</v>
      </c>
      <c r="Q21" s="89">
        <f>N21*J21</f>
        <v>14801.79181177963</v>
      </c>
      <c r="R21" s="89">
        <f t="shared" si="1"/>
        <v>1166.7918117796307</v>
      </c>
      <c r="S21" s="463">
        <f>+'[6]Detalle medicinas y prod. salud'!$AS$17</f>
        <v>11796.313055899338</v>
      </c>
      <c r="T21" s="463">
        <f>+H21-S21</f>
        <v>1703.686944100662</v>
      </c>
      <c r="U21" s="460"/>
      <c r="V21" s="460">
        <v>12933.82</v>
      </c>
      <c r="W21" s="460">
        <v>0</v>
      </c>
      <c r="X21" s="460"/>
      <c r="Y21" s="489">
        <f>+W21+X21</f>
        <v>0</v>
      </c>
      <c r="Z21" s="109"/>
      <c r="AA21" s="109"/>
      <c r="AB21" s="109"/>
      <c r="AC21" s="109">
        <f>+Z21+AA21+AB21</f>
        <v>0</v>
      </c>
      <c r="AD21" s="109">
        <f>+O21+W21-U21-V21-AC21</f>
        <v>701.1800000000003</v>
      </c>
      <c r="AE21" s="657"/>
      <c r="AF21" s="125"/>
      <c r="AG21" s="125"/>
      <c r="AH21" s="125"/>
      <c r="AI21" s="125"/>
      <c r="AJ21" s="125"/>
      <c r="AK21" s="125"/>
      <c r="AL21" s="125"/>
      <c r="AM21" s="125"/>
      <c r="AN21" s="127"/>
      <c r="AO21" s="128"/>
      <c r="AP21" s="128"/>
      <c r="AQ21" s="128"/>
      <c r="AS21" s="129" t="s">
        <v>160</v>
      </c>
    </row>
    <row r="22" spans="1:45" s="129" customFormat="1" ht="27.75" customHeight="1">
      <c r="A22" s="646"/>
      <c r="B22" s="651" t="s">
        <v>166</v>
      </c>
      <c r="C22" s="645"/>
      <c r="D22" s="134" t="s">
        <v>167</v>
      </c>
      <c r="E22" s="99" t="s">
        <v>158</v>
      </c>
      <c r="F22" s="122">
        <f>27000*0.4*1.5</f>
        <v>16200</v>
      </c>
      <c r="G22" s="123"/>
      <c r="H22" s="124">
        <f>27000*0.3</f>
        <v>8100</v>
      </c>
      <c r="I22" s="122">
        <f>27000*0.2</f>
        <v>5400</v>
      </c>
      <c r="J22" s="119">
        <f>+H22</f>
        <v>8100</v>
      </c>
      <c r="K22" s="105">
        <v>1.08</v>
      </c>
      <c r="L22" s="133">
        <f>F22*$K$22</f>
        <v>17496</v>
      </c>
      <c r="M22" s="132"/>
      <c r="N22" s="479">
        <v>1.4</v>
      </c>
      <c r="O22" s="116">
        <f>H22*$K$22</f>
        <v>8748</v>
      </c>
      <c r="P22" s="133">
        <f>I22*$K$22</f>
        <v>5832</v>
      </c>
      <c r="Q22" s="89">
        <f>N22*J22</f>
        <v>11340</v>
      </c>
      <c r="R22" s="89">
        <f t="shared" si="1"/>
        <v>2592</v>
      </c>
      <c r="S22" s="463">
        <f>+X22/N22</f>
        <v>6248.571428571429</v>
      </c>
      <c r="T22" s="463">
        <f>+H22-S22</f>
        <v>1851.4285714285706</v>
      </c>
      <c r="U22" s="460"/>
      <c r="V22" s="460"/>
      <c r="W22" s="460">
        <v>0</v>
      </c>
      <c r="X22" s="460">
        <v>8748</v>
      </c>
      <c r="Y22" s="489">
        <f>+W22+X22</f>
        <v>8748</v>
      </c>
      <c r="Z22" s="109">
        <v>0</v>
      </c>
      <c r="AA22" s="109"/>
      <c r="AB22" s="109">
        <v>8748</v>
      </c>
      <c r="AC22" s="109">
        <f>+Z22+AA22+AB22</f>
        <v>8748</v>
      </c>
      <c r="AD22" s="109">
        <f>+O22+W22-U22-V22-AC22</f>
        <v>0</v>
      </c>
      <c r="AE22" s="657"/>
      <c r="AF22" s="125"/>
      <c r="AG22" s="125"/>
      <c r="AH22" s="125"/>
      <c r="AI22" s="125"/>
      <c r="AJ22" s="125"/>
      <c r="AK22" s="125"/>
      <c r="AL22" s="125"/>
      <c r="AM22" s="125"/>
      <c r="AN22" s="127"/>
      <c r="AO22" s="128"/>
      <c r="AP22" s="128"/>
      <c r="AQ22" s="128"/>
      <c r="AS22" s="135" t="s">
        <v>168</v>
      </c>
    </row>
    <row r="23" spans="1:45" s="129" customFormat="1" ht="17.25" customHeight="1">
      <c r="A23" s="646"/>
      <c r="B23" s="651"/>
      <c r="C23" s="645"/>
      <c r="D23" s="99" t="s">
        <v>169</v>
      </c>
      <c r="E23" s="99" t="s">
        <v>170</v>
      </c>
      <c r="F23" s="122">
        <v>25</v>
      </c>
      <c r="G23" s="123"/>
      <c r="H23" s="124">
        <v>0</v>
      </c>
      <c r="I23" s="122">
        <v>0</v>
      </c>
      <c r="J23" s="119">
        <v>0</v>
      </c>
      <c r="K23" s="105">
        <v>480</v>
      </c>
      <c r="L23" s="133">
        <f>F23*K23</f>
        <v>12000</v>
      </c>
      <c r="M23" s="132"/>
      <c r="N23" s="479"/>
      <c r="O23" s="116">
        <v>0</v>
      </c>
      <c r="P23" s="133">
        <v>0</v>
      </c>
      <c r="Q23" s="89">
        <f>N23*J23</f>
        <v>0</v>
      </c>
      <c r="R23" s="89">
        <f t="shared" si="1"/>
        <v>0</v>
      </c>
      <c r="S23" s="460"/>
      <c r="T23" s="460"/>
      <c r="U23" s="460"/>
      <c r="V23" s="460"/>
      <c r="W23" s="460">
        <f>+O23-V23-U23</f>
        <v>0</v>
      </c>
      <c r="X23" s="460"/>
      <c r="Y23" s="489">
        <f>+W23+X23</f>
        <v>0</v>
      </c>
      <c r="Z23" s="90"/>
      <c r="AA23" s="90"/>
      <c r="AB23" s="90"/>
      <c r="AC23" s="109">
        <f>+Z23+AA23+AB23</f>
        <v>0</v>
      </c>
      <c r="AD23" s="109">
        <f>+O23+W23-U23-V23-AC23</f>
        <v>0</v>
      </c>
      <c r="AE23" s="657"/>
      <c r="AF23" s="125"/>
      <c r="AG23" s="125"/>
      <c r="AH23" s="125"/>
      <c r="AI23" s="125"/>
      <c r="AJ23" s="125"/>
      <c r="AK23" s="125"/>
      <c r="AL23" s="125"/>
      <c r="AM23" s="125"/>
      <c r="AN23" s="127"/>
      <c r="AO23" s="128"/>
      <c r="AP23" s="128"/>
      <c r="AQ23" s="128"/>
      <c r="AS23" s="129" t="s">
        <v>168</v>
      </c>
    </row>
    <row r="24" spans="1:45" s="140" customFormat="1" ht="19.5" customHeight="1">
      <c r="A24" s="646"/>
      <c r="B24" s="651"/>
      <c r="C24" s="645"/>
      <c r="D24" s="136" t="s">
        <v>171</v>
      </c>
      <c r="E24" s="136" t="s">
        <v>172</v>
      </c>
      <c r="F24" s="137">
        <v>10</v>
      </c>
      <c r="G24" s="138"/>
      <c r="H24" s="124">
        <v>0</v>
      </c>
      <c r="I24" s="122">
        <v>0</v>
      </c>
      <c r="J24" s="119">
        <v>0</v>
      </c>
      <c r="K24" s="105">
        <v>1400</v>
      </c>
      <c r="L24" s="133">
        <f>F24*K24</f>
        <v>14000</v>
      </c>
      <c r="M24" s="132"/>
      <c r="N24" s="479"/>
      <c r="O24" s="116">
        <v>0</v>
      </c>
      <c r="P24" s="139">
        <v>0</v>
      </c>
      <c r="Q24" s="89">
        <f>N24*J24</f>
        <v>0</v>
      </c>
      <c r="R24" s="89">
        <f t="shared" si="1"/>
        <v>0</v>
      </c>
      <c r="S24" s="460"/>
      <c r="T24" s="460"/>
      <c r="U24" s="460"/>
      <c r="V24" s="460"/>
      <c r="W24" s="460">
        <f>+O24-V24-U24</f>
        <v>0</v>
      </c>
      <c r="X24" s="460"/>
      <c r="Y24" s="489">
        <f>+W24+X24</f>
        <v>0</v>
      </c>
      <c r="Z24" s="90"/>
      <c r="AA24" s="90"/>
      <c r="AB24" s="90"/>
      <c r="AC24" s="109">
        <f>+Z24+AA24+AB24</f>
        <v>0</v>
      </c>
      <c r="AD24" s="109">
        <f>+O24+W24-U24-V24-AC24</f>
        <v>0</v>
      </c>
      <c r="AE24" s="657"/>
      <c r="AF24" s="125"/>
      <c r="AG24" s="125"/>
      <c r="AH24" s="125"/>
      <c r="AI24" s="125"/>
      <c r="AJ24" s="125"/>
      <c r="AK24" s="125"/>
      <c r="AL24" s="125"/>
      <c r="AM24" s="125"/>
      <c r="AN24" s="129"/>
      <c r="AS24" s="140" t="s">
        <v>168</v>
      </c>
    </row>
    <row r="25" spans="1:45" s="140" customFormat="1" ht="14.25">
      <c r="A25" s="646"/>
      <c r="B25" s="651"/>
      <c r="C25" s="645"/>
      <c r="D25" s="136" t="s">
        <v>173</v>
      </c>
      <c r="E25" s="136" t="s">
        <v>174</v>
      </c>
      <c r="F25" s="137">
        <v>10</v>
      </c>
      <c r="G25" s="138"/>
      <c r="H25" s="124">
        <v>0</v>
      </c>
      <c r="I25" s="122">
        <v>0</v>
      </c>
      <c r="J25" s="119">
        <v>0</v>
      </c>
      <c r="K25" s="105">
        <v>200</v>
      </c>
      <c r="L25" s="133">
        <f>F25*K25</f>
        <v>2000</v>
      </c>
      <c r="M25" s="132"/>
      <c r="N25" s="479"/>
      <c r="O25" s="116"/>
      <c r="P25" s="139"/>
      <c r="Q25" s="89">
        <f>N25*J25</f>
        <v>0</v>
      </c>
      <c r="R25" s="89">
        <f t="shared" si="1"/>
        <v>0</v>
      </c>
      <c r="S25" s="460"/>
      <c r="T25" s="460"/>
      <c r="U25" s="460"/>
      <c r="V25" s="460"/>
      <c r="W25" s="460">
        <f>+O25-V25-U25</f>
        <v>0</v>
      </c>
      <c r="X25" s="460"/>
      <c r="Y25" s="489">
        <f>+W25+X25</f>
        <v>0</v>
      </c>
      <c r="Z25" s="90"/>
      <c r="AA25" s="90"/>
      <c r="AB25" s="90"/>
      <c r="AC25" s="109">
        <f>+Z25+AA25+AB25</f>
        <v>0</v>
      </c>
      <c r="AD25" s="109">
        <f>+O25+W25-U25-V25-AC25</f>
        <v>0</v>
      </c>
      <c r="AE25" s="657"/>
      <c r="AF25" s="125"/>
      <c r="AG25" s="125"/>
      <c r="AH25" s="125"/>
      <c r="AI25" s="125"/>
      <c r="AJ25" s="125"/>
      <c r="AK25" s="125"/>
      <c r="AL25" s="125"/>
      <c r="AM25" s="125"/>
      <c r="AN25" s="129"/>
      <c r="AS25" s="140" t="s">
        <v>168</v>
      </c>
    </row>
    <row r="26" spans="1:43" s="129" customFormat="1" ht="15">
      <c r="A26" s="646"/>
      <c r="B26" s="262" t="s">
        <v>315</v>
      </c>
      <c r="C26" s="262"/>
      <c r="D26" s="262"/>
      <c r="E26" s="262"/>
      <c r="F26" s="271"/>
      <c r="G26" s="272"/>
      <c r="H26" s="273"/>
      <c r="I26" s="274"/>
      <c r="J26" s="275"/>
      <c r="K26" s="269"/>
      <c r="L26" s="269">
        <f>SUM(L21:L25)</f>
        <v>70039</v>
      </c>
      <c r="M26" s="270"/>
      <c r="N26" s="477"/>
      <c r="O26" s="269">
        <f aca="true" t="shared" si="4" ref="O26:Y26">SUM(O21:O25)</f>
        <v>22383</v>
      </c>
      <c r="P26" s="269">
        <f t="shared" si="4"/>
        <v>16740</v>
      </c>
      <c r="Q26" s="269">
        <f t="shared" si="4"/>
        <v>26141.79181177963</v>
      </c>
      <c r="R26" s="269">
        <f t="shared" si="4"/>
        <v>3758.7918117796307</v>
      </c>
      <c r="S26" s="466"/>
      <c r="T26" s="466"/>
      <c r="U26" s="466">
        <f t="shared" si="4"/>
        <v>0</v>
      </c>
      <c r="V26" s="466">
        <f>SUM(V21:V25)</f>
        <v>12933.82</v>
      </c>
      <c r="W26" s="466">
        <f t="shared" si="4"/>
        <v>0</v>
      </c>
      <c r="X26" s="466">
        <f>SUM(X21:X25)</f>
        <v>8748</v>
      </c>
      <c r="Y26" s="466">
        <f t="shared" si="4"/>
        <v>8748</v>
      </c>
      <c r="Z26" s="269">
        <f>SUM(Z21:Z25)</f>
        <v>0</v>
      </c>
      <c r="AA26" s="269">
        <f>SUM(AA21:AA25)</f>
        <v>0</v>
      </c>
      <c r="AB26" s="269">
        <f>SUM(AB21:AB25)</f>
        <v>8748</v>
      </c>
      <c r="AC26" s="270">
        <f aca="true" t="shared" si="5" ref="AC26:AC89">+Z26+AA26+AB26</f>
        <v>8748</v>
      </c>
      <c r="AD26" s="270">
        <f>SUM(AD21:AD25)</f>
        <v>701.1800000000003</v>
      </c>
      <c r="AE26" s="657"/>
      <c r="AF26" s="125"/>
      <c r="AG26" s="125"/>
      <c r="AH26" s="125"/>
      <c r="AI26" s="125"/>
      <c r="AJ26" s="125"/>
      <c r="AK26" s="125"/>
      <c r="AL26" s="125"/>
      <c r="AM26" s="125"/>
      <c r="AN26" s="127"/>
      <c r="AO26" s="128"/>
      <c r="AP26" s="128"/>
      <c r="AQ26" s="128"/>
    </row>
    <row r="27" spans="1:43" s="131" customFormat="1" ht="14.25">
      <c r="A27" s="98"/>
      <c r="B27" s="98"/>
      <c r="C27" s="98"/>
      <c r="D27" s="98"/>
      <c r="E27" s="98"/>
      <c r="F27" s="98"/>
      <c r="G27" s="98"/>
      <c r="H27" s="98"/>
      <c r="I27" s="98"/>
      <c r="J27" s="98"/>
      <c r="K27" s="98"/>
      <c r="L27" s="98"/>
      <c r="M27" s="98"/>
      <c r="N27" s="478"/>
      <c r="O27" s="98"/>
      <c r="P27" s="98"/>
      <c r="Q27" s="98"/>
      <c r="R27" s="98"/>
      <c r="S27" s="465"/>
      <c r="T27" s="465"/>
      <c r="U27" s="465"/>
      <c r="V27" s="465"/>
      <c r="W27" s="465"/>
      <c r="X27" s="465"/>
      <c r="Y27" s="465"/>
      <c r="Z27" s="98"/>
      <c r="AA27" s="98"/>
      <c r="AB27" s="98"/>
      <c r="AC27" s="98"/>
      <c r="AD27" s="98"/>
      <c r="AE27" s="657"/>
      <c r="AF27" s="121"/>
      <c r="AG27" s="121"/>
      <c r="AH27" s="121"/>
      <c r="AI27" s="121"/>
      <c r="AJ27" s="121"/>
      <c r="AK27" s="121"/>
      <c r="AL27" s="121"/>
      <c r="AM27" s="121"/>
      <c r="AN27" s="120"/>
      <c r="AO27" s="98"/>
      <c r="AP27" s="98"/>
      <c r="AQ27" s="98"/>
    </row>
    <row r="28" spans="1:45" s="129" customFormat="1" ht="53.25" customHeight="1">
      <c r="A28" s="647" t="s">
        <v>175</v>
      </c>
      <c r="B28" s="643" t="s">
        <v>176</v>
      </c>
      <c r="C28" s="645" t="s">
        <v>156</v>
      </c>
      <c r="D28" s="134" t="s">
        <v>177</v>
      </c>
      <c r="E28" s="134" t="s">
        <v>158</v>
      </c>
      <c r="F28" s="142">
        <f>24090*1.25*0.6/0.9</f>
        <v>20075</v>
      </c>
      <c r="G28" s="143"/>
      <c r="H28" s="144">
        <f>24090*1.25*0.5/0.9</f>
        <v>16729.166666666668</v>
      </c>
      <c r="I28" s="142">
        <f>24090*1.25*0.4/0.9</f>
        <v>13383.333333333332</v>
      </c>
      <c r="J28" s="143">
        <f aca="true" t="shared" si="6" ref="J28:J33">+H28</f>
        <v>16729.166666666668</v>
      </c>
      <c r="K28" s="105">
        <v>4.49</v>
      </c>
      <c r="L28" s="133">
        <f>F28*$K$28</f>
        <v>90136.75</v>
      </c>
      <c r="M28" s="132"/>
      <c r="N28" s="479">
        <f>+'[2]Plan compras anio 1 vs gastos'!K28</f>
        <v>4.581222222222222</v>
      </c>
      <c r="O28" s="116">
        <f>H28*$K$28</f>
        <v>75113.95833333334</v>
      </c>
      <c r="P28" s="133">
        <f>I28*$K$28</f>
        <v>60091.166666666664</v>
      </c>
      <c r="Q28" s="89">
        <f>N28*J28</f>
        <v>76640.0300925926</v>
      </c>
      <c r="R28" s="89">
        <f t="shared" si="1"/>
        <v>1526.0717592592555</v>
      </c>
      <c r="S28" s="463">
        <v>0</v>
      </c>
      <c r="T28" s="463">
        <f>+H28-S28</f>
        <v>16729.166666666668</v>
      </c>
      <c r="U28" s="460"/>
      <c r="V28" s="460"/>
      <c r="W28" s="460">
        <v>0</v>
      </c>
      <c r="X28" s="460"/>
      <c r="Y28" s="489">
        <f>+W28+X28</f>
        <v>0</v>
      </c>
      <c r="Z28" s="109"/>
      <c r="AA28" s="109"/>
      <c r="AB28" s="109"/>
      <c r="AC28" s="109">
        <f t="shared" si="5"/>
        <v>0</v>
      </c>
      <c r="AD28" s="109">
        <f>+O28+W28-U28-V28-AC28</f>
        <v>75113.95833333334</v>
      </c>
      <c r="AE28" s="657"/>
      <c r="AF28" s="125"/>
      <c r="AG28" s="125"/>
      <c r="AH28" s="125"/>
      <c r="AI28" s="125"/>
      <c r="AJ28" s="125"/>
      <c r="AK28" s="125"/>
      <c r="AL28" s="125"/>
      <c r="AM28" s="125"/>
      <c r="AN28" s="127"/>
      <c r="AO28" s="128"/>
      <c r="AP28" s="128"/>
      <c r="AQ28" s="128"/>
      <c r="AR28" s="654"/>
      <c r="AS28" s="145" t="s">
        <v>168</v>
      </c>
    </row>
    <row r="29" spans="1:45" s="129" customFormat="1" ht="28.5">
      <c r="A29" s="647"/>
      <c r="B29" s="643"/>
      <c r="C29" s="645"/>
      <c r="D29" s="134" t="s">
        <v>178</v>
      </c>
      <c r="E29" s="134" t="s">
        <v>158</v>
      </c>
      <c r="F29" s="142">
        <f>18115*1.25*0.6/0.9</f>
        <v>15095.833333333332</v>
      </c>
      <c r="G29" s="143"/>
      <c r="H29" s="144">
        <f>18115*1.25*0.5/0.9</f>
        <v>12579.861111111111</v>
      </c>
      <c r="I29" s="142">
        <f>18115*1.25*0.4/0.9</f>
        <v>10063.888888888889</v>
      </c>
      <c r="J29" s="143">
        <f t="shared" si="6"/>
        <v>12579.861111111111</v>
      </c>
      <c r="K29" s="105">
        <v>4.68</v>
      </c>
      <c r="L29" s="133">
        <f>F29*$K$29</f>
        <v>70648.49999999999</v>
      </c>
      <c r="M29" s="132"/>
      <c r="N29" s="479">
        <f>+'[2]Plan compras anio 1 vs gastos'!K29</f>
        <v>3.5858780487804878</v>
      </c>
      <c r="O29" s="116">
        <f>H29*$K$29</f>
        <v>58873.75</v>
      </c>
      <c r="P29" s="133">
        <f>I29*$K$29</f>
        <v>47098.99999999999</v>
      </c>
      <c r="Q29" s="89">
        <f>N29*J29</f>
        <v>45109.84781504065</v>
      </c>
      <c r="R29" s="89">
        <f t="shared" si="1"/>
        <v>-13763.902184959348</v>
      </c>
      <c r="S29" s="463">
        <v>0</v>
      </c>
      <c r="T29" s="463">
        <f>+H29-S29</f>
        <v>12579.861111111111</v>
      </c>
      <c r="U29" s="460"/>
      <c r="V29" s="460"/>
      <c r="W29" s="460">
        <v>0</v>
      </c>
      <c r="X29" s="460"/>
      <c r="Y29" s="489">
        <f>+W29+X29</f>
        <v>0</v>
      </c>
      <c r="Z29" s="109"/>
      <c r="AA29" s="109"/>
      <c r="AB29" s="109"/>
      <c r="AC29" s="109">
        <f t="shared" si="5"/>
        <v>0</v>
      </c>
      <c r="AD29" s="109">
        <f>+O29+W29-U29-V29-AC29</f>
        <v>58873.75</v>
      </c>
      <c r="AE29" s="657"/>
      <c r="AF29" s="125"/>
      <c r="AG29" s="125"/>
      <c r="AH29" s="125"/>
      <c r="AI29" s="125"/>
      <c r="AJ29" s="125"/>
      <c r="AK29" s="125"/>
      <c r="AL29" s="125"/>
      <c r="AM29" s="125"/>
      <c r="AN29" s="127"/>
      <c r="AO29" s="128"/>
      <c r="AP29" s="128"/>
      <c r="AQ29" s="128"/>
      <c r="AR29" s="654"/>
      <c r="AS29" s="145" t="s">
        <v>168</v>
      </c>
    </row>
    <row r="30" spans="1:45" s="129" customFormat="1" ht="39.75" customHeight="1">
      <c r="A30" s="647"/>
      <c r="B30" s="643"/>
      <c r="C30" s="645"/>
      <c r="D30" s="134" t="s">
        <v>179</v>
      </c>
      <c r="E30" s="134" t="s">
        <v>158</v>
      </c>
      <c r="F30" s="142">
        <f>510*1.25*0.6/0.78</f>
        <v>490.38461538461536</v>
      </c>
      <c r="G30" s="143"/>
      <c r="H30" s="144">
        <f>510*1.25*0.5/0.78</f>
        <v>408.65384615384613</v>
      </c>
      <c r="I30" s="142">
        <f>510*1.25*0.4/0.78</f>
        <v>326.9230769230769</v>
      </c>
      <c r="J30" s="143">
        <f t="shared" si="6"/>
        <v>408.65384615384613</v>
      </c>
      <c r="K30" s="105">
        <v>72.22</v>
      </c>
      <c r="L30" s="133">
        <f>F30*$K$30</f>
        <v>35415.57692307692</v>
      </c>
      <c r="M30" s="132"/>
      <c r="N30" s="479">
        <f>+'[2]Plan compras anio 1 vs gastos'!K30</f>
        <v>70.88888888888889</v>
      </c>
      <c r="O30" s="116">
        <f>H30*$K$30</f>
        <v>29512.980769230766</v>
      </c>
      <c r="P30" s="133">
        <f>I30*$K$30</f>
        <v>23610.384615384613</v>
      </c>
      <c r="Q30" s="89">
        <f>N30*J30</f>
        <v>28969.01709401709</v>
      </c>
      <c r="R30" s="89">
        <f t="shared" si="1"/>
        <v>-543.9636752136757</v>
      </c>
      <c r="S30" s="463">
        <v>0</v>
      </c>
      <c r="T30" s="463">
        <f>+H30-S30</f>
        <v>408.65384615384613</v>
      </c>
      <c r="U30" s="460"/>
      <c r="V30" s="460"/>
      <c r="W30" s="460">
        <v>0</v>
      </c>
      <c r="X30" s="460"/>
      <c r="Y30" s="489">
        <f>+W30+X30</f>
        <v>0</v>
      </c>
      <c r="Z30" s="109"/>
      <c r="AA30" s="109"/>
      <c r="AB30" s="109"/>
      <c r="AC30" s="109">
        <f t="shared" si="5"/>
        <v>0</v>
      </c>
      <c r="AD30" s="109">
        <f>+O30+W30-U30-V30-AC30</f>
        <v>29512.980769230766</v>
      </c>
      <c r="AE30" s="657"/>
      <c r="AF30" s="125"/>
      <c r="AG30" s="125"/>
      <c r="AH30" s="125"/>
      <c r="AI30" s="125"/>
      <c r="AJ30" s="125"/>
      <c r="AK30" s="125"/>
      <c r="AL30" s="125"/>
      <c r="AM30" s="125"/>
      <c r="AN30" s="127"/>
      <c r="AO30" s="128"/>
      <c r="AP30" s="128"/>
      <c r="AQ30" s="128"/>
      <c r="AR30" s="654"/>
      <c r="AS30" s="145" t="s">
        <v>168</v>
      </c>
    </row>
    <row r="31" spans="1:45" s="129" customFormat="1" ht="56.25" customHeight="1">
      <c r="A31" s="647"/>
      <c r="B31" s="643"/>
      <c r="C31" s="645"/>
      <c r="D31" s="134" t="s">
        <v>180</v>
      </c>
      <c r="E31" s="134" t="s">
        <v>158</v>
      </c>
      <c r="F31" s="142">
        <f>10455*0.4*1.5*0.6/0.8</f>
        <v>4704.749999999999</v>
      </c>
      <c r="G31" s="143"/>
      <c r="H31" s="144">
        <f>10455*0.4*1.5*0.5/0.8</f>
        <v>3920.625</v>
      </c>
      <c r="I31" s="142">
        <f>10455*0.4*1.5*0.4/0.8</f>
        <v>3136.5</v>
      </c>
      <c r="J31" s="143">
        <f t="shared" si="6"/>
        <v>3920.625</v>
      </c>
      <c r="K31" s="105">
        <v>4.68</v>
      </c>
      <c r="L31" s="133">
        <f>F31*$K$31</f>
        <v>22018.229999999996</v>
      </c>
      <c r="M31" s="132"/>
      <c r="N31" s="479">
        <f>+'[2]Plan compras anio 1 vs gastos'!K31</f>
        <v>5.0112</v>
      </c>
      <c r="O31" s="116">
        <f>H31*$K$31</f>
        <v>18348.524999999998</v>
      </c>
      <c r="P31" s="133">
        <f>I31*$K$31</f>
        <v>14678.82</v>
      </c>
      <c r="Q31" s="89">
        <f>N31*J31</f>
        <v>19647.036</v>
      </c>
      <c r="R31" s="89">
        <f t="shared" si="1"/>
        <v>1298.5110000000022</v>
      </c>
      <c r="S31" s="463">
        <v>0</v>
      </c>
      <c r="T31" s="463">
        <f>+H31-S31</f>
        <v>3920.625</v>
      </c>
      <c r="U31" s="460"/>
      <c r="V31" s="460"/>
      <c r="W31" s="460">
        <v>0</v>
      </c>
      <c r="X31" s="460"/>
      <c r="Y31" s="489">
        <f>+W31+X31</f>
        <v>0</v>
      </c>
      <c r="Z31" s="109"/>
      <c r="AA31" s="109"/>
      <c r="AB31" s="109"/>
      <c r="AC31" s="109">
        <f t="shared" si="5"/>
        <v>0</v>
      </c>
      <c r="AD31" s="109">
        <f>+O31+W31-U31-V31-AC31</f>
        <v>18348.524999999998</v>
      </c>
      <c r="AE31" s="657"/>
      <c r="AF31" s="125"/>
      <c r="AG31" s="125"/>
      <c r="AH31" s="125"/>
      <c r="AI31" s="125"/>
      <c r="AJ31" s="125"/>
      <c r="AK31" s="125"/>
      <c r="AL31" s="125"/>
      <c r="AM31" s="125"/>
      <c r="AN31" s="127"/>
      <c r="AO31" s="128"/>
      <c r="AP31" s="128"/>
      <c r="AQ31" s="128"/>
      <c r="AR31" s="655"/>
      <c r="AS31" s="129" t="s">
        <v>168</v>
      </c>
    </row>
    <row r="32" spans="1:45" s="129" customFormat="1" ht="25.5" customHeight="1">
      <c r="A32" s="647"/>
      <c r="B32" s="643"/>
      <c r="C32" s="645"/>
      <c r="D32" s="558" t="s">
        <v>181</v>
      </c>
      <c r="E32" s="134" t="s">
        <v>158</v>
      </c>
      <c r="F32" s="142">
        <f>10455*0.6*1.5*0.6/0.8</f>
        <v>7057.124999999999</v>
      </c>
      <c r="G32" s="143"/>
      <c r="H32" s="144">
        <f>10455*0.6*1.5*0.5/0.8</f>
        <v>5880.9375</v>
      </c>
      <c r="I32" s="142">
        <f>10455*0.6*1.5*0.4/0.8</f>
        <v>4704.75</v>
      </c>
      <c r="J32" s="143">
        <f t="shared" si="6"/>
        <v>5880.9375</v>
      </c>
      <c r="K32" s="105">
        <v>3.25</v>
      </c>
      <c r="L32" s="133">
        <f>F32*$K$32</f>
        <v>22935.656249999996</v>
      </c>
      <c r="M32" s="132"/>
      <c r="N32" s="479">
        <f>+'[2]Plan compras anio 1 vs gastos'!K32</f>
        <v>3.3</v>
      </c>
      <c r="O32" s="116">
        <f>H32*$K$32</f>
        <v>19113.046875</v>
      </c>
      <c r="P32" s="133">
        <f>I32*$K$32</f>
        <v>15290.4375</v>
      </c>
      <c r="Q32" s="89">
        <f>N32*J32</f>
        <v>19407.09375</v>
      </c>
      <c r="R32" s="89">
        <f t="shared" si="1"/>
        <v>294.046875</v>
      </c>
      <c r="S32" s="463">
        <f>+X32/N32</f>
        <v>5700</v>
      </c>
      <c r="T32" s="463">
        <f>+H32-S32</f>
        <v>180.9375</v>
      </c>
      <c r="U32" s="460"/>
      <c r="V32" s="460"/>
      <c r="W32" s="460">
        <v>0</v>
      </c>
      <c r="X32" s="460">
        <v>18810</v>
      </c>
      <c r="Y32" s="489">
        <f>+W32+X32</f>
        <v>18810</v>
      </c>
      <c r="Z32" s="109">
        <v>0</v>
      </c>
      <c r="AA32" s="109"/>
      <c r="AB32" s="109">
        <f>+'[3]Recalend MINSAL PNUD S3  2015'!$U$35</f>
        <v>18810</v>
      </c>
      <c r="AC32" s="109">
        <f t="shared" si="5"/>
        <v>18810</v>
      </c>
      <c r="AD32" s="109">
        <f>+O32+W32-U32-V32-AC32</f>
        <v>303.046875</v>
      </c>
      <c r="AE32" s="657"/>
      <c r="AF32" s="125"/>
      <c r="AG32" s="125"/>
      <c r="AH32" s="125"/>
      <c r="AI32" s="125"/>
      <c r="AJ32" s="125"/>
      <c r="AK32" s="125"/>
      <c r="AL32" s="125"/>
      <c r="AM32" s="125"/>
      <c r="AN32" s="127"/>
      <c r="AO32" s="128"/>
      <c r="AP32" s="128"/>
      <c r="AQ32" s="128"/>
      <c r="AR32" s="655"/>
      <c r="AS32" s="129" t="s">
        <v>168</v>
      </c>
    </row>
    <row r="33" spans="1:43" s="131" customFormat="1" ht="15">
      <c r="A33" s="647"/>
      <c r="B33" s="262" t="s">
        <v>315</v>
      </c>
      <c r="C33" s="263"/>
      <c r="D33" s="278"/>
      <c r="E33" s="277"/>
      <c r="F33" s="279"/>
      <c r="G33" s="280"/>
      <c r="H33" s="281"/>
      <c r="I33" s="281"/>
      <c r="J33" s="282">
        <f t="shared" si="6"/>
        <v>0</v>
      </c>
      <c r="K33" s="269"/>
      <c r="L33" s="269">
        <f>SUM(L28:L32)</f>
        <v>241154.71317307692</v>
      </c>
      <c r="M33" s="270"/>
      <c r="N33" s="477"/>
      <c r="O33" s="269">
        <f aca="true" t="shared" si="7" ref="O33:Y33">SUM(O28:O32)</f>
        <v>200962.26097756412</v>
      </c>
      <c r="P33" s="269">
        <f t="shared" si="7"/>
        <v>160769.80878205126</v>
      </c>
      <c r="Q33" s="269">
        <f t="shared" si="7"/>
        <v>189773.02475165034</v>
      </c>
      <c r="R33" s="269">
        <f t="shared" si="7"/>
        <v>-11189.236225913766</v>
      </c>
      <c r="S33" s="466"/>
      <c r="T33" s="466"/>
      <c r="U33" s="466">
        <f t="shared" si="7"/>
        <v>0</v>
      </c>
      <c r="V33" s="466">
        <f t="shared" si="7"/>
        <v>0</v>
      </c>
      <c r="W33" s="466">
        <f t="shared" si="7"/>
        <v>0</v>
      </c>
      <c r="X33" s="466">
        <f>SUM(X28:X32)</f>
        <v>18810</v>
      </c>
      <c r="Y33" s="466">
        <f t="shared" si="7"/>
        <v>18810</v>
      </c>
      <c r="Z33" s="269">
        <f>SUM(Z28:Z32)</f>
        <v>0</v>
      </c>
      <c r="AA33" s="269">
        <f>SUM(AA28:AA32)</f>
        <v>0</v>
      </c>
      <c r="AB33" s="269">
        <f>SUM(AB28:AB32)</f>
        <v>18810</v>
      </c>
      <c r="AC33" s="270">
        <f t="shared" si="5"/>
        <v>18810</v>
      </c>
      <c r="AD33" s="270">
        <f>SUM(AD28:AD32)</f>
        <v>182152.26097756412</v>
      </c>
      <c r="AE33" s="657"/>
      <c r="AF33" s="121"/>
      <c r="AG33" s="121"/>
      <c r="AH33" s="121"/>
      <c r="AI33" s="121"/>
      <c r="AJ33" s="121"/>
      <c r="AK33" s="121"/>
      <c r="AL33" s="121"/>
      <c r="AM33" s="121"/>
      <c r="AN33" s="120"/>
      <c r="AO33" s="98"/>
      <c r="AP33" s="98"/>
      <c r="AQ33" s="98"/>
    </row>
    <row r="34" spans="1:43" s="131" customFormat="1" ht="14.25">
      <c r="A34" s="647"/>
      <c r="B34" s="98"/>
      <c r="C34" s="98"/>
      <c r="D34" s="98"/>
      <c r="E34" s="98"/>
      <c r="F34" s="98"/>
      <c r="G34" s="98"/>
      <c r="H34" s="98"/>
      <c r="I34" s="98"/>
      <c r="J34" s="98"/>
      <c r="K34" s="98"/>
      <c r="L34" s="98"/>
      <c r="M34" s="98"/>
      <c r="N34" s="478"/>
      <c r="O34" s="98"/>
      <c r="P34" s="98"/>
      <c r="Q34" s="98"/>
      <c r="R34" s="98"/>
      <c r="S34" s="465"/>
      <c r="T34" s="465"/>
      <c r="U34" s="465"/>
      <c r="V34" s="465"/>
      <c r="W34" s="465"/>
      <c r="X34" s="465"/>
      <c r="Y34" s="465"/>
      <c r="Z34" s="98"/>
      <c r="AA34" s="98"/>
      <c r="AB34" s="98"/>
      <c r="AC34" s="98"/>
      <c r="AD34" s="98"/>
      <c r="AE34" s="657"/>
      <c r="AF34" s="121"/>
      <c r="AG34" s="121"/>
      <c r="AH34" s="121"/>
      <c r="AI34" s="121"/>
      <c r="AJ34" s="121"/>
      <c r="AK34" s="121"/>
      <c r="AL34" s="121"/>
      <c r="AM34" s="121"/>
      <c r="AN34" s="120"/>
      <c r="AO34" s="98"/>
      <c r="AP34" s="98"/>
      <c r="AQ34" s="98"/>
    </row>
    <row r="35" spans="1:45" s="129" customFormat="1" ht="24.75" customHeight="1">
      <c r="A35" s="647"/>
      <c r="B35" s="656" t="s">
        <v>182</v>
      </c>
      <c r="C35" s="652" t="s">
        <v>183</v>
      </c>
      <c r="D35" s="150" t="s">
        <v>184</v>
      </c>
      <c r="E35" s="150" t="s">
        <v>185</v>
      </c>
      <c r="F35" s="148">
        <v>11520</v>
      </c>
      <c r="G35" s="149"/>
      <c r="H35" s="147">
        <v>0</v>
      </c>
      <c r="I35" s="148">
        <v>5760</v>
      </c>
      <c r="J35" s="149">
        <v>19146</v>
      </c>
      <c r="K35" s="105">
        <v>0</v>
      </c>
      <c r="L35" s="133">
        <f>F35*$K$35</f>
        <v>0</v>
      </c>
      <c r="M35" s="132"/>
      <c r="N35" s="479">
        <f>(+U35+X35)/S35</f>
        <v>11.419729447404157</v>
      </c>
      <c r="O35" s="116">
        <f>H35*$K$35</f>
        <v>0</v>
      </c>
      <c r="P35" s="133">
        <f>I35*$K$35</f>
        <v>0</v>
      </c>
      <c r="Q35" s="89">
        <f>N35*J35</f>
        <v>218642.13999999998</v>
      </c>
      <c r="R35" s="89">
        <f t="shared" si="1"/>
        <v>218642.13999999998</v>
      </c>
      <c r="S35" s="463">
        <v>19146</v>
      </c>
      <c r="T35" s="463">
        <v>0</v>
      </c>
      <c r="U35" s="460">
        <v>208074.24</v>
      </c>
      <c r="V35" s="460"/>
      <c r="W35" s="460">
        <v>0</v>
      </c>
      <c r="X35" s="460">
        <v>10567.9</v>
      </c>
      <c r="Y35" s="489">
        <f>+W35+X35</f>
        <v>10567.9</v>
      </c>
      <c r="Z35" s="151">
        <f>10547.66+11.28+8.96</f>
        <v>10567.9</v>
      </c>
      <c r="AA35" s="151"/>
      <c r="AB35" s="151"/>
      <c r="AC35" s="109">
        <f t="shared" si="5"/>
        <v>10567.9</v>
      </c>
      <c r="AD35" s="109">
        <f>+O35+W35-U35-V35-AC35</f>
        <v>-218642.13999999998</v>
      </c>
      <c r="AE35" s="657"/>
      <c r="AF35" s="125"/>
      <c r="AG35" s="125"/>
      <c r="AH35" s="125"/>
      <c r="AI35" s="125"/>
      <c r="AJ35" s="125"/>
      <c r="AK35" s="125"/>
      <c r="AL35" s="125"/>
      <c r="AM35" s="125"/>
      <c r="AN35" s="127"/>
      <c r="AO35" s="128"/>
      <c r="AP35" s="128"/>
      <c r="AQ35" s="128"/>
      <c r="AS35" s="129" t="s">
        <v>186</v>
      </c>
    </row>
    <row r="36" spans="1:45" s="129" customFormat="1" ht="24.75" customHeight="1">
      <c r="A36" s="647"/>
      <c r="B36" s="656"/>
      <c r="C36" s="652"/>
      <c r="D36" s="150" t="s">
        <v>187</v>
      </c>
      <c r="E36" s="150" t="s">
        <v>185</v>
      </c>
      <c r="F36" s="148">
        <v>11520</v>
      </c>
      <c r="G36" s="149"/>
      <c r="H36" s="147">
        <v>8640</v>
      </c>
      <c r="I36" s="148">
        <v>5760</v>
      </c>
      <c r="J36" s="149">
        <v>0</v>
      </c>
      <c r="K36" s="105">
        <v>13.59</v>
      </c>
      <c r="L36" s="133">
        <f>F36*$K$35</f>
        <v>0</v>
      </c>
      <c r="M36" s="132"/>
      <c r="N36" s="479">
        <v>0</v>
      </c>
      <c r="O36" s="116">
        <f>+H36*K36</f>
        <v>117417.6</v>
      </c>
      <c r="P36" s="133">
        <f>I36*$K$35</f>
        <v>0</v>
      </c>
      <c r="Q36" s="89">
        <f>N36*J36</f>
        <v>0</v>
      </c>
      <c r="R36" s="89">
        <f t="shared" si="1"/>
        <v>-117417.6</v>
      </c>
      <c r="S36" s="463">
        <v>0</v>
      </c>
      <c r="T36" s="463">
        <v>0</v>
      </c>
      <c r="U36" s="460"/>
      <c r="V36" s="460"/>
      <c r="W36" s="460">
        <v>0</v>
      </c>
      <c r="X36" s="460"/>
      <c r="Y36" s="489">
        <f>+W36+X36</f>
        <v>0</v>
      </c>
      <c r="Z36" s="151">
        <v>0</v>
      </c>
      <c r="AA36" s="151"/>
      <c r="AB36" s="151"/>
      <c r="AC36" s="109">
        <f t="shared" si="5"/>
        <v>0</v>
      </c>
      <c r="AD36" s="109">
        <f>+O36+W36-U36-V36-AC36</f>
        <v>117417.6</v>
      </c>
      <c r="AE36" s="657"/>
      <c r="AF36" s="125"/>
      <c r="AG36" s="125"/>
      <c r="AH36" s="125"/>
      <c r="AI36" s="125"/>
      <c r="AJ36" s="125"/>
      <c r="AK36" s="125"/>
      <c r="AL36" s="125"/>
      <c r="AM36" s="125"/>
      <c r="AN36" s="127"/>
      <c r="AO36" s="128"/>
      <c r="AP36" s="128"/>
      <c r="AQ36" s="128"/>
      <c r="AS36" s="129" t="s">
        <v>186</v>
      </c>
    </row>
    <row r="37" spans="1:45" s="129" customFormat="1" ht="39.75" customHeight="1">
      <c r="A37" s="647"/>
      <c r="B37" s="656"/>
      <c r="C37" s="652"/>
      <c r="D37" s="150" t="s">
        <v>188</v>
      </c>
      <c r="E37" s="150" t="s">
        <v>185</v>
      </c>
      <c r="F37" s="148">
        <v>1920</v>
      </c>
      <c r="G37" s="149"/>
      <c r="H37" s="147">
        <v>1440</v>
      </c>
      <c r="I37" s="148">
        <v>960</v>
      </c>
      <c r="J37" s="149">
        <v>0</v>
      </c>
      <c r="K37" s="152">
        <v>10.8</v>
      </c>
      <c r="L37" s="133">
        <f>F37*$K$37</f>
        <v>20736</v>
      </c>
      <c r="M37" s="132"/>
      <c r="N37" s="479">
        <v>0</v>
      </c>
      <c r="O37" s="116">
        <f>H37*$K$37</f>
        <v>15552.000000000002</v>
      </c>
      <c r="P37" s="133">
        <f>I37*$K$37</f>
        <v>10368</v>
      </c>
      <c r="Q37" s="89">
        <f>N37*J37</f>
        <v>0</v>
      </c>
      <c r="R37" s="89">
        <f t="shared" si="1"/>
        <v>-15552.000000000002</v>
      </c>
      <c r="S37" s="463">
        <v>0</v>
      </c>
      <c r="T37" s="463">
        <v>0</v>
      </c>
      <c r="U37" s="460"/>
      <c r="V37" s="460"/>
      <c r="W37" s="460">
        <v>0</v>
      </c>
      <c r="X37" s="460"/>
      <c r="Y37" s="489">
        <f>+W37+X37</f>
        <v>0</v>
      </c>
      <c r="Z37" s="151">
        <f>+W37</f>
        <v>0</v>
      </c>
      <c r="AA37" s="151"/>
      <c r="AB37" s="151"/>
      <c r="AC37" s="109">
        <f t="shared" si="5"/>
        <v>0</v>
      </c>
      <c r="AD37" s="109">
        <f>+O37+W37-U37-V37-AC37</f>
        <v>15552.000000000002</v>
      </c>
      <c r="AE37" s="657"/>
      <c r="AF37" s="125"/>
      <c r="AG37" s="125"/>
      <c r="AH37" s="125"/>
      <c r="AI37" s="125"/>
      <c r="AJ37" s="125"/>
      <c r="AK37" s="125"/>
      <c r="AL37" s="125"/>
      <c r="AM37" s="125"/>
      <c r="AN37" s="127"/>
      <c r="AO37" s="128"/>
      <c r="AP37" s="128"/>
      <c r="AQ37" s="128"/>
      <c r="AS37" s="129" t="s">
        <v>186</v>
      </c>
    </row>
    <row r="38" spans="1:45" s="129" customFormat="1" ht="45" customHeight="1">
      <c r="A38" s="647"/>
      <c r="B38" s="656"/>
      <c r="C38" s="652"/>
      <c r="D38" s="150" t="s">
        <v>189</v>
      </c>
      <c r="E38" s="150" t="s">
        <v>185</v>
      </c>
      <c r="F38" s="148">
        <v>1920</v>
      </c>
      <c r="G38" s="149"/>
      <c r="H38" s="147">
        <v>1440</v>
      </c>
      <c r="I38" s="148">
        <v>960</v>
      </c>
      <c r="J38" s="149">
        <v>0</v>
      </c>
      <c r="K38" s="152">
        <v>60.82</v>
      </c>
      <c r="L38" s="133">
        <f>F38*$K$38</f>
        <v>116774.4</v>
      </c>
      <c r="M38" s="132"/>
      <c r="N38" s="479">
        <v>0</v>
      </c>
      <c r="O38" s="116">
        <f>H38*$K$38</f>
        <v>87580.8</v>
      </c>
      <c r="P38" s="133">
        <f>I38*$K$38</f>
        <v>58387.2</v>
      </c>
      <c r="Q38" s="89">
        <f>N38*J38</f>
        <v>0</v>
      </c>
      <c r="R38" s="89">
        <f t="shared" si="1"/>
        <v>-87580.8</v>
      </c>
      <c r="S38" s="463">
        <v>0</v>
      </c>
      <c r="T38" s="463">
        <v>0</v>
      </c>
      <c r="U38" s="460"/>
      <c r="V38" s="460"/>
      <c r="W38" s="460">
        <v>0</v>
      </c>
      <c r="X38" s="460"/>
      <c r="Y38" s="489">
        <f>+W38+X38</f>
        <v>0</v>
      </c>
      <c r="Z38" s="151">
        <f>+W38</f>
        <v>0</v>
      </c>
      <c r="AA38" s="151"/>
      <c r="AB38" s="151"/>
      <c r="AC38" s="109">
        <f t="shared" si="5"/>
        <v>0</v>
      </c>
      <c r="AD38" s="109">
        <f>+O38+W38-U38-V38-AC38</f>
        <v>87580.8</v>
      </c>
      <c r="AE38" s="657"/>
      <c r="AF38" s="125"/>
      <c r="AG38" s="125"/>
      <c r="AH38" s="125"/>
      <c r="AI38" s="125"/>
      <c r="AJ38" s="125"/>
      <c r="AK38" s="125"/>
      <c r="AL38" s="125"/>
      <c r="AM38" s="125"/>
      <c r="AN38" s="127"/>
      <c r="AO38" s="128"/>
      <c r="AP38" s="128"/>
      <c r="AQ38" s="128"/>
      <c r="AS38" s="129" t="s">
        <v>186</v>
      </c>
    </row>
    <row r="39" spans="1:46" s="129" customFormat="1" ht="15">
      <c r="A39" s="647"/>
      <c r="B39" s="262" t="s">
        <v>315</v>
      </c>
      <c r="C39" s="262"/>
      <c r="D39" s="262"/>
      <c r="E39" s="262"/>
      <c r="F39" s="283"/>
      <c r="G39" s="284"/>
      <c r="H39" s="285"/>
      <c r="I39" s="283"/>
      <c r="J39" s="284"/>
      <c r="K39" s="269"/>
      <c r="L39" s="269">
        <f>SUM(L35:L38)</f>
        <v>137510.4</v>
      </c>
      <c r="M39" s="270"/>
      <c r="N39" s="477"/>
      <c r="O39" s="269">
        <f aca="true" t="shared" si="8" ref="O39:Y39">SUM(O35:O38)</f>
        <v>220550.40000000002</v>
      </c>
      <c r="P39" s="269">
        <f t="shared" si="8"/>
        <v>68755.2</v>
      </c>
      <c r="Q39" s="269">
        <f t="shared" si="8"/>
        <v>218642.13999999998</v>
      </c>
      <c r="R39" s="269">
        <f t="shared" si="8"/>
        <v>-1908.2600000000239</v>
      </c>
      <c r="S39" s="466"/>
      <c r="T39" s="466"/>
      <c r="U39" s="466">
        <f>SUM(U35:U38)</f>
        <v>208074.24</v>
      </c>
      <c r="V39" s="466">
        <f t="shared" si="8"/>
        <v>0</v>
      </c>
      <c r="W39" s="466">
        <f t="shared" si="8"/>
        <v>0</v>
      </c>
      <c r="X39" s="466">
        <f>SUM(X35:X38)</f>
        <v>10567.9</v>
      </c>
      <c r="Y39" s="466">
        <f t="shared" si="8"/>
        <v>10567.9</v>
      </c>
      <c r="Z39" s="269">
        <f>SUM(Z35:Z38)</f>
        <v>10567.9</v>
      </c>
      <c r="AA39" s="269">
        <f>SUM(AA35:AA38)</f>
        <v>0</v>
      </c>
      <c r="AB39" s="269">
        <f>SUM(AB35:AB38)</f>
        <v>0</v>
      </c>
      <c r="AC39" s="270">
        <f t="shared" si="5"/>
        <v>10567.9</v>
      </c>
      <c r="AD39" s="270">
        <f>SUM(AD35:AD38)</f>
        <v>1908.2600000000239</v>
      </c>
      <c r="AE39" s="657"/>
      <c r="AF39" s="125"/>
      <c r="AG39" s="125"/>
      <c r="AH39" s="125"/>
      <c r="AI39" s="125"/>
      <c r="AJ39" s="125"/>
      <c r="AK39" s="125"/>
      <c r="AL39" s="125"/>
      <c r="AM39" s="125"/>
      <c r="AN39" s="127"/>
      <c r="AO39" s="128"/>
      <c r="AP39" s="128"/>
      <c r="AQ39" s="128"/>
      <c r="AT39" s="511">
        <f>+AD39</f>
        <v>1908.2600000000239</v>
      </c>
    </row>
    <row r="40" spans="1:43" s="131" customFormat="1" ht="14.25">
      <c r="A40" s="647"/>
      <c r="D40" s="118"/>
      <c r="E40" s="118"/>
      <c r="F40" s="118"/>
      <c r="G40" s="118"/>
      <c r="H40" s="118"/>
      <c r="I40" s="118"/>
      <c r="J40" s="118"/>
      <c r="K40" s="118"/>
      <c r="L40" s="118"/>
      <c r="M40" s="118"/>
      <c r="N40" s="480"/>
      <c r="O40" s="118"/>
      <c r="P40" s="118"/>
      <c r="Q40" s="118"/>
      <c r="R40" s="118"/>
      <c r="S40" s="467"/>
      <c r="T40" s="467"/>
      <c r="U40" s="467"/>
      <c r="V40" s="467"/>
      <c r="W40" s="467"/>
      <c r="X40" s="467"/>
      <c r="Y40" s="467"/>
      <c r="Z40" s="118"/>
      <c r="AA40" s="118"/>
      <c r="AB40" s="118"/>
      <c r="AC40" s="118"/>
      <c r="AD40" s="118"/>
      <c r="AE40" s="657"/>
      <c r="AF40" s="121"/>
      <c r="AG40" s="121"/>
      <c r="AH40" s="121"/>
      <c r="AI40" s="121"/>
      <c r="AJ40" s="121"/>
      <c r="AK40" s="121"/>
      <c r="AL40" s="121"/>
      <c r="AM40" s="121"/>
      <c r="AN40" s="120"/>
      <c r="AO40" s="98"/>
      <c r="AP40" s="98"/>
      <c r="AQ40" s="98"/>
    </row>
    <row r="41" spans="1:45" s="129" customFormat="1" ht="54.75" customHeight="1">
      <c r="A41" s="647"/>
      <c r="B41" s="643" t="s">
        <v>190</v>
      </c>
      <c r="C41" s="153" t="s">
        <v>156</v>
      </c>
      <c r="D41" s="150" t="s">
        <v>191</v>
      </c>
      <c r="E41" s="150" t="s">
        <v>158</v>
      </c>
      <c r="F41" s="154">
        <v>120</v>
      </c>
      <c r="G41" s="155"/>
      <c r="H41" s="156">
        <v>120</v>
      </c>
      <c r="I41" s="154">
        <v>0</v>
      </c>
      <c r="J41" s="155">
        <v>48</v>
      </c>
      <c r="K41" s="152">
        <v>646</v>
      </c>
      <c r="L41" s="133">
        <f>F41*K41</f>
        <v>77520</v>
      </c>
      <c r="M41" s="132"/>
      <c r="N41" s="479">
        <f>+'[4]Detalle medicinas y prod. salud'!$N$42</f>
        <v>1110</v>
      </c>
      <c r="O41" s="116">
        <f>H41*K41</f>
        <v>77520</v>
      </c>
      <c r="P41" s="133">
        <f>I41*K41</f>
        <v>0</v>
      </c>
      <c r="Q41" s="89">
        <f>N41*J41</f>
        <v>53280</v>
      </c>
      <c r="R41" s="89">
        <f t="shared" si="1"/>
        <v>-24240</v>
      </c>
      <c r="S41" s="463">
        <f>+V41/N41</f>
        <v>48</v>
      </c>
      <c r="T41" s="463">
        <f>+H41-S41</f>
        <v>72</v>
      </c>
      <c r="U41" s="460"/>
      <c r="V41" s="460">
        <v>53280</v>
      </c>
      <c r="W41" s="460">
        <v>0</v>
      </c>
      <c r="X41" s="460"/>
      <c r="Y41" s="489">
        <f>+W41+X41</f>
        <v>0</v>
      </c>
      <c r="Z41" s="109"/>
      <c r="AA41" s="109"/>
      <c r="AB41" s="109"/>
      <c r="AC41" s="109">
        <f t="shared" si="5"/>
        <v>0</v>
      </c>
      <c r="AD41" s="109">
        <f>+O41+W41-U41-V41-AC41</f>
        <v>24240</v>
      </c>
      <c r="AE41" s="657"/>
      <c r="AF41" s="157"/>
      <c r="AG41" s="157"/>
      <c r="AH41" s="157"/>
      <c r="AI41" s="157"/>
      <c r="AJ41" s="157"/>
      <c r="AK41" s="157"/>
      <c r="AL41" s="157"/>
      <c r="AM41" s="157"/>
      <c r="AN41" s="158"/>
      <c r="AO41" s="159"/>
      <c r="AP41" s="159"/>
      <c r="AQ41" s="159"/>
      <c r="AR41" s="160"/>
      <c r="AS41" s="135" t="s">
        <v>168</v>
      </c>
    </row>
    <row r="42" spans="1:45" s="129" customFormat="1" ht="54.75" customHeight="1">
      <c r="A42" s="647"/>
      <c r="B42" s="643"/>
      <c r="C42" s="153" t="s">
        <v>192</v>
      </c>
      <c r="D42" s="150" t="s">
        <v>191</v>
      </c>
      <c r="E42" s="150" t="s">
        <v>158</v>
      </c>
      <c r="F42" s="154">
        <v>120</v>
      </c>
      <c r="G42" s="155"/>
      <c r="H42" s="156">
        <v>120</v>
      </c>
      <c r="I42" s="154">
        <v>0</v>
      </c>
      <c r="J42" s="155">
        <v>120</v>
      </c>
      <c r="K42" s="152">
        <v>0</v>
      </c>
      <c r="L42" s="133">
        <f>F42*K42</f>
        <v>0</v>
      </c>
      <c r="M42" s="132"/>
      <c r="N42" s="479">
        <f>+W42/S42</f>
        <v>1110</v>
      </c>
      <c r="O42" s="116">
        <v>0</v>
      </c>
      <c r="P42" s="133">
        <f>I42*K42</f>
        <v>0</v>
      </c>
      <c r="Q42" s="89">
        <f>N42*J42</f>
        <v>133200</v>
      </c>
      <c r="R42" s="89">
        <f t="shared" si="1"/>
        <v>133200</v>
      </c>
      <c r="S42" s="463">
        <v>48</v>
      </c>
      <c r="T42" s="463">
        <f>+H42-S42</f>
        <v>72</v>
      </c>
      <c r="U42" s="460"/>
      <c r="V42" s="460"/>
      <c r="W42" s="492">
        <v>53280</v>
      </c>
      <c r="X42" s="492"/>
      <c r="Y42" s="489">
        <f>+W42+X42</f>
        <v>53280</v>
      </c>
      <c r="Z42" s="90"/>
      <c r="AA42" s="90"/>
      <c r="AB42" s="90">
        <f>+Y42</f>
        <v>53280</v>
      </c>
      <c r="AC42" s="109">
        <f t="shared" si="5"/>
        <v>53280</v>
      </c>
      <c r="AD42" s="109">
        <f>+O42+W42-U42-V42-AC42</f>
        <v>0</v>
      </c>
      <c r="AE42" s="657"/>
      <c r="AF42" s="157"/>
      <c r="AG42" s="157"/>
      <c r="AH42" s="157"/>
      <c r="AI42" s="157"/>
      <c r="AJ42" s="157"/>
      <c r="AK42" s="157"/>
      <c r="AL42" s="157"/>
      <c r="AM42" s="157"/>
      <c r="AN42" s="158"/>
      <c r="AO42" s="159"/>
      <c r="AP42" s="159"/>
      <c r="AQ42" s="159"/>
      <c r="AR42" s="160"/>
      <c r="AS42" s="135" t="s">
        <v>168</v>
      </c>
    </row>
    <row r="43" spans="1:45" s="129" customFormat="1" ht="36.75" customHeight="1">
      <c r="A43" s="647"/>
      <c r="B43" s="643"/>
      <c r="C43" s="153" t="s">
        <v>156</v>
      </c>
      <c r="D43" s="150" t="s">
        <v>193</v>
      </c>
      <c r="E43" s="150" t="s">
        <v>158</v>
      </c>
      <c r="F43" s="142">
        <v>15726.95652173913</v>
      </c>
      <c r="G43" s="143"/>
      <c r="H43" s="144">
        <v>15587.173913043476</v>
      </c>
      <c r="I43" s="142">
        <v>14925.652173913044</v>
      </c>
      <c r="J43" s="143">
        <v>17450</v>
      </c>
      <c r="K43" s="152">
        <v>21</v>
      </c>
      <c r="L43" s="133">
        <f>F43*K43</f>
        <v>330266.0869565217</v>
      </c>
      <c r="M43" s="132"/>
      <c r="N43" s="479">
        <f>+'[4]Detalle medicinas y prod. salud'!$N$43</f>
        <v>25.518739255014328</v>
      </c>
      <c r="O43" s="116">
        <f>H43*K43</f>
        <v>327330.652173913</v>
      </c>
      <c r="P43" s="133">
        <f>I43*K43</f>
        <v>313438.69565217395</v>
      </c>
      <c r="Q43" s="89">
        <f>N43*J43</f>
        <v>445302</v>
      </c>
      <c r="R43" s="89">
        <f t="shared" si="1"/>
        <v>117971.34782608697</v>
      </c>
      <c r="S43" s="463">
        <f>+V43/N43</f>
        <v>17450</v>
      </c>
      <c r="T43" s="463">
        <f>+H43-S43</f>
        <v>-1862.8260869565238</v>
      </c>
      <c r="U43" s="460"/>
      <c r="V43" s="460">
        <v>445302</v>
      </c>
      <c r="W43" s="460">
        <v>0</v>
      </c>
      <c r="X43" s="460"/>
      <c r="Y43" s="489">
        <f>+W43+X43</f>
        <v>0</v>
      </c>
      <c r="Z43" s="109"/>
      <c r="AA43" s="109"/>
      <c r="AB43" s="109"/>
      <c r="AC43" s="109">
        <f t="shared" si="5"/>
        <v>0</v>
      </c>
      <c r="AD43" s="109">
        <f>+O43+W43-U43-V43-AC43</f>
        <v>-117971.34782608697</v>
      </c>
      <c r="AE43" s="657"/>
      <c r="AF43" s="125"/>
      <c r="AG43" s="125"/>
      <c r="AH43" s="125"/>
      <c r="AI43" s="125"/>
      <c r="AJ43" s="125"/>
      <c r="AK43" s="125"/>
      <c r="AL43" s="125"/>
      <c r="AM43" s="125"/>
      <c r="AN43" s="127"/>
      <c r="AO43" s="128"/>
      <c r="AP43" s="128"/>
      <c r="AQ43" s="128"/>
      <c r="AS43" s="129" t="s">
        <v>160</v>
      </c>
    </row>
    <row r="44" spans="1:45" s="129" customFormat="1" ht="31.5" customHeight="1">
      <c r="A44" s="647"/>
      <c r="B44" s="643"/>
      <c r="C44" s="153" t="s">
        <v>156</v>
      </c>
      <c r="D44" s="150" t="s">
        <v>194</v>
      </c>
      <c r="E44" s="150" t="s">
        <v>158</v>
      </c>
      <c r="F44" s="142">
        <v>16535.77142857143</v>
      </c>
      <c r="G44" s="143"/>
      <c r="H44" s="144">
        <v>16388.8</v>
      </c>
      <c r="I44" s="142">
        <v>15693.257142857143</v>
      </c>
      <c r="J44" s="143">
        <v>17664</v>
      </c>
      <c r="K44" s="152">
        <v>47.4</v>
      </c>
      <c r="L44" s="133">
        <f>F44*K44</f>
        <v>783795.5657142857</v>
      </c>
      <c r="M44" s="132"/>
      <c r="N44" s="479">
        <f>(+V44+X44)/J44</f>
        <v>36.08103260869565</v>
      </c>
      <c r="O44" s="116">
        <f>H44*K44</f>
        <v>776829.12</v>
      </c>
      <c r="P44" s="133">
        <f>I44*K44</f>
        <v>743860.3885714286</v>
      </c>
      <c r="Q44" s="89">
        <f>N44*J44</f>
        <v>637335.36</v>
      </c>
      <c r="R44" s="89">
        <f t="shared" si="1"/>
        <v>-139493.76</v>
      </c>
      <c r="S44" s="463">
        <f>+J44</f>
        <v>17664</v>
      </c>
      <c r="T44" s="463">
        <f>+H44-S44</f>
        <v>-1275.2000000000007</v>
      </c>
      <c r="U44" s="460"/>
      <c r="V44" s="460">
        <v>578223.36</v>
      </c>
      <c r="W44" s="460">
        <v>0</v>
      </c>
      <c r="X44" s="460">
        <v>59112</v>
      </c>
      <c r="Y44" s="489">
        <f>+W44+X44</f>
        <v>59112</v>
      </c>
      <c r="Z44" s="109">
        <v>0</v>
      </c>
      <c r="AA44" s="109">
        <f>+'[3]Recalend MINSAL PNUD S3  2015'!$T$39</f>
        <v>59112</v>
      </c>
      <c r="AB44" s="109"/>
      <c r="AC44" s="109">
        <f t="shared" si="5"/>
        <v>59112</v>
      </c>
      <c r="AD44" s="109">
        <f>+O44+W44-U44-V44-AC44</f>
        <v>139493.76</v>
      </c>
      <c r="AE44" s="657"/>
      <c r="AF44" s="125"/>
      <c r="AG44" s="125"/>
      <c r="AH44" s="125"/>
      <c r="AI44" s="125"/>
      <c r="AJ44" s="125"/>
      <c r="AK44" s="125"/>
      <c r="AL44" s="125"/>
      <c r="AM44" s="125"/>
      <c r="AN44" s="127"/>
      <c r="AO44" s="128"/>
      <c r="AP44" s="128"/>
      <c r="AQ44" s="128"/>
      <c r="AS44" s="129" t="s">
        <v>160</v>
      </c>
    </row>
    <row r="45" spans="1:43" s="131" customFormat="1" ht="15">
      <c r="A45" s="647"/>
      <c r="B45" s="262" t="s">
        <v>315</v>
      </c>
      <c r="C45" s="286"/>
      <c r="D45" s="286"/>
      <c r="E45" s="286"/>
      <c r="F45" s="279"/>
      <c r="G45" s="280"/>
      <c r="H45" s="285"/>
      <c r="I45" s="283"/>
      <c r="J45" s="284"/>
      <c r="K45" s="287"/>
      <c r="L45" s="269">
        <f>SUM(L41:L44)</f>
        <v>1191581.6526708074</v>
      </c>
      <c r="M45" s="270"/>
      <c r="N45" s="477"/>
      <c r="O45" s="269">
        <f aca="true" t="shared" si="9" ref="O45:Y45">SUM(O41:O44)</f>
        <v>1181679.772173913</v>
      </c>
      <c r="P45" s="269">
        <f t="shared" si="9"/>
        <v>1057299.0842236024</v>
      </c>
      <c r="Q45" s="269">
        <f t="shared" si="9"/>
        <v>1269117.3599999999</v>
      </c>
      <c r="R45" s="269">
        <f t="shared" si="9"/>
        <v>87437.58782608696</v>
      </c>
      <c r="S45" s="466"/>
      <c r="T45" s="466"/>
      <c r="U45" s="466">
        <f t="shared" si="9"/>
        <v>0</v>
      </c>
      <c r="V45" s="466">
        <f>SUM(V41:V44)</f>
        <v>1076805.3599999999</v>
      </c>
      <c r="W45" s="466">
        <f>SUM(W41:W44)</f>
        <v>53280</v>
      </c>
      <c r="X45" s="466">
        <f>SUM(X41:X44)</f>
        <v>59112</v>
      </c>
      <c r="Y45" s="466">
        <f t="shared" si="9"/>
        <v>112392</v>
      </c>
      <c r="Z45" s="269">
        <f>SUM(Z41:Z44)</f>
        <v>0</v>
      </c>
      <c r="AA45" s="269">
        <f>SUM(AA41:AA44)</f>
        <v>59112</v>
      </c>
      <c r="AB45" s="269">
        <f>SUM(AB41:AB44)</f>
        <v>53280</v>
      </c>
      <c r="AC45" s="270">
        <f t="shared" si="5"/>
        <v>112392</v>
      </c>
      <c r="AD45" s="270">
        <f>SUM(AD41:AD44)</f>
        <v>45762.412173913035</v>
      </c>
      <c r="AE45" s="657"/>
      <c r="AF45" s="121"/>
      <c r="AG45" s="121"/>
      <c r="AH45" s="121"/>
      <c r="AI45" s="121"/>
      <c r="AJ45" s="121"/>
      <c r="AK45" s="121"/>
      <c r="AL45" s="121"/>
      <c r="AM45" s="121"/>
      <c r="AN45" s="120"/>
      <c r="AO45" s="98"/>
      <c r="AP45" s="98"/>
      <c r="AQ45" s="98"/>
    </row>
    <row r="46" spans="1:43" s="131" customFormat="1" ht="14.25">
      <c r="A46" s="647"/>
      <c r="N46" s="481"/>
      <c r="S46" s="468"/>
      <c r="T46" s="468"/>
      <c r="U46" s="468"/>
      <c r="V46" s="468"/>
      <c r="W46" s="468"/>
      <c r="X46" s="468"/>
      <c r="Y46" s="468"/>
      <c r="AE46" s="657"/>
      <c r="AF46" s="121"/>
      <c r="AG46" s="121"/>
      <c r="AH46" s="121"/>
      <c r="AI46" s="121"/>
      <c r="AJ46" s="121"/>
      <c r="AK46" s="121"/>
      <c r="AL46" s="121"/>
      <c r="AM46" s="121"/>
      <c r="AN46" s="120"/>
      <c r="AO46" s="98"/>
      <c r="AP46" s="98"/>
      <c r="AQ46" s="98"/>
    </row>
    <row r="47" spans="1:47" s="131" customFormat="1" ht="25.5" customHeight="1">
      <c r="A47" s="647"/>
      <c r="B47" s="644" t="s">
        <v>195</v>
      </c>
      <c r="C47" s="645" t="s">
        <v>156</v>
      </c>
      <c r="D47" s="162" t="s">
        <v>196</v>
      </c>
      <c r="E47" s="163" t="s">
        <v>197</v>
      </c>
      <c r="F47" s="164">
        <v>9600</v>
      </c>
      <c r="G47" s="165"/>
      <c r="H47" s="166">
        <f>PRODUCT(F47,2,0.4)</f>
        <v>7680</v>
      </c>
      <c r="I47" s="164">
        <f>PRODUCT(F47,2,0.3)</f>
        <v>5760</v>
      </c>
      <c r="J47" s="165">
        <v>12000</v>
      </c>
      <c r="K47" s="167">
        <v>10.3</v>
      </c>
      <c r="L47" s="133">
        <f aca="true" t="shared" si="10" ref="L47:L63">F47*K47</f>
        <v>98880</v>
      </c>
      <c r="M47" s="132"/>
      <c r="N47" s="479">
        <f>+'[4]Detalle medicinas y prod. salud'!$N$47</f>
        <v>5.75</v>
      </c>
      <c r="O47" s="116">
        <f aca="true" t="shared" si="11" ref="O47:O63">H47*K47</f>
        <v>79104</v>
      </c>
      <c r="P47" s="133">
        <f aca="true" t="shared" si="12" ref="P47:P63">I47*K47</f>
        <v>59328.00000000001</v>
      </c>
      <c r="Q47" s="89">
        <f aca="true" t="shared" si="13" ref="Q47:Q54">N47*J47</f>
        <v>69000</v>
      </c>
      <c r="R47" s="89">
        <f t="shared" si="1"/>
        <v>-10104</v>
      </c>
      <c r="S47" s="463">
        <f>+U47/N47</f>
        <v>12000</v>
      </c>
      <c r="T47" s="463">
        <f aca="true" t="shared" si="14" ref="T47:T68">+H47-S47</f>
        <v>-4320</v>
      </c>
      <c r="U47" s="460">
        <v>69000</v>
      </c>
      <c r="V47" s="460">
        <v>0</v>
      </c>
      <c r="W47" s="460">
        <v>0</v>
      </c>
      <c r="X47" s="460"/>
      <c r="Y47" s="489">
        <f aca="true" t="shared" si="15" ref="Y47:Y68">+W47+X47</f>
        <v>0</v>
      </c>
      <c r="Z47" s="151"/>
      <c r="AA47" s="151"/>
      <c r="AB47" s="151"/>
      <c r="AC47" s="109">
        <f t="shared" si="5"/>
        <v>0</v>
      </c>
      <c r="AD47" s="109">
        <f aca="true" t="shared" si="16" ref="AD47:AD68">+O47+W47-U47-V47-AC47</f>
        <v>10104</v>
      </c>
      <c r="AE47" s="657"/>
      <c r="AF47" s="121"/>
      <c r="AG47" s="121"/>
      <c r="AH47" s="121"/>
      <c r="AI47" s="121"/>
      <c r="AJ47" s="121"/>
      <c r="AK47" s="121"/>
      <c r="AL47" s="121"/>
      <c r="AM47" s="121"/>
      <c r="AN47" s="120"/>
      <c r="AO47" s="98"/>
      <c r="AP47" s="98"/>
      <c r="AQ47" s="98"/>
      <c r="AR47" s="168"/>
      <c r="AS47" s="131" t="s">
        <v>198</v>
      </c>
      <c r="AT47" s="514">
        <f>+AD47</f>
        <v>10104</v>
      </c>
      <c r="AU47" s="131">
        <f>8.96+11.28</f>
        <v>20.240000000000002</v>
      </c>
    </row>
    <row r="48" spans="1:45" s="129" customFormat="1" ht="51" customHeight="1">
      <c r="A48" s="647"/>
      <c r="B48" s="644"/>
      <c r="C48" s="645"/>
      <c r="D48" s="162" t="s">
        <v>199</v>
      </c>
      <c r="E48" s="163" t="s">
        <v>200</v>
      </c>
      <c r="F48" s="164">
        <f>1400*112*0.5</f>
        <v>78400</v>
      </c>
      <c r="G48" s="165"/>
      <c r="H48" s="166">
        <f>1400*112*0.4</f>
        <v>62720</v>
      </c>
      <c r="I48" s="164">
        <f>1400*112*0.3</f>
        <v>47040</v>
      </c>
      <c r="J48" s="165">
        <f aca="true" t="shared" si="17" ref="J48:J68">+H48</f>
        <v>62720</v>
      </c>
      <c r="K48" s="167">
        <v>0.47</v>
      </c>
      <c r="L48" s="133">
        <f t="shared" si="10"/>
        <v>36848</v>
      </c>
      <c r="M48" s="132"/>
      <c r="N48" s="479">
        <f>+'[2]Plan compras anio 1 vs gastos'!K46</f>
        <v>0.72</v>
      </c>
      <c r="O48" s="116">
        <f t="shared" si="11"/>
        <v>29478.399999999998</v>
      </c>
      <c r="P48" s="133">
        <f t="shared" si="12"/>
        <v>22108.8</v>
      </c>
      <c r="Q48" s="89">
        <f t="shared" si="13"/>
        <v>45158.4</v>
      </c>
      <c r="R48" s="89">
        <f t="shared" si="1"/>
        <v>15680.000000000004</v>
      </c>
      <c r="S48" s="463">
        <f>+X48/N48</f>
        <v>40929.16666666667</v>
      </c>
      <c r="T48" s="463">
        <f>+H48-S48</f>
        <v>21790.83333333333</v>
      </c>
      <c r="U48" s="460"/>
      <c r="V48" s="460"/>
      <c r="W48" s="460">
        <v>0</v>
      </c>
      <c r="X48" s="460">
        <v>29469</v>
      </c>
      <c r="Y48" s="489">
        <f t="shared" si="15"/>
        <v>29469</v>
      </c>
      <c r="Z48" s="151">
        <v>0</v>
      </c>
      <c r="AA48" s="151"/>
      <c r="AB48" s="510">
        <f>+'[3]Recalend MINSAL PNUD S3  2015'!$U$33</f>
        <v>29469</v>
      </c>
      <c r="AC48" s="109">
        <f t="shared" si="5"/>
        <v>29469</v>
      </c>
      <c r="AD48" s="109">
        <f t="shared" si="16"/>
        <v>9.399999999997817</v>
      </c>
      <c r="AE48" s="657"/>
      <c r="AF48" s="125"/>
      <c r="AG48" s="125"/>
      <c r="AH48" s="125"/>
      <c r="AI48" s="125"/>
      <c r="AJ48" s="125"/>
      <c r="AK48" s="125"/>
      <c r="AL48" s="125"/>
      <c r="AM48" s="125"/>
      <c r="AN48" s="127"/>
      <c r="AO48" s="128"/>
      <c r="AP48" s="128"/>
      <c r="AQ48" s="128"/>
      <c r="AS48" s="129" t="s">
        <v>198</v>
      </c>
    </row>
    <row r="49" spans="1:45" s="129" customFormat="1" ht="123" customHeight="1">
      <c r="A49" s="647"/>
      <c r="B49" s="644"/>
      <c r="C49" s="645"/>
      <c r="D49" s="162" t="s">
        <v>201</v>
      </c>
      <c r="E49" s="163" t="s">
        <v>185</v>
      </c>
      <c r="F49" s="164">
        <v>5786</v>
      </c>
      <c r="G49" s="165"/>
      <c r="H49" s="166">
        <v>4628.8</v>
      </c>
      <c r="I49" s="164">
        <f>PRODUCT(F49,2,0.3)</f>
        <v>3471.6</v>
      </c>
      <c r="J49" s="165">
        <f t="shared" si="17"/>
        <v>4628.8</v>
      </c>
      <c r="K49" s="167">
        <v>4.72</v>
      </c>
      <c r="L49" s="133">
        <f t="shared" si="10"/>
        <v>27309.92</v>
      </c>
      <c r="M49" s="132"/>
      <c r="N49" s="479">
        <f>+X49/S49</f>
        <v>0.2878</v>
      </c>
      <c r="O49" s="116">
        <f>H49*K49</f>
        <v>21847.936</v>
      </c>
      <c r="P49" s="133">
        <f t="shared" si="12"/>
        <v>16385.951999999997</v>
      </c>
      <c r="Q49" s="89">
        <f t="shared" si="13"/>
        <v>1332.16864</v>
      </c>
      <c r="R49" s="89">
        <f t="shared" si="1"/>
        <v>-20515.76736</v>
      </c>
      <c r="S49" s="463">
        <f>(1150*100)</f>
        <v>115000</v>
      </c>
      <c r="T49" s="463">
        <f t="shared" si="14"/>
        <v>-110371.2</v>
      </c>
      <c r="U49" s="460"/>
      <c r="V49" s="460"/>
      <c r="W49" s="460"/>
      <c r="X49" s="460">
        <v>33097</v>
      </c>
      <c r="Y49" s="489">
        <f t="shared" si="15"/>
        <v>33097</v>
      </c>
      <c r="Z49" s="151"/>
      <c r="AA49" s="151"/>
      <c r="AB49" s="151">
        <v>33097</v>
      </c>
      <c r="AC49" s="109">
        <f t="shared" si="5"/>
        <v>33097</v>
      </c>
      <c r="AD49" s="109">
        <f t="shared" si="16"/>
        <v>-11249.063999999998</v>
      </c>
      <c r="AE49" s="657"/>
      <c r="AF49" s="125"/>
      <c r="AG49" s="125"/>
      <c r="AH49" s="125"/>
      <c r="AI49" s="125"/>
      <c r="AJ49" s="125"/>
      <c r="AK49" s="125"/>
      <c r="AL49" s="125"/>
      <c r="AM49" s="125"/>
      <c r="AN49" s="127"/>
      <c r="AO49" s="128"/>
      <c r="AP49" s="128"/>
      <c r="AQ49" s="128"/>
      <c r="AS49" s="129" t="s">
        <v>198</v>
      </c>
    </row>
    <row r="50" spans="1:45" s="131" customFormat="1" ht="104.25" customHeight="1">
      <c r="A50" s="647"/>
      <c r="B50" s="644"/>
      <c r="C50" s="645"/>
      <c r="D50" s="162" t="s">
        <v>202</v>
      </c>
      <c r="E50" s="163" t="s">
        <v>197</v>
      </c>
      <c r="F50" s="164">
        <v>1400</v>
      </c>
      <c r="G50" s="165"/>
      <c r="H50" s="166">
        <f>PRODUCT(F50,2,0.4)</f>
        <v>1120</v>
      </c>
      <c r="I50" s="164">
        <f>PRODUCT(F50,2,0.3)</f>
        <v>840</v>
      </c>
      <c r="J50" s="165">
        <f t="shared" si="17"/>
        <v>1120</v>
      </c>
      <c r="K50" s="167">
        <v>13.6</v>
      </c>
      <c r="L50" s="133">
        <f t="shared" si="10"/>
        <v>19040</v>
      </c>
      <c r="M50" s="132"/>
      <c r="N50" s="479">
        <v>3.27</v>
      </c>
      <c r="O50" s="116">
        <f t="shared" si="11"/>
        <v>15232</v>
      </c>
      <c r="P50" s="133">
        <f t="shared" si="12"/>
        <v>11424</v>
      </c>
      <c r="Q50" s="89">
        <f t="shared" si="13"/>
        <v>3662.4</v>
      </c>
      <c r="R50" s="89">
        <f t="shared" si="1"/>
        <v>-11569.6</v>
      </c>
      <c r="S50" s="463">
        <f>+X50/N50</f>
        <v>1250</v>
      </c>
      <c r="T50" s="463">
        <f t="shared" si="14"/>
        <v>-130</v>
      </c>
      <c r="U50" s="460"/>
      <c r="V50" s="460"/>
      <c r="W50" s="460">
        <v>0</v>
      </c>
      <c r="X50" s="460">
        <v>4087.5</v>
      </c>
      <c r="Y50" s="489">
        <f t="shared" si="15"/>
        <v>4087.5</v>
      </c>
      <c r="Z50" s="151"/>
      <c r="AA50" s="151"/>
      <c r="AB50" s="151">
        <v>4087.5</v>
      </c>
      <c r="AC50" s="109">
        <f t="shared" si="5"/>
        <v>4087.5</v>
      </c>
      <c r="AD50" s="109">
        <f t="shared" si="16"/>
        <v>11144.5</v>
      </c>
      <c r="AE50" s="657"/>
      <c r="AF50" s="121"/>
      <c r="AG50" s="121"/>
      <c r="AH50" s="121"/>
      <c r="AI50" s="121"/>
      <c r="AJ50" s="121"/>
      <c r="AK50" s="121"/>
      <c r="AL50" s="121"/>
      <c r="AM50" s="121"/>
      <c r="AN50" s="120"/>
      <c r="AO50" s="98"/>
      <c r="AP50" s="98"/>
      <c r="AQ50" s="98"/>
      <c r="AR50" s="127"/>
      <c r="AS50" s="131" t="s">
        <v>198</v>
      </c>
    </row>
    <row r="51" spans="1:45" s="131" customFormat="1" ht="35.25" customHeight="1">
      <c r="A51" s="647"/>
      <c r="B51" s="644"/>
      <c r="C51" s="645"/>
      <c r="D51" s="162" t="s">
        <v>203</v>
      </c>
      <c r="E51" s="163" t="s">
        <v>197</v>
      </c>
      <c r="F51" s="164">
        <v>2100</v>
      </c>
      <c r="G51" s="165"/>
      <c r="H51" s="166">
        <f>PRODUCT(F51,2,0.4)</f>
        <v>1680</v>
      </c>
      <c r="I51" s="164">
        <f>PRODUCT(F51,2,0.3)</f>
        <v>1260</v>
      </c>
      <c r="J51" s="165">
        <f t="shared" si="17"/>
        <v>1680</v>
      </c>
      <c r="K51" s="167">
        <v>46.06</v>
      </c>
      <c r="L51" s="133">
        <f t="shared" si="10"/>
        <v>96726</v>
      </c>
      <c r="M51" s="132"/>
      <c r="N51" s="479">
        <v>59</v>
      </c>
      <c r="O51" s="116">
        <f t="shared" si="11"/>
        <v>77380.8</v>
      </c>
      <c r="P51" s="133">
        <f t="shared" si="12"/>
        <v>58035.600000000006</v>
      </c>
      <c r="Q51" s="89">
        <f t="shared" si="13"/>
        <v>99120</v>
      </c>
      <c r="R51" s="89">
        <f t="shared" si="1"/>
        <v>21739.199999999997</v>
      </c>
      <c r="S51" s="463">
        <v>1300</v>
      </c>
      <c r="T51" s="463">
        <f t="shared" si="14"/>
        <v>380</v>
      </c>
      <c r="U51" s="460"/>
      <c r="V51" s="460"/>
      <c r="W51" s="460">
        <v>0</v>
      </c>
      <c r="X51" s="460">
        <v>76700</v>
      </c>
      <c r="Y51" s="489">
        <f t="shared" si="15"/>
        <v>76700</v>
      </c>
      <c r="Z51" s="151"/>
      <c r="AA51" s="151"/>
      <c r="AB51" s="151">
        <v>76700</v>
      </c>
      <c r="AC51" s="109">
        <f t="shared" si="5"/>
        <v>76700</v>
      </c>
      <c r="AD51" s="109">
        <f t="shared" si="16"/>
        <v>680.8000000000029</v>
      </c>
      <c r="AE51" s="657"/>
      <c r="AF51" s="121"/>
      <c r="AG51" s="121"/>
      <c r="AH51" s="121"/>
      <c r="AI51" s="121"/>
      <c r="AJ51" s="121"/>
      <c r="AK51" s="121"/>
      <c r="AL51" s="121"/>
      <c r="AM51" s="121"/>
      <c r="AN51" s="120"/>
      <c r="AO51" s="98"/>
      <c r="AP51" s="98"/>
      <c r="AQ51" s="98"/>
      <c r="AR51" s="127"/>
      <c r="AS51" s="131" t="s">
        <v>198</v>
      </c>
    </row>
    <row r="52" spans="1:45" s="131" customFormat="1" ht="32.25" customHeight="1">
      <c r="A52" s="647"/>
      <c r="B52" s="644"/>
      <c r="C52" s="645"/>
      <c r="D52" s="162" t="s">
        <v>204</v>
      </c>
      <c r="E52" s="163" t="s">
        <v>185</v>
      </c>
      <c r="F52" s="164">
        <v>840</v>
      </c>
      <c r="G52" s="165"/>
      <c r="H52" s="166">
        <f>PRODUCT(F52,2,0.4)</f>
        <v>672</v>
      </c>
      <c r="I52" s="164">
        <f>PRODUCT(F52,2,0.3)</f>
        <v>504</v>
      </c>
      <c r="J52" s="165">
        <f t="shared" si="17"/>
        <v>672</v>
      </c>
      <c r="K52" s="167">
        <v>8.2</v>
      </c>
      <c r="L52" s="133">
        <f t="shared" si="10"/>
        <v>6887.999999999999</v>
      </c>
      <c r="M52" s="132"/>
      <c r="N52" s="479">
        <v>9</v>
      </c>
      <c r="O52" s="116">
        <f t="shared" si="11"/>
        <v>5510.4</v>
      </c>
      <c r="P52" s="133">
        <f t="shared" si="12"/>
        <v>4132.799999999999</v>
      </c>
      <c r="Q52" s="89">
        <f t="shared" si="13"/>
        <v>6048</v>
      </c>
      <c r="R52" s="89">
        <f t="shared" si="1"/>
        <v>537.6000000000004</v>
      </c>
      <c r="S52" s="463">
        <v>650</v>
      </c>
      <c r="T52" s="463">
        <f t="shared" si="14"/>
        <v>22</v>
      </c>
      <c r="U52" s="460"/>
      <c r="V52" s="460"/>
      <c r="W52" s="460">
        <v>0</v>
      </c>
      <c r="X52" s="460">
        <v>5850</v>
      </c>
      <c r="Y52" s="489">
        <f t="shared" si="15"/>
        <v>5850</v>
      </c>
      <c r="Z52" s="151"/>
      <c r="AA52" s="151"/>
      <c r="AB52" s="151">
        <v>5850</v>
      </c>
      <c r="AC52" s="109">
        <f t="shared" si="5"/>
        <v>5850</v>
      </c>
      <c r="AD52" s="109">
        <f t="shared" si="16"/>
        <v>-339.60000000000036</v>
      </c>
      <c r="AE52" s="657"/>
      <c r="AF52" s="121"/>
      <c r="AG52" s="121"/>
      <c r="AH52" s="121"/>
      <c r="AI52" s="121"/>
      <c r="AJ52" s="121"/>
      <c r="AK52" s="121"/>
      <c r="AL52" s="121"/>
      <c r="AM52" s="121"/>
      <c r="AN52" s="120"/>
      <c r="AO52" s="98"/>
      <c r="AP52" s="98"/>
      <c r="AQ52" s="98"/>
      <c r="AR52" s="127"/>
      <c r="AS52" s="131" t="s">
        <v>198</v>
      </c>
    </row>
    <row r="53" spans="1:45" s="131" customFormat="1" ht="34.5" customHeight="1">
      <c r="A53" s="647"/>
      <c r="B53" s="644"/>
      <c r="C53" s="645"/>
      <c r="D53" s="161" t="s">
        <v>205</v>
      </c>
      <c r="E53" s="161" t="s">
        <v>158</v>
      </c>
      <c r="F53" s="169">
        <f>512*0.5/0.75</f>
        <v>341.3333333333333</v>
      </c>
      <c r="G53" s="170"/>
      <c r="H53" s="166">
        <f>512*0.4/0.75</f>
        <v>273.06666666666666</v>
      </c>
      <c r="I53" s="164">
        <f>512*0.3/0.75</f>
        <v>204.79999999999998</v>
      </c>
      <c r="J53" s="165">
        <f t="shared" si="17"/>
        <v>273.06666666666666</v>
      </c>
      <c r="K53" s="152">
        <f>341/24</f>
        <v>14.208333333333334</v>
      </c>
      <c r="L53" s="133">
        <f t="shared" si="10"/>
        <v>4849.777777777777</v>
      </c>
      <c r="M53" s="132"/>
      <c r="N53" s="479">
        <f>+X53/S53</f>
        <v>13.185860805860806</v>
      </c>
      <c r="O53" s="116">
        <f t="shared" si="11"/>
        <v>3879.8222222222225</v>
      </c>
      <c r="P53" s="133">
        <f t="shared" si="12"/>
        <v>2909.8666666666663</v>
      </c>
      <c r="Q53" s="89">
        <f t="shared" si="13"/>
        <v>3600.619057387057</v>
      </c>
      <c r="R53" s="89">
        <f t="shared" si="1"/>
        <v>-279.20316483516535</v>
      </c>
      <c r="S53" s="463">
        <v>273</v>
      </c>
      <c r="T53" s="463">
        <f t="shared" si="14"/>
        <v>0.06666666666666288</v>
      </c>
      <c r="U53" s="460"/>
      <c r="V53" s="460"/>
      <c r="W53" s="460">
        <v>0</v>
      </c>
      <c r="X53" s="460">
        <v>3599.74</v>
      </c>
      <c r="Y53" s="489">
        <f t="shared" si="15"/>
        <v>3599.74</v>
      </c>
      <c r="Z53" s="109">
        <v>0</v>
      </c>
      <c r="AA53" s="109"/>
      <c r="AB53" s="109">
        <v>3599.74</v>
      </c>
      <c r="AC53" s="109">
        <f t="shared" si="5"/>
        <v>3599.74</v>
      </c>
      <c r="AD53" s="109">
        <f t="shared" si="16"/>
        <v>280.08222222222275</v>
      </c>
      <c r="AE53" s="657"/>
      <c r="AF53" s="121"/>
      <c r="AG53" s="121"/>
      <c r="AH53" s="121"/>
      <c r="AI53" s="121"/>
      <c r="AJ53" s="121"/>
      <c r="AK53" s="121"/>
      <c r="AL53" s="121"/>
      <c r="AM53" s="121"/>
      <c r="AN53" s="120"/>
      <c r="AO53" s="98"/>
      <c r="AP53" s="98"/>
      <c r="AQ53" s="98"/>
      <c r="AR53" s="127"/>
      <c r="AS53" s="129" t="s">
        <v>168</v>
      </c>
    </row>
    <row r="54" spans="1:45" s="131" customFormat="1" ht="35.25" customHeight="1">
      <c r="A54" s="647"/>
      <c r="B54" s="644"/>
      <c r="C54" s="645"/>
      <c r="D54" s="150" t="s">
        <v>206</v>
      </c>
      <c r="E54" s="161" t="s">
        <v>158</v>
      </c>
      <c r="F54" s="164">
        <f>960/0.8*0.5</f>
        <v>600</v>
      </c>
      <c r="G54" s="165"/>
      <c r="H54" s="166">
        <f>960/0.8*0.4</f>
        <v>480</v>
      </c>
      <c r="I54" s="164">
        <f>960/0.8*0.3</f>
        <v>360</v>
      </c>
      <c r="J54" s="165">
        <f t="shared" si="17"/>
        <v>480</v>
      </c>
      <c r="K54" s="152">
        <v>11.29</v>
      </c>
      <c r="L54" s="133">
        <f t="shared" si="10"/>
        <v>6773.999999999999</v>
      </c>
      <c r="M54" s="132"/>
      <c r="N54" s="479">
        <f>+X54/S54</f>
        <v>11.29</v>
      </c>
      <c r="O54" s="116">
        <f t="shared" si="11"/>
        <v>5419.2</v>
      </c>
      <c r="P54" s="133">
        <f t="shared" si="12"/>
        <v>4064.3999999999996</v>
      </c>
      <c r="Q54" s="89">
        <f t="shared" si="13"/>
        <v>5419.2</v>
      </c>
      <c r="R54" s="89">
        <f t="shared" si="1"/>
        <v>0</v>
      </c>
      <c r="S54" s="463">
        <v>480</v>
      </c>
      <c r="T54" s="463">
        <f t="shared" si="14"/>
        <v>0</v>
      </c>
      <c r="U54" s="460"/>
      <c r="V54" s="460"/>
      <c r="W54" s="460">
        <v>0</v>
      </c>
      <c r="X54" s="460">
        <v>5419.2</v>
      </c>
      <c r="Y54" s="489">
        <f t="shared" si="15"/>
        <v>5419.2</v>
      </c>
      <c r="Z54" s="109">
        <v>0</v>
      </c>
      <c r="AA54" s="109"/>
      <c r="AB54" s="109">
        <v>5419.2</v>
      </c>
      <c r="AC54" s="109">
        <f t="shared" si="5"/>
        <v>5419.2</v>
      </c>
      <c r="AD54" s="109">
        <f t="shared" si="16"/>
        <v>0</v>
      </c>
      <c r="AE54" s="657"/>
      <c r="AF54" s="121"/>
      <c r="AG54" s="121"/>
      <c r="AH54" s="121"/>
      <c r="AI54" s="121"/>
      <c r="AJ54" s="121"/>
      <c r="AK54" s="121"/>
      <c r="AL54" s="121"/>
      <c r="AM54" s="121"/>
      <c r="AN54" s="120"/>
      <c r="AO54" s="98"/>
      <c r="AP54" s="98"/>
      <c r="AQ54" s="98"/>
      <c r="AR54" s="127"/>
      <c r="AS54" s="129" t="s">
        <v>168</v>
      </c>
    </row>
    <row r="55" spans="1:45" s="131" customFormat="1" ht="35.25" customHeight="1">
      <c r="A55" s="647"/>
      <c r="B55" s="644"/>
      <c r="C55" s="100" t="s">
        <v>192</v>
      </c>
      <c r="D55" s="150" t="s">
        <v>206</v>
      </c>
      <c r="E55" s="161" t="s">
        <v>207</v>
      </c>
      <c r="F55" s="164"/>
      <c r="G55" s="165"/>
      <c r="H55" s="166">
        <v>108</v>
      </c>
      <c r="I55" s="164"/>
      <c r="J55" s="165">
        <v>1</v>
      </c>
      <c r="K55" s="152"/>
      <c r="L55" s="133"/>
      <c r="M55" s="132"/>
      <c r="N55" s="479">
        <f>+W55/S55</f>
        <v>11.25</v>
      </c>
      <c r="O55" s="116"/>
      <c r="P55" s="133"/>
      <c r="Q55" s="89">
        <v>1185</v>
      </c>
      <c r="R55" s="89">
        <f t="shared" si="1"/>
        <v>1185</v>
      </c>
      <c r="S55" s="463">
        <v>108</v>
      </c>
      <c r="T55" s="463">
        <f t="shared" si="14"/>
        <v>0</v>
      </c>
      <c r="U55" s="460"/>
      <c r="V55" s="460"/>
      <c r="W55" s="460">
        <v>1215</v>
      </c>
      <c r="X55" s="460"/>
      <c r="Y55" s="489">
        <f t="shared" si="15"/>
        <v>1215</v>
      </c>
      <c r="Z55" s="90">
        <f>+'[3]Recalend MINSAL PNUD S3  2015'!$S$83</f>
        <v>760</v>
      </c>
      <c r="AA55" s="90">
        <f>+'[3]Recalend MINSAL PNUD S3  2015'!$T$83</f>
        <v>455</v>
      </c>
      <c r="AB55" s="90"/>
      <c r="AC55" s="109">
        <f t="shared" si="5"/>
        <v>1215</v>
      </c>
      <c r="AD55" s="109">
        <f t="shared" si="16"/>
        <v>0</v>
      </c>
      <c r="AE55" s="657"/>
      <c r="AF55" s="121"/>
      <c r="AG55" s="121"/>
      <c r="AH55" s="121"/>
      <c r="AI55" s="121"/>
      <c r="AJ55" s="121"/>
      <c r="AK55" s="121"/>
      <c r="AL55" s="121"/>
      <c r="AM55" s="121"/>
      <c r="AN55" s="120"/>
      <c r="AO55" s="98"/>
      <c r="AP55" s="98"/>
      <c r="AQ55" s="98"/>
      <c r="AR55" s="127"/>
      <c r="AS55" s="129" t="s">
        <v>168</v>
      </c>
    </row>
    <row r="56" spans="1:45" s="131" customFormat="1" ht="29.25" customHeight="1">
      <c r="A56" s="647"/>
      <c r="B56" s="644"/>
      <c r="C56" s="645" t="s">
        <v>156</v>
      </c>
      <c r="D56" s="150" t="s">
        <v>208</v>
      </c>
      <c r="E56" s="161" t="s">
        <v>158</v>
      </c>
      <c r="F56" s="164">
        <f>1500*1.1*0.5/0.8</f>
        <v>1031.25</v>
      </c>
      <c r="G56" s="165"/>
      <c r="H56" s="166">
        <f>1500*1.1*0.4/0.8</f>
        <v>825.0000000000001</v>
      </c>
      <c r="I56" s="164">
        <f>1500*1.1*0.3/0.8</f>
        <v>618.75</v>
      </c>
      <c r="J56" s="165">
        <f t="shared" si="17"/>
        <v>825.0000000000001</v>
      </c>
      <c r="K56" s="152">
        <v>3.78</v>
      </c>
      <c r="L56" s="133">
        <f t="shared" si="10"/>
        <v>3898.125</v>
      </c>
      <c r="M56" s="132"/>
      <c r="N56" s="479">
        <v>3.78</v>
      </c>
      <c r="O56" s="116">
        <f t="shared" si="11"/>
        <v>3118.5000000000005</v>
      </c>
      <c r="P56" s="133">
        <f t="shared" si="12"/>
        <v>2338.875</v>
      </c>
      <c r="Q56" s="89">
        <f aca="true" t="shared" si="18" ref="Q56:Q68">N56*J56</f>
        <v>3118.5000000000005</v>
      </c>
      <c r="R56" s="89">
        <f t="shared" si="1"/>
        <v>0</v>
      </c>
      <c r="S56" s="500">
        <v>825.0000000000001</v>
      </c>
      <c r="T56" s="463">
        <f t="shared" si="14"/>
        <v>0</v>
      </c>
      <c r="U56" s="460"/>
      <c r="V56" s="460"/>
      <c r="W56" s="460">
        <v>0</v>
      </c>
      <c r="X56" s="501">
        <f>+N56*S56</f>
        <v>3118.5000000000005</v>
      </c>
      <c r="Y56" s="489">
        <f t="shared" si="15"/>
        <v>3118.5000000000005</v>
      </c>
      <c r="Z56" s="109"/>
      <c r="AA56" s="109"/>
      <c r="AB56" s="109">
        <f>+Y56</f>
        <v>3118.5000000000005</v>
      </c>
      <c r="AC56" s="109">
        <f t="shared" si="5"/>
        <v>3118.5000000000005</v>
      </c>
      <c r="AD56" s="109">
        <f t="shared" si="16"/>
        <v>0</v>
      </c>
      <c r="AE56" s="657"/>
      <c r="AF56" s="121"/>
      <c r="AG56" s="121"/>
      <c r="AH56" s="121"/>
      <c r="AI56" s="121"/>
      <c r="AJ56" s="121"/>
      <c r="AK56" s="121"/>
      <c r="AL56" s="121"/>
      <c r="AM56" s="121"/>
      <c r="AN56" s="120"/>
      <c r="AO56" s="98"/>
      <c r="AP56" s="98"/>
      <c r="AQ56" s="98"/>
      <c r="AR56" s="127"/>
      <c r="AS56" s="129" t="s">
        <v>168</v>
      </c>
    </row>
    <row r="57" spans="1:45" s="131" customFormat="1" ht="30" customHeight="1">
      <c r="A57" s="647"/>
      <c r="B57" s="644"/>
      <c r="C57" s="645"/>
      <c r="D57" s="150" t="s">
        <v>209</v>
      </c>
      <c r="E57" s="161" t="s">
        <v>158</v>
      </c>
      <c r="F57" s="164">
        <f>1500*1.1*0.5/0.8</f>
        <v>1031.25</v>
      </c>
      <c r="G57" s="165"/>
      <c r="H57" s="166">
        <f>1500*1.1*0.4/0.8</f>
        <v>825.0000000000001</v>
      </c>
      <c r="I57" s="164">
        <f>1500*1.1*0.3/0.8</f>
        <v>618.75</v>
      </c>
      <c r="J57" s="165">
        <f t="shared" si="17"/>
        <v>825.0000000000001</v>
      </c>
      <c r="K57" s="152">
        <v>5.63</v>
      </c>
      <c r="L57" s="133">
        <f t="shared" si="10"/>
        <v>5805.9375</v>
      </c>
      <c r="M57" s="132"/>
      <c r="N57" s="479">
        <v>5.63</v>
      </c>
      <c r="O57" s="116">
        <f t="shared" si="11"/>
        <v>4644.750000000001</v>
      </c>
      <c r="P57" s="133">
        <f t="shared" si="12"/>
        <v>3483.5625</v>
      </c>
      <c r="Q57" s="89">
        <f t="shared" si="18"/>
        <v>4644.750000000001</v>
      </c>
      <c r="R57" s="89">
        <f t="shared" si="1"/>
        <v>0</v>
      </c>
      <c r="S57" s="500">
        <v>825.0000000000001</v>
      </c>
      <c r="T57" s="463">
        <f t="shared" si="14"/>
        <v>0</v>
      </c>
      <c r="U57" s="460"/>
      <c r="V57" s="460"/>
      <c r="W57" s="460">
        <v>0</v>
      </c>
      <c r="X57" s="501">
        <f aca="true" t="shared" si="19" ref="X57:X63">+N57*S57</f>
        <v>4644.750000000001</v>
      </c>
      <c r="Y57" s="489">
        <f t="shared" si="15"/>
        <v>4644.750000000001</v>
      </c>
      <c r="Z57" s="109"/>
      <c r="AA57" s="109"/>
      <c r="AB57" s="109">
        <f aca="true" t="shared" si="20" ref="AB57:AB63">+Y57</f>
        <v>4644.750000000001</v>
      </c>
      <c r="AC57" s="109">
        <f t="shared" si="5"/>
        <v>4644.750000000001</v>
      </c>
      <c r="AD57" s="109">
        <f t="shared" si="16"/>
        <v>0</v>
      </c>
      <c r="AE57" s="657"/>
      <c r="AF57" s="121"/>
      <c r="AG57" s="121"/>
      <c r="AH57" s="121"/>
      <c r="AI57" s="121"/>
      <c r="AJ57" s="121"/>
      <c r="AK57" s="121"/>
      <c r="AL57" s="121"/>
      <c r="AM57" s="121"/>
      <c r="AN57" s="120"/>
      <c r="AO57" s="98"/>
      <c r="AP57" s="98"/>
      <c r="AQ57" s="98"/>
      <c r="AR57" s="127"/>
      <c r="AS57" s="129" t="s">
        <v>168</v>
      </c>
    </row>
    <row r="58" spans="1:45" s="131" customFormat="1" ht="36" customHeight="1">
      <c r="A58" s="647"/>
      <c r="B58" s="644"/>
      <c r="C58" s="645"/>
      <c r="D58" s="150" t="s">
        <v>210</v>
      </c>
      <c r="E58" s="161" t="s">
        <v>158</v>
      </c>
      <c r="F58" s="164">
        <v>1465</v>
      </c>
      <c r="G58" s="165"/>
      <c r="H58" s="166">
        <v>1172</v>
      </c>
      <c r="I58" s="164">
        <v>879</v>
      </c>
      <c r="J58" s="165">
        <f t="shared" si="17"/>
        <v>1172</v>
      </c>
      <c r="K58" s="152">
        <f>943.8/480</f>
        <v>1.9662499999999998</v>
      </c>
      <c r="L58" s="133">
        <f t="shared" si="10"/>
        <v>2880.5562499999996</v>
      </c>
      <c r="M58" s="132"/>
      <c r="N58" s="479">
        <v>1.97</v>
      </c>
      <c r="O58" s="116">
        <f t="shared" si="11"/>
        <v>2304.4449999999997</v>
      </c>
      <c r="P58" s="133">
        <f t="shared" si="12"/>
        <v>1728.3337499999998</v>
      </c>
      <c r="Q58" s="89">
        <f t="shared" si="18"/>
        <v>2308.84</v>
      </c>
      <c r="R58" s="89">
        <f t="shared" si="1"/>
        <v>4.395000000000437</v>
      </c>
      <c r="S58" s="500">
        <v>1172</v>
      </c>
      <c r="T58" s="463">
        <f t="shared" si="14"/>
        <v>0</v>
      </c>
      <c r="U58" s="460"/>
      <c r="V58" s="460"/>
      <c r="W58" s="460">
        <v>0</v>
      </c>
      <c r="X58" s="501">
        <f t="shared" si="19"/>
        <v>2308.84</v>
      </c>
      <c r="Y58" s="489">
        <f t="shared" si="15"/>
        <v>2308.84</v>
      </c>
      <c r="Z58" s="109"/>
      <c r="AA58" s="109"/>
      <c r="AB58" s="109">
        <f t="shared" si="20"/>
        <v>2308.84</v>
      </c>
      <c r="AC58" s="109">
        <f t="shared" si="5"/>
        <v>2308.84</v>
      </c>
      <c r="AD58" s="109">
        <f t="shared" si="16"/>
        <v>-4.395000000000437</v>
      </c>
      <c r="AE58" s="657"/>
      <c r="AF58" s="121"/>
      <c r="AG58" s="121"/>
      <c r="AH58" s="121"/>
      <c r="AI58" s="121"/>
      <c r="AJ58" s="121"/>
      <c r="AK58" s="121"/>
      <c r="AL58" s="121"/>
      <c r="AM58" s="121"/>
      <c r="AN58" s="120"/>
      <c r="AO58" s="98"/>
      <c r="AP58" s="98"/>
      <c r="AQ58" s="98"/>
      <c r="AS58" s="129" t="s">
        <v>168</v>
      </c>
    </row>
    <row r="59" spans="1:45" s="131" customFormat="1" ht="27.75" customHeight="1">
      <c r="A59" s="647"/>
      <c r="B59" s="644"/>
      <c r="C59" s="645"/>
      <c r="D59" s="161" t="s">
        <v>211</v>
      </c>
      <c r="E59" s="161" t="s">
        <v>158</v>
      </c>
      <c r="F59" s="169">
        <v>375</v>
      </c>
      <c r="G59" s="170"/>
      <c r="H59" s="166">
        <v>300</v>
      </c>
      <c r="I59" s="164">
        <v>225</v>
      </c>
      <c r="J59" s="165">
        <f t="shared" si="17"/>
        <v>300</v>
      </c>
      <c r="K59" s="152">
        <f>319.44/25</f>
        <v>12.7776</v>
      </c>
      <c r="L59" s="133">
        <f t="shared" si="10"/>
        <v>4791.599999999999</v>
      </c>
      <c r="M59" s="132"/>
      <c r="N59" s="479">
        <v>12.78</v>
      </c>
      <c r="O59" s="116">
        <f t="shared" si="11"/>
        <v>3833.2799999999997</v>
      </c>
      <c r="P59" s="133">
        <f t="shared" si="12"/>
        <v>2874.96</v>
      </c>
      <c r="Q59" s="89">
        <f t="shared" si="18"/>
        <v>3834</v>
      </c>
      <c r="R59" s="89">
        <f t="shared" si="1"/>
        <v>0.7200000000002547</v>
      </c>
      <c r="S59" s="500">
        <v>300</v>
      </c>
      <c r="T59" s="463">
        <f t="shared" si="14"/>
        <v>0</v>
      </c>
      <c r="U59" s="460"/>
      <c r="V59" s="460"/>
      <c r="W59" s="460">
        <v>0</v>
      </c>
      <c r="X59" s="501">
        <f t="shared" si="19"/>
        <v>3834</v>
      </c>
      <c r="Y59" s="489">
        <f t="shared" si="15"/>
        <v>3834</v>
      </c>
      <c r="Z59" s="109"/>
      <c r="AA59" s="109"/>
      <c r="AB59" s="109">
        <f t="shared" si="20"/>
        <v>3834</v>
      </c>
      <c r="AC59" s="109">
        <f t="shared" si="5"/>
        <v>3834</v>
      </c>
      <c r="AD59" s="109">
        <f t="shared" si="16"/>
        <v>-0.7200000000002547</v>
      </c>
      <c r="AE59" s="657"/>
      <c r="AF59" s="121"/>
      <c r="AG59" s="121"/>
      <c r="AH59" s="121"/>
      <c r="AI59" s="121"/>
      <c r="AJ59" s="121"/>
      <c r="AK59" s="121"/>
      <c r="AL59" s="121"/>
      <c r="AM59" s="121"/>
      <c r="AN59" s="120"/>
      <c r="AO59" s="98"/>
      <c r="AP59" s="98"/>
      <c r="AQ59" s="98"/>
      <c r="AS59" s="129" t="s">
        <v>168</v>
      </c>
    </row>
    <row r="60" spans="1:45" s="131" customFormat="1" ht="14.25">
      <c r="A60" s="647"/>
      <c r="B60" s="644"/>
      <c r="C60" s="645"/>
      <c r="D60" s="161" t="s">
        <v>212</v>
      </c>
      <c r="E60" s="161" t="s">
        <v>158</v>
      </c>
      <c r="F60" s="169">
        <f>3242*0.5/0.8</f>
        <v>2026.25</v>
      </c>
      <c r="G60" s="170"/>
      <c r="H60" s="166">
        <f>3242*0.4/0.8</f>
        <v>1621.0000000000002</v>
      </c>
      <c r="I60" s="164">
        <f>3242*0.3/0.8</f>
        <v>1215.7499999999998</v>
      </c>
      <c r="J60" s="165">
        <f t="shared" si="17"/>
        <v>1621.0000000000002</v>
      </c>
      <c r="K60" s="167">
        <v>5</v>
      </c>
      <c r="L60" s="133">
        <f t="shared" si="10"/>
        <v>10131.25</v>
      </c>
      <c r="M60" s="132"/>
      <c r="N60" s="479"/>
      <c r="O60" s="116">
        <f t="shared" si="11"/>
        <v>8105.000000000001</v>
      </c>
      <c r="P60" s="133">
        <f t="shared" si="12"/>
        <v>6078.749999999999</v>
      </c>
      <c r="Q60" s="89">
        <f t="shared" si="18"/>
        <v>0</v>
      </c>
      <c r="R60" s="89">
        <f t="shared" si="1"/>
        <v>-8105.000000000001</v>
      </c>
      <c r="S60" s="500">
        <v>0</v>
      </c>
      <c r="T60" s="463">
        <f t="shared" si="14"/>
        <v>1621.0000000000002</v>
      </c>
      <c r="U60" s="460"/>
      <c r="V60" s="460"/>
      <c r="W60" s="460">
        <v>0</v>
      </c>
      <c r="X60" s="501">
        <f t="shared" si="19"/>
        <v>0</v>
      </c>
      <c r="Y60" s="489">
        <f t="shared" si="15"/>
        <v>0</v>
      </c>
      <c r="Z60" s="109"/>
      <c r="AA60" s="109"/>
      <c r="AB60" s="109">
        <f t="shared" si="20"/>
        <v>0</v>
      </c>
      <c r="AC60" s="109">
        <f t="shared" si="5"/>
        <v>0</v>
      </c>
      <c r="AD60" s="109">
        <f t="shared" si="16"/>
        <v>8105.000000000001</v>
      </c>
      <c r="AE60" s="657"/>
      <c r="AF60" s="121"/>
      <c r="AG60" s="121"/>
      <c r="AH60" s="121"/>
      <c r="AI60" s="121"/>
      <c r="AJ60" s="121"/>
      <c r="AK60" s="121"/>
      <c r="AL60" s="121"/>
      <c r="AM60" s="121"/>
      <c r="AN60" s="120"/>
      <c r="AO60" s="98"/>
      <c r="AP60" s="98"/>
      <c r="AQ60" s="98"/>
      <c r="AS60" s="129" t="s">
        <v>168</v>
      </c>
    </row>
    <row r="61" spans="1:45" s="131" customFormat="1" ht="14.25">
      <c r="A61" s="647"/>
      <c r="B61" s="644"/>
      <c r="C61" s="645"/>
      <c r="D61" s="161" t="s">
        <v>213</v>
      </c>
      <c r="E61" s="161" t="s">
        <v>158</v>
      </c>
      <c r="F61" s="169">
        <f>3242*0.5/0.8</f>
        <v>2026.25</v>
      </c>
      <c r="G61" s="170"/>
      <c r="H61" s="166">
        <f>3242*0.4/0.8</f>
        <v>1621.0000000000002</v>
      </c>
      <c r="I61" s="164">
        <f>3242*0.3/0.8</f>
        <v>1215.7499999999998</v>
      </c>
      <c r="J61" s="165">
        <f t="shared" si="17"/>
        <v>1621.0000000000002</v>
      </c>
      <c r="K61" s="152">
        <v>5</v>
      </c>
      <c r="L61" s="133">
        <f t="shared" si="10"/>
        <v>10131.25</v>
      </c>
      <c r="M61" s="132"/>
      <c r="N61" s="479"/>
      <c r="O61" s="116">
        <f t="shared" si="11"/>
        <v>8105.000000000001</v>
      </c>
      <c r="P61" s="133">
        <f t="shared" si="12"/>
        <v>6078.749999999999</v>
      </c>
      <c r="Q61" s="89">
        <f t="shared" si="18"/>
        <v>0</v>
      </c>
      <c r="R61" s="89">
        <f t="shared" si="1"/>
        <v>-8105.000000000001</v>
      </c>
      <c r="S61" s="500">
        <v>0</v>
      </c>
      <c r="T61" s="463">
        <f t="shared" si="14"/>
        <v>1621.0000000000002</v>
      </c>
      <c r="U61" s="460"/>
      <c r="V61" s="460"/>
      <c r="W61" s="460">
        <v>0</v>
      </c>
      <c r="X61" s="501">
        <f t="shared" si="19"/>
        <v>0</v>
      </c>
      <c r="Y61" s="489">
        <f t="shared" si="15"/>
        <v>0</v>
      </c>
      <c r="Z61" s="109"/>
      <c r="AA61" s="109"/>
      <c r="AB61" s="109">
        <f t="shared" si="20"/>
        <v>0</v>
      </c>
      <c r="AC61" s="109">
        <f t="shared" si="5"/>
        <v>0</v>
      </c>
      <c r="AD61" s="109">
        <f t="shared" si="16"/>
        <v>8105.000000000001</v>
      </c>
      <c r="AE61" s="657"/>
      <c r="AF61" s="121"/>
      <c r="AG61" s="121"/>
      <c r="AH61" s="121"/>
      <c r="AI61" s="121"/>
      <c r="AJ61" s="121"/>
      <c r="AK61" s="121"/>
      <c r="AL61" s="121"/>
      <c r="AM61" s="121"/>
      <c r="AN61" s="120"/>
      <c r="AO61" s="98"/>
      <c r="AP61" s="98"/>
      <c r="AQ61" s="98"/>
      <c r="AS61" s="129" t="s">
        <v>168</v>
      </c>
    </row>
    <row r="62" spans="1:45" s="131" customFormat="1" ht="14.25">
      <c r="A62" s="647"/>
      <c r="B62" s="644"/>
      <c r="C62" s="645"/>
      <c r="D62" s="161" t="s">
        <v>214</v>
      </c>
      <c r="E62" s="161" t="s">
        <v>158</v>
      </c>
      <c r="F62" s="169">
        <f>154*0.5/0.75</f>
        <v>102.66666666666667</v>
      </c>
      <c r="G62" s="170"/>
      <c r="H62" s="166">
        <f>154*0.4/0.75</f>
        <v>82.13333333333334</v>
      </c>
      <c r="I62" s="164">
        <f>154*0.3/0.75</f>
        <v>61.599999999999994</v>
      </c>
      <c r="J62" s="165">
        <f t="shared" si="17"/>
        <v>82.13333333333334</v>
      </c>
      <c r="K62" s="152">
        <f>3675/24</f>
        <v>153.125</v>
      </c>
      <c r="L62" s="133">
        <f t="shared" si="10"/>
        <v>15720.833333333334</v>
      </c>
      <c r="M62" s="132"/>
      <c r="N62" s="479">
        <v>153.13</v>
      </c>
      <c r="O62" s="116">
        <f t="shared" si="11"/>
        <v>12576.666666666668</v>
      </c>
      <c r="P62" s="133">
        <f t="shared" si="12"/>
        <v>9432.5</v>
      </c>
      <c r="Q62" s="89">
        <f t="shared" si="18"/>
        <v>12577.077333333335</v>
      </c>
      <c r="R62" s="89">
        <f t="shared" si="1"/>
        <v>0.41066666666665697</v>
      </c>
      <c r="S62" s="500">
        <v>82</v>
      </c>
      <c r="T62" s="463">
        <f t="shared" si="14"/>
        <v>0.13333333333333997</v>
      </c>
      <c r="U62" s="460"/>
      <c r="V62" s="460"/>
      <c r="W62" s="460">
        <v>0</v>
      </c>
      <c r="X62" s="501">
        <f>+N62*S62</f>
        <v>12556.66</v>
      </c>
      <c r="Y62" s="489">
        <f t="shared" si="15"/>
        <v>12556.66</v>
      </c>
      <c r="Z62" s="109"/>
      <c r="AA62" s="109"/>
      <c r="AB62" s="109">
        <f t="shared" si="20"/>
        <v>12556.66</v>
      </c>
      <c r="AC62" s="109">
        <f t="shared" si="5"/>
        <v>12556.66</v>
      </c>
      <c r="AD62" s="109">
        <f t="shared" si="16"/>
        <v>20.006666666668025</v>
      </c>
      <c r="AE62" s="657"/>
      <c r="AF62" s="121"/>
      <c r="AG62" s="121"/>
      <c r="AH62" s="121"/>
      <c r="AI62" s="121"/>
      <c r="AJ62" s="121"/>
      <c r="AK62" s="121"/>
      <c r="AL62" s="121"/>
      <c r="AM62" s="121"/>
      <c r="AN62" s="120"/>
      <c r="AO62" s="98"/>
      <c r="AP62" s="98"/>
      <c r="AQ62" s="98"/>
      <c r="AR62" s="171"/>
      <c r="AS62" s="129" t="s">
        <v>168</v>
      </c>
    </row>
    <row r="63" spans="1:45" s="131" customFormat="1" ht="14.25">
      <c r="A63" s="647"/>
      <c r="B63" s="644"/>
      <c r="C63" s="645"/>
      <c r="D63" s="161" t="s">
        <v>215</v>
      </c>
      <c r="E63" s="161" t="s">
        <v>158</v>
      </c>
      <c r="F63" s="169">
        <f>1348*0.5/0.8</f>
        <v>842.5</v>
      </c>
      <c r="G63" s="170"/>
      <c r="H63" s="166">
        <f>1348*0.4/0.8</f>
        <v>674</v>
      </c>
      <c r="I63" s="164">
        <f>1348*0.3/0.8</f>
        <v>505.49999999999994</v>
      </c>
      <c r="J63" s="165">
        <f t="shared" si="17"/>
        <v>674</v>
      </c>
      <c r="K63" s="152">
        <f>612.04/192</f>
        <v>3.187708333333333</v>
      </c>
      <c r="L63" s="133">
        <f t="shared" si="10"/>
        <v>2685.6442708333334</v>
      </c>
      <c r="M63" s="132"/>
      <c r="N63" s="479">
        <v>3.19</v>
      </c>
      <c r="O63" s="116">
        <f t="shared" si="11"/>
        <v>2148.5154166666666</v>
      </c>
      <c r="P63" s="133">
        <f t="shared" si="12"/>
        <v>1611.3865624999996</v>
      </c>
      <c r="Q63" s="89">
        <f t="shared" si="18"/>
        <v>2150.06</v>
      </c>
      <c r="R63" s="89">
        <f t="shared" si="1"/>
        <v>1.5445833333333212</v>
      </c>
      <c r="S63" s="500">
        <v>674</v>
      </c>
      <c r="T63" s="463">
        <f t="shared" si="14"/>
        <v>0</v>
      </c>
      <c r="U63" s="460"/>
      <c r="V63" s="460"/>
      <c r="W63" s="460">
        <v>0</v>
      </c>
      <c r="X63" s="501">
        <f t="shared" si="19"/>
        <v>2150.06</v>
      </c>
      <c r="Y63" s="489">
        <f t="shared" si="15"/>
        <v>2150.06</v>
      </c>
      <c r="Z63" s="109"/>
      <c r="AA63" s="109"/>
      <c r="AB63" s="109">
        <f t="shared" si="20"/>
        <v>2150.06</v>
      </c>
      <c r="AC63" s="109">
        <f t="shared" si="5"/>
        <v>2150.06</v>
      </c>
      <c r="AD63" s="109">
        <f t="shared" si="16"/>
        <v>-1.5445833333333212</v>
      </c>
      <c r="AE63" s="657"/>
      <c r="AF63" s="121"/>
      <c r="AG63" s="121"/>
      <c r="AH63" s="121"/>
      <c r="AI63" s="121"/>
      <c r="AJ63" s="121"/>
      <c r="AK63" s="121"/>
      <c r="AL63" s="121"/>
      <c r="AM63" s="121"/>
      <c r="AN63" s="120"/>
      <c r="AO63" s="98"/>
      <c r="AP63" s="98"/>
      <c r="AQ63" s="98"/>
      <c r="AS63" s="129" t="s">
        <v>168</v>
      </c>
    </row>
    <row r="64" spans="1:45" s="129" customFormat="1" ht="65.25" customHeight="1">
      <c r="A64" s="647"/>
      <c r="B64" s="644"/>
      <c r="C64" s="645"/>
      <c r="D64" s="172" t="s">
        <v>216</v>
      </c>
      <c r="E64" s="172" t="s">
        <v>217</v>
      </c>
      <c r="F64" s="172">
        <v>5</v>
      </c>
      <c r="G64" s="85"/>
      <c r="H64" s="173">
        <v>0</v>
      </c>
      <c r="I64" s="172">
        <v>0</v>
      </c>
      <c r="J64" s="165">
        <f t="shared" si="17"/>
        <v>0</v>
      </c>
      <c r="K64" s="173">
        <v>100</v>
      </c>
      <c r="L64" s="172">
        <v>500</v>
      </c>
      <c r="M64" s="85"/>
      <c r="N64" s="479">
        <v>0</v>
      </c>
      <c r="O64" s="174">
        <v>0</v>
      </c>
      <c r="P64" s="172">
        <v>0</v>
      </c>
      <c r="Q64" s="89">
        <f t="shared" si="18"/>
        <v>0</v>
      </c>
      <c r="R64" s="89">
        <f t="shared" si="1"/>
        <v>0</v>
      </c>
      <c r="S64" s="463">
        <v>0</v>
      </c>
      <c r="T64" s="463">
        <f t="shared" si="14"/>
        <v>0</v>
      </c>
      <c r="U64" s="460"/>
      <c r="V64" s="493"/>
      <c r="W64" s="460">
        <f>+O64-V64-U64</f>
        <v>0</v>
      </c>
      <c r="X64" s="460"/>
      <c r="Y64" s="489">
        <f t="shared" si="15"/>
        <v>0</v>
      </c>
      <c r="Z64" s="90"/>
      <c r="AA64" s="90"/>
      <c r="AB64" s="90"/>
      <c r="AC64" s="109">
        <f t="shared" si="5"/>
        <v>0</v>
      </c>
      <c r="AD64" s="109">
        <f t="shared" si="16"/>
        <v>0</v>
      </c>
      <c r="AE64" s="657"/>
      <c r="AF64" s="125"/>
      <c r="AG64" s="125"/>
      <c r="AH64" s="125"/>
      <c r="AI64" s="125"/>
      <c r="AJ64" s="125"/>
      <c r="AK64" s="125"/>
      <c r="AL64" s="125"/>
      <c r="AM64" s="125"/>
      <c r="AN64" s="127"/>
      <c r="AO64" s="128"/>
      <c r="AP64" s="128"/>
      <c r="AQ64" s="128"/>
      <c r="AR64" s="175"/>
      <c r="AS64" s="129" t="s">
        <v>168</v>
      </c>
    </row>
    <row r="65" spans="1:45" s="129" customFormat="1" ht="33.75" customHeight="1">
      <c r="A65" s="647"/>
      <c r="B65" s="644"/>
      <c r="C65" s="645"/>
      <c r="D65" s="172" t="s">
        <v>218</v>
      </c>
      <c r="E65" s="172" t="s">
        <v>217</v>
      </c>
      <c r="F65" s="172">
        <v>5</v>
      </c>
      <c r="G65" s="85"/>
      <c r="H65" s="173">
        <v>0</v>
      </c>
      <c r="I65" s="172">
        <v>0</v>
      </c>
      <c r="J65" s="165">
        <f t="shared" si="17"/>
        <v>0</v>
      </c>
      <c r="K65" s="173">
        <v>100</v>
      </c>
      <c r="L65" s="172">
        <v>500</v>
      </c>
      <c r="M65" s="85"/>
      <c r="N65" s="479">
        <f>+'[2]Plan compras anio 1 vs gastos'!K62</f>
        <v>0</v>
      </c>
      <c r="O65" s="174">
        <v>0</v>
      </c>
      <c r="P65" s="172">
        <v>0</v>
      </c>
      <c r="Q65" s="89">
        <f t="shared" si="18"/>
        <v>0</v>
      </c>
      <c r="R65" s="89">
        <f t="shared" si="1"/>
        <v>0</v>
      </c>
      <c r="S65" s="463">
        <v>0</v>
      </c>
      <c r="T65" s="463">
        <f t="shared" si="14"/>
        <v>0</v>
      </c>
      <c r="U65" s="460"/>
      <c r="V65" s="493"/>
      <c r="W65" s="460">
        <f>+O65-V65-U65</f>
        <v>0</v>
      </c>
      <c r="X65" s="460"/>
      <c r="Y65" s="489">
        <f t="shared" si="15"/>
        <v>0</v>
      </c>
      <c r="Z65" s="90"/>
      <c r="AA65" s="90"/>
      <c r="AB65" s="90"/>
      <c r="AC65" s="109">
        <f t="shared" si="5"/>
        <v>0</v>
      </c>
      <c r="AD65" s="109">
        <f t="shared" si="16"/>
        <v>0</v>
      </c>
      <c r="AE65" s="657"/>
      <c r="AF65" s="125"/>
      <c r="AG65" s="125"/>
      <c r="AH65" s="125"/>
      <c r="AI65" s="125"/>
      <c r="AJ65" s="125"/>
      <c r="AK65" s="125"/>
      <c r="AL65" s="125"/>
      <c r="AM65" s="125"/>
      <c r="AN65" s="127"/>
      <c r="AO65" s="128"/>
      <c r="AP65" s="128"/>
      <c r="AQ65" s="128"/>
      <c r="AR65" s="175"/>
      <c r="AS65" s="129" t="s">
        <v>168</v>
      </c>
    </row>
    <row r="66" spans="1:45" s="129" customFormat="1" ht="36.75" customHeight="1">
      <c r="A66" s="647"/>
      <c r="B66" s="644"/>
      <c r="C66" s="645"/>
      <c r="D66" s="172" t="s">
        <v>219</v>
      </c>
      <c r="E66" s="172" t="s">
        <v>217</v>
      </c>
      <c r="F66" s="172">
        <v>10</v>
      </c>
      <c r="G66" s="85"/>
      <c r="H66" s="173">
        <v>0</v>
      </c>
      <c r="I66" s="172">
        <v>0</v>
      </c>
      <c r="J66" s="165">
        <f t="shared" si="17"/>
        <v>0</v>
      </c>
      <c r="K66" s="173">
        <v>25</v>
      </c>
      <c r="L66" s="172">
        <v>250</v>
      </c>
      <c r="M66" s="85"/>
      <c r="N66" s="479">
        <f>+'[2]Plan compras anio 1 vs gastos'!K63</f>
        <v>0</v>
      </c>
      <c r="O66" s="174">
        <v>0</v>
      </c>
      <c r="P66" s="172">
        <v>0</v>
      </c>
      <c r="Q66" s="89">
        <f t="shared" si="18"/>
        <v>0</v>
      </c>
      <c r="R66" s="89">
        <f t="shared" si="1"/>
        <v>0</v>
      </c>
      <c r="S66" s="463">
        <v>0</v>
      </c>
      <c r="T66" s="463">
        <f t="shared" si="14"/>
        <v>0</v>
      </c>
      <c r="U66" s="460"/>
      <c r="V66" s="493"/>
      <c r="W66" s="460">
        <f>+O66-V66-U66</f>
        <v>0</v>
      </c>
      <c r="X66" s="460"/>
      <c r="Y66" s="489">
        <f t="shared" si="15"/>
        <v>0</v>
      </c>
      <c r="Z66" s="90"/>
      <c r="AA66" s="90"/>
      <c r="AB66" s="90"/>
      <c r="AC66" s="109">
        <f t="shared" si="5"/>
        <v>0</v>
      </c>
      <c r="AD66" s="109">
        <f t="shared" si="16"/>
        <v>0</v>
      </c>
      <c r="AE66" s="657"/>
      <c r="AF66" s="125"/>
      <c r="AG66" s="125"/>
      <c r="AH66" s="125"/>
      <c r="AI66" s="125"/>
      <c r="AJ66" s="125"/>
      <c r="AK66" s="125"/>
      <c r="AL66" s="125"/>
      <c r="AM66" s="125"/>
      <c r="AN66" s="127"/>
      <c r="AO66" s="128"/>
      <c r="AP66" s="128"/>
      <c r="AQ66" s="128"/>
      <c r="AS66" s="129" t="s">
        <v>168</v>
      </c>
    </row>
    <row r="67" spans="1:45" s="129" customFormat="1" ht="14.25">
      <c r="A67" s="647"/>
      <c r="B67" s="644"/>
      <c r="C67" s="645"/>
      <c r="D67" s="172" t="s">
        <v>220</v>
      </c>
      <c r="E67" s="172" t="s">
        <v>217</v>
      </c>
      <c r="F67" s="172">
        <v>5</v>
      </c>
      <c r="G67" s="85"/>
      <c r="H67" s="173">
        <v>0</v>
      </c>
      <c r="I67" s="172">
        <v>0</v>
      </c>
      <c r="J67" s="165">
        <f t="shared" si="17"/>
        <v>0</v>
      </c>
      <c r="K67" s="173">
        <v>50</v>
      </c>
      <c r="L67" s="172">
        <v>250</v>
      </c>
      <c r="M67" s="85"/>
      <c r="N67" s="479">
        <v>0</v>
      </c>
      <c r="O67" s="174">
        <v>0</v>
      </c>
      <c r="P67" s="172">
        <v>0</v>
      </c>
      <c r="Q67" s="89">
        <f t="shared" si="18"/>
        <v>0</v>
      </c>
      <c r="R67" s="89">
        <f t="shared" si="1"/>
        <v>0</v>
      </c>
      <c r="S67" s="463">
        <v>0</v>
      </c>
      <c r="T67" s="463">
        <f t="shared" si="14"/>
        <v>0</v>
      </c>
      <c r="U67" s="460"/>
      <c r="V67" s="493"/>
      <c r="W67" s="460">
        <f>+O67-V67-U67</f>
        <v>0</v>
      </c>
      <c r="X67" s="460"/>
      <c r="Y67" s="489">
        <f t="shared" si="15"/>
        <v>0</v>
      </c>
      <c r="Z67" s="90"/>
      <c r="AA67" s="90"/>
      <c r="AB67" s="90"/>
      <c r="AC67" s="109">
        <f t="shared" si="5"/>
        <v>0</v>
      </c>
      <c r="AD67" s="109">
        <f t="shared" si="16"/>
        <v>0</v>
      </c>
      <c r="AE67" s="657"/>
      <c r="AF67" s="125"/>
      <c r="AG67" s="125"/>
      <c r="AH67" s="125"/>
      <c r="AI67" s="125"/>
      <c r="AJ67" s="125"/>
      <c r="AK67" s="125"/>
      <c r="AL67" s="125"/>
      <c r="AM67" s="125"/>
      <c r="AN67" s="127"/>
      <c r="AO67" s="128"/>
      <c r="AP67" s="128"/>
      <c r="AQ67" s="128"/>
      <c r="AS67" s="129" t="s">
        <v>168</v>
      </c>
    </row>
    <row r="68" spans="1:45" s="129" customFormat="1" ht="14.25">
      <c r="A68" s="647"/>
      <c r="B68" s="644"/>
      <c r="C68" s="645"/>
      <c r="D68" s="172" t="s">
        <v>221</v>
      </c>
      <c r="E68" s="172" t="s">
        <v>217</v>
      </c>
      <c r="F68" s="172">
        <v>5</v>
      </c>
      <c r="G68" s="85"/>
      <c r="H68" s="173">
        <v>0</v>
      </c>
      <c r="I68" s="172">
        <v>0</v>
      </c>
      <c r="J68" s="165">
        <f t="shared" si="17"/>
        <v>0</v>
      </c>
      <c r="K68" s="173">
        <v>100</v>
      </c>
      <c r="L68" s="172">
        <v>500</v>
      </c>
      <c r="M68" s="85"/>
      <c r="N68" s="479">
        <f>+'[2]Plan compras anio 1 vs gastos'!K65</f>
        <v>0</v>
      </c>
      <c r="O68" s="174">
        <v>0</v>
      </c>
      <c r="P68" s="172">
        <v>0</v>
      </c>
      <c r="Q68" s="89">
        <f t="shared" si="18"/>
        <v>0</v>
      </c>
      <c r="R68" s="89">
        <f t="shared" si="1"/>
        <v>0</v>
      </c>
      <c r="S68" s="463">
        <v>0</v>
      </c>
      <c r="T68" s="463">
        <f t="shared" si="14"/>
        <v>0</v>
      </c>
      <c r="U68" s="460"/>
      <c r="V68" s="493"/>
      <c r="W68" s="460">
        <f>+O68-V68-U68</f>
        <v>0</v>
      </c>
      <c r="X68" s="460"/>
      <c r="Y68" s="489">
        <f t="shared" si="15"/>
        <v>0</v>
      </c>
      <c r="Z68" s="90"/>
      <c r="AA68" s="90"/>
      <c r="AB68" s="90"/>
      <c r="AC68" s="109">
        <f t="shared" si="5"/>
        <v>0</v>
      </c>
      <c r="AD68" s="109">
        <f t="shared" si="16"/>
        <v>0</v>
      </c>
      <c r="AE68" s="657"/>
      <c r="AF68" s="125"/>
      <c r="AG68" s="125"/>
      <c r="AH68" s="125"/>
      <c r="AI68" s="125"/>
      <c r="AJ68" s="125"/>
      <c r="AK68" s="125"/>
      <c r="AL68" s="125"/>
      <c r="AM68" s="125"/>
      <c r="AN68" s="127"/>
      <c r="AO68" s="128"/>
      <c r="AP68" s="128"/>
      <c r="AQ68" s="128"/>
      <c r="AS68" s="129" t="s">
        <v>168</v>
      </c>
    </row>
    <row r="69" spans="1:43" s="129" customFormat="1" ht="12.75" customHeight="1">
      <c r="A69" s="647"/>
      <c r="B69" s="262" t="s">
        <v>315</v>
      </c>
      <c r="C69" s="262"/>
      <c r="D69" s="262"/>
      <c r="E69" s="262"/>
      <c r="F69" s="283"/>
      <c r="G69" s="284"/>
      <c r="H69" s="285"/>
      <c r="I69" s="283"/>
      <c r="J69" s="284"/>
      <c r="K69" s="269"/>
      <c r="L69" s="269">
        <f>SUM(L47:L63)</f>
        <v>353360.8941319444</v>
      </c>
      <c r="M69" s="270"/>
      <c r="N69" s="477"/>
      <c r="O69" s="269">
        <f aca="true" t="shared" si="21" ref="O69:AA69">SUM(O47:O63)</f>
        <v>282688.7153055556</v>
      </c>
      <c r="P69" s="269">
        <f t="shared" si="21"/>
        <v>212016.53647916665</v>
      </c>
      <c r="Q69" s="269">
        <f t="shared" si="21"/>
        <v>263159.0150307204</v>
      </c>
      <c r="R69" s="269">
        <f t="shared" si="21"/>
        <v>-19529.700274835166</v>
      </c>
      <c r="S69" s="466"/>
      <c r="T69" s="466"/>
      <c r="U69" s="466">
        <f t="shared" si="21"/>
        <v>69000</v>
      </c>
      <c r="V69" s="466">
        <f t="shared" si="21"/>
        <v>0</v>
      </c>
      <c r="W69" s="466">
        <f>SUM(W47:W63)</f>
        <v>1215</v>
      </c>
      <c r="X69" s="466">
        <f>SUM(X47:X63)</f>
        <v>186835.25</v>
      </c>
      <c r="Y69" s="466">
        <f t="shared" si="21"/>
        <v>188050.25</v>
      </c>
      <c r="Z69" s="269">
        <f t="shared" si="21"/>
        <v>760</v>
      </c>
      <c r="AA69" s="269">
        <f t="shared" si="21"/>
        <v>455</v>
      </c>
      <c r="AB69" s="269">
        <f>SUM(AB47:AB63)</f>
        <v>186835.25</v>
      </c>
      <c r="AC69" s="270">
        <f t="shared" si="5"/>
        <v>188050.25</v>
      </c>
      <c r="AD69" s="270">
        <f>SUM(AD47:AD68)</f>
        <v>26853.46530555556</v>
      </c>
      <c r="AE69" s="657"/>
      <c r="AF69" s="125"/>
      <c r="AG69" s="125"/>
      <c r="AH69" s="125"/>
      <c r="AI69" s="125"/>
      <c r="AJ69" s="125"/>
      <c r="AK69" s="125"/>
      <c r="AL69" s="125"/>
      <c r="AM69" s="125"/>
      <c r="AN69" s="127"/>
      <c r="AO69" s="128"/>
      <c r="AP69" s="128"/>
      <c r="AQ69" s="128"/>
    </row>
    <row r="70" spans="1:43" s="131" customFormat="1" ht="14.25">
      <c r="A70" s="647"/>
      <c r="N70" s="481"/>
      <c r="S70" s="468"/>
      <c r="T70" s="468"/>
      <c r="U70" s="468"/>
      <c r="V70" s="468"/>
      <c r="W70" s="468"/>
      <c r="X70" s="468"/>
      <c r="Y70" s="468"/>
      <c r="AE70" s="657"/>
      <c r="AF70" s="121"/>
      <c r="AG70" s="121"/>
      <c r="AH70" s="121"/>
      <c r="AI70" s="121"/>
      <c r="AJ70" s="121"/>
      <c r="AK70" s="121"/>
      <c r="AL70" s="121"/>
      <c r="AM70" s="121"/>
      <c r="AN70" s="120"/>
      <c r="AO70" s="98"/>
      <c r="AP70" s="98"/>
      <c r="AQ70" s="98"/>
    </row>
    <row r="71" spans="1:45" s="129" customFormat="1" ht="51" customHeight="1">
      <c r="A71" s="647"/>
      <c r="B71" s="643" t="s">
        <v>222</v>
      </c>
      <c r="C71" s="114" t="s">
        <v>183</v>
      </c>
      <c r="D71" s="150" t="s">
        <v>184</v>
      </c>
      <c r="E71" s="150" t="s">
        <v>185</v>
      </c>
      <c r="F71" s="148">
        <v>500</v>
      </c>
      <c r="G71" s="149"/>
      <c r="H71" s="147">
        <v>0</v>
      </c>
      <c r="I71" s="148">
        <v>500</v>
      </c>
      <c r="J71" s="149">
        <v>2987</v>
      </c>
      <c r="K71" s="152"/>
      <c r="L71" s="133">
        <f>F71*$K$71</f>
        <v>0</v>
      </c>
      <c r="M71" s="132"/>
      <c r="N71" s="479">
        <v>11.52</v>
      </c>
      <c r="O71" s="116">
        <f>H71*$K$71</f>
        <v>0</v>
      </c>
      <c r="P71" s="133">
        <f>I71*$K$71</f>
        <v>0</v>
      </c>
      <c r="Q71" s="89">
        <f aca="true" t="shared" si="22" ref="Q71:Q76">N71*J71</f>
        <v>34410.24</v>
      </c>
      <c r="R71" s="89">
        <f t="shared" si="1"/>
        <v>34410.24</v>
      </c>
      <c r="S71" s="463">
        <v>2986</v>
      </c>
      <c r="T71" s="463">
        <v>0</v>
      </c>
      <c r="U71" s="460">
        <v>34398.72</v>
      </c>
      <c r="V71" s="460"/>
      <c r="W71" s="460">
        <v>0</v>
      </c>
      <c r="X71" s="460">
        <v>0</v>
      </c>
      <c r="Y71" s="489">
        <f aca="true" t="shared" si="23" ref="Y71:Y100">+W71+X71</f>
        <v>0</v>
      </c>
      <c r="Z71" s="151">
        <v>0</v>
      </c>
      <c r="AA71" s="151"/>
      <c r="AB71" s="151"/>
      <c r="AC71" s="109">
        <f t="shared" si="5"/>
        <v>0</v>
      </c>
      <c r="AD71" s="109">
        <f aca="true" t="shared" si="24" ref="AD71:AD76">+O71+W71-U71-V71-AC71</f>
        <v>-34398.72</v>
      </c>
      <c r="AE71" s="657"/>
      <c r="AF71" s="125"/>
      <c r="AG71" s="125"/>
      <c r="AH71" s="125"/>
      <c r="AI71" s="125"/>
      <c r="AJ71" s="125"/>
      <c r="AK71" s="125"/>
      <c r="AL71" s="125"/>
      <c r="AM71" s="125"/>
      <c r="AN71" s="127"/>
      <c r="AO71" s="128"/>
      <c r="AP71" s="128"/>
      <c r="AQ71" s="128"/>
      <c r="AS71" s="129" t="s">
        <v>186</v>
      </c>
    </row>
    <row r="72" spans="1:45" s="129" customFormat="1" ht="51" customHeight="1">
      <c r="A72" s="647"/>
      <c r="B72" s="643"/>
      <c r="C72" s="645" t="s">
        <v>156</v>
      </c>
      <c r="D72" s="150" t="s">
        <v>223</v>
      </c>
      <c r="E72" s="150" t="s">
        <v>185</v>
      </c>
      <c r="F72" s="148">
        <v>500</v>
      </c>
      <c r="G72" s="149"/>
      <c r="H72" s="147">
        <v>500</v>
      </c>
      <c r="I72" s="148">
        <v>500</v>
      </c>
      <c r="J72" s="149">
        <v>0</v>
      </c>
      <c r="K72" s="152">
        <v>8</v>
      </c>
      <c r="L72" s="133">
        <f>F72*$K$71</f>
        <v>0</v>
      </c>
      <c r="M72" s="132"/>
      <c r="N72" s="479">
        <v>0</v>
      </c>
      <c r="O72" s="116">
        <f>H72*$K$72</f>
        <v>4000</v>
      </c>
      <c r="P72" s="133">
        <f>I72*$K$71</f>
        <v>0</v>
      </c>
      <c r="Q72" s="89">
        <f t="shared" si="22"/>
        <v>0</v>
      </c>
      <c r="R72" s="89">
        <f t="shared" si="1"/>
        <v>-4000</v>
      </c>
      <c r="S72" s="463">
        <v>0</v>
      </c>
      <c r="T72" s="463">
        <v>0</v>
      </c>
      <c r="U72" s="460"/>
      <c r="V72" s="460"/>
      <c r="W72" s="460">
        <v>0</v>
      </c>
      <c r="X72" s="460"/>
      <c r="Y72" s="489">
        <f t="shared" si="23"/>
        <v>0</v>
      </c>
      <c r="Z72" s="151">
        <f>+W72</f>
        <v>0</v>
      </c>
      <c r="AA72" s="151"/>
      <c r="AB72" s="151"/>
      <c r="AC72" s="109">
        <f t="shared" si="5"/>
        <v>0</v>
      </c>
      <c r="AD72" s="109">
        <f t="shared" si="24"/>
        <v>4000</v>
      </c>
      <c r="AE72" s="657"/>
      <c r="AF72" s="125"/>
      <c r="AG72" s="125"/>
      <c r="AH72" s="125"/>
      <c r="AI72" s="125"/>
      <c r="AJ72" s="125"/>
      <c r="AK72" s="125"/>
      <c r="AL72" s="125"/>
      <c r="AM72" s="125"/>
      <c r="AN72" s="127"/>
      <c r="AO72" s="128"/>
      <c r="AP72" s="128"/>
      <c r="AQ72" s="128"/>
      <c r="AS72" s="129" t="s">
        <v>186</v>
      </c>
    </row>
    <row r="73" spans="1:45" s="129" customFormat="1" ht="24" customHeight="1">
      <c r="A73" s="647"/>
      <c r="B73" s="643"/>
      <c r="C73" s="645"/>
      <c r="D73" s="150" t="s">
        <v>224</v>
      </c>
      <c r="E73" s="150" t="s">
        <v>185</v>
      </c>
      <c r="F73" s="148">
        <v>500</v>
      </c>
      <c r="G73" s="149"/>
      <c r="H73" s="147">
        <v>500</v>
      </c>
      <c r="I73" s="148">
        <v>500</v>
      </c>
      <c r="J73" s="149">
        <v>0</v>
      </c>
      <c r="K73" s="152">
        <v>60.82</v>
      </c>
      <c r="L73" s="133">
        <f>F73*$K$73</f>
        <v>30410</v>
      </c>
      <c r="M73" s="132"/>
      <c r="N73" s="479">
        <v>0</v>
      </c>
      <c r="O73" s="116">
        <f>H73*$K$73</f>
        <v>30410</v>
      </c>
      <c r="P73" s="133">
        <f>I73*$K$73</f>
        <v>30410</v>
      </c>
      <c r="Q73" s="89">
        <f t="shared" si="22"/>
        <v>0</v>
      </c>
      <c r="R73" s="89">
        <f t="shared" si="1"/>
        <v>-30410</v>
      </c>
      <c r="S73" s="463">
        <v>0</v>
      </c>
      <c r="T73" s="463">
        <v>0</v>
      </c>
      <c r="U73" s="460"/>
      <c r="V73" s="460"/>
      <c r="W73" s="460">
        <v>0</v>
      </c>
      <c r="X73" s="460"/>
      <c r="Y73" s="489">
        <f t="shared" si="23"/>
        <v>0</v>
      </c>
      <c r="Z73" s="151">
        <f>+W73</f>
        <v>0</v>
      </c>
      <c r="AA73" s="151"/>
      <c r="AB73" s="151"/>
      <c r="AC73" s="109">
        <f t="shared" si="5"/>
        <v>0</v>
      </c>
      <c r="AD73" s="109">
        <f t="shared" si="24"/>
        <v>30410</v>
      </c>
      <c r="AE73" s="657"/>
      <c r="AF73" s="125"/>
      <c r="AG73" s="125"/>
      <c r="AH73" s="125"/>
      <c r="AI73" s="125"/>
      <c r="AJ73" s="125"/>
      <c r="AK73" s="125"/>
      <c r="AL73" s="125"/>
      <c r="AM73" s="125"/>
      <c r="AN73" s="127"/>
      <c r="AO73" s="128"/>
      <c r="AP73" s="128"/>
      <c r="AQ73" s="128"/>
      <c r="AS73" s="129" t="s">
        <v>186</v>
      </c>
    </row>
    <row r="74" spans="1:45" s="140" customFormat="1" ht="14.25">
      <c r="A74" s="647"/>
      <c r="B74" s="643"/>
      <c r="C74" s="645"/>
      <c r="D74" s="150" t="s">
        <v>225</v>
      </c>
      <c r="E74" s="150" t="s">
        <v>158</v>
      </c>
      <c r="F74" s="148">
        <f>500*1.11</f>
        <v>555</v>
      </c>
      <c r="G74" s="149"/>
      <c r="H74" s="147">
        <f>500*1.11</f>
        <v>555</v>
      </c>
      <c r="I74" s="148">
        <f>500*1.11</f>
        <v>555</v>
      </c>
      <c r="J74" s="149">
        <f>+H74</f>
        <v>555</v>
      </c>
      <c r="K74" s="152">
        <v>1.01</v>
      </c>
      <c r="L74" s="133">
        <f>F74*$K$74</f>
        <v>560.55</v>
      </c>
      <c r="M74" s="132"/>
      <c r="N74" s="476">
        <v>1.0964301578017308</v>
      </c>
      <c r="O74" s="116">
        <f>H74*$K$74</f>
        <v>560.55</v>
      </c>
      <c r="P74" s="133">
        <f>I74*$K$74</f>
        <v>560.55</v>
      </c>
      <c r="Q74" s="89">
        <f t="shared" si="22"/>
        <v>608.5187375799605</v>
      </c>
      <c r="R74" s="89">
        <f t="shared" si="1"/>
        <v>47.96873757996059</v>
      </c>
      <c r="S74" s="500">
        <v>500</v>
      </c>
      <c r="T74" s="463">
        <v>0</v>
      </c>
      <c r="U74" s="460"/>
      <c r="V74" s="460"/>
      <c r="W74" s="460">
        <v>0</v>
      </c>
      <c r="X74" s="501">
        <f>+S74*N74</f>
        <v>548.2150789008654</v>
      </c>
      <c r="Y74" s="489">
        <f t="shared" si="23"/>
        <v>548.2150789008654</v>
      </c>
      <c r="Z74" s="109"/>
      <c r="AA74" s="109"/>
      <c r="AB74" s="109">
        <f>+Y74</f>
        <v>548.2150789008654</v>
      </c>
      <c r="AC74" s="109">
        <f t="shared" si="5"/>
        <v>548.2150789008654</v>
      </c>
      <c r="AD74" s="109">
        <f t="shared" si="24"/>
        <v>12.33492109913459</v>
      </c>
      <c r="AE74" s="657"/>
      <c r="AF74" s="125"/>
      <c r="AG74" s="125"/>
      <c r="AH74" s="125"/>
      <c r="AI74" s="125"/>
      <c r="AJ74" s="125"/>
      <c r="AK74" s="125"/>
      <c r="AL74" s="125"/>
      <c r="AM74" s="125"/>
      <c r="AN74" s="127"/>
      <c r="AO74" s="128"/>
      <c r="AP74" s="128"/>
      <c r="AQ74" s="128"/>
      <c r="AS74" s="129" t="s">
        <v>160</v>
      </c>
    </row>
    <row r="75" spans="1:45" s="140" customFormat="1" ht="28.5">
      <c r="A75" s="647"/>
      <c r="B75" s="643"/>
      <c r="C75" s="645"/>
      <c r="D75" s="134" t="s">
        <v>226</v>
      </c>
      <c r="E75" s="150" t="s">
        <v>158</v>
      </c>
      <c r="F75" s="154">
        <f>500*1.25</f>
        <v>625</v>
      </c>
      <c r="G75" s="155"/>
      <c r="H75" s="156">
        <f>500*1.25</f>
        <v>625</v>
      </c>
      <c r="I75" s="154">
        <f>500*1.25</f>
        <v>625</v>
      </c>
      <c r="J75" s="149">
        <f>+H75</f>
        <v>625</v>
      </c>
      <c r="K75" s="152">
        <v>3.78</v>
      </c>
      <c r="L75" s="133">
        <f>F75*$K$75</f>
        <v>2362.5</v>
      </c>
      <c r="M75" s="132"/>
      <c r="N75" s="479">
        <v>3.78</v>
      </c>
      <c r="O75" s="116">
        <f>H75*$K$75</f>
        <v>2362.5</v>
      </c>
      <c r="P75" s="133">
        <f>I75*$K$75</f>
        <v>2362.5</v>
      </c>
      <c r="Q75" s="89">
        <f t="shared" si="22"/>
        <v>2362.5</v>
      </c>
      <c r="R75" s="89">
        <f t="shared" si="1"/>
        <v>0</v>
      </c>
      <c r="S75" s="500">
        <v>625</v>
      </c>
      <c r="T75" s="463">
        <v>0</v>
      </c>
      <c r="U75" s="460"/>
      <c r="V75" s="460"/>
      <c r="W75" s="460">
        <v>0</v>
      </c>
      <c r="X75" s="501">
        <f>+N75*S75</f>
        <v>2362.5</v>
      </c>
      <c r="Y75" s="489">
        <f t="shared" si="23"/>
        <v>2362.5</v>
      </c>
      <c r="Z75" s="109"/>
      <c r="AA75" s="109"/>
      <c r="AB75" s="109">
        <f>+Y75</f>
        <v>2362.5</v>
      </c>
      <c r="AC75" s="109">
        <f t="shared" si="5"/>
        <v>2362.5</v>
      </c>
      <c r="AD75" s="109">
        <f t="shared" si="24"/>
        <v>0</v>
      </c>
      <c r="AE75" s="657"/>
      <c r="AF75" s="125"/>
      <c r="AG75" s="125"/>
      <c r="AH75" s="125"/>
      <c r="AI75" s="125"/>
      <c r="AJ75" s="125"/>
      <c r="AK75" s="125"/>
      <c r="AL75" s="125"/>
      <c r="AM75" s="125"/>
      <c r="AN75" s="127"/>
      <c r="AO75" s="128"/>
      <c r="AP75" s="128"/>
      <c r="AQ75" s="128"/>
      <c r="AS75" s="129" t="s">
        <v>168</v>
      </c>
    </row>
    <row r="76" spans="1:45" s="140" customFormat="1" ht="28.5">
      <c r="A76" s="647"/>
      <c r="B76" s="643"/>
      <c r="C76" s="645"/>
      <c r="D76" s="134" t="s">
        <v>227</v>
      </c>
      <c r="E76" s="150" t="s">
        <v>158</v>
      </c>
      <c r="F76" s="154">
        <f>500*1.25</f>
        <v>625</v>
      </c>
      <c r="G76" s="155"/>
      <c r="H76" s="156">
        <f>500*1.25</f>
        <v>625</v>
      </c>
      <c r="I76" s="154">
        <f>500*1.25</f>
        <v>625</v>
      </c>
      <c r="J76" s="149">
        <f>+H76</f>
        <v>625</v>
      </c>
      <c r="K76" s="152">
        <v>6.35</v>
      </c>
      <c r="L76" s="133">
        <f>F76*$K$76</f>
        <v>3968.75</v>
      </c>
      <c r="M76" s="132"/>
      <c r="N76" s="479">
        <v>6.35</v>
      </c>
      <c r="O76" s="116">
        <f>H76*$K$76</f>
        <v>3968.75</v>
      </c>
      <c r="P76" s="133">
        <f>I76*$K$76</f>
        <v>3968.75</v>
      </c>
      <c r="Q76" s="89">
        <f t="shared" si="22"/>
        <v>3968.75</v>
      </c>
      <c r="R76" s="89">
        <f t="shared" si="1"/>
        <v>0</v>
      </c>
      <c r="S76" s="500">
        <v>625</v>
      </c>
      <c r="T76" s="463">
        <v>0</v>
      </c>
      <c r="U76" s="460"/>
      <c r="V76" s="460"/>
      <c r="W76" s="460">
        <v>0</v>
      </c>
      <c r="X76" s="501">
        <f>+N76*S76</f>
        <v>3968.75</v>
      </c>
      <c r="Y76" s="489">
        <f t="shared" si="23"/>
        <v>3968.75</v>
      </c>
      <c r="Z76" s="109"/>
      <c r="AA76" s="109"/>
      <c r="AB76" s="109">
        <f>+Y76</f>
        <v>3968.75</v>
      </c>
      <c r="AC76" s="109">
        <f t="shared" si="5"/>
        <v>3968.75</v>
      </c>
      <c r="AD76" s="109">
        <f t="shared" si="24"/>
        <v>0</v>
      </c>
      <c r="AE76" s="657"/>
      <c r="AF76" s="125"/>
      <c r="AG76" s="125"/>
      <c r="AH76" s="125"/>
      <c r="AI76" s="125"/>
      <c r="AJ76" s="125"/>
      <c r="AK76" s="125"/>
      <c r="AL76" s="125"/>
      <c r="AM76" s="125"/>
      <c r="AN76" s="127"/>
      <c r="AO76" s="128"/>
      <c r="AP76" s="128"/>
      <c r="AQ76" s="128"/>
      <c r="AS76" s="129" t="s">
        <v>168</v>
      </c>
    </row>
    <row r="77" spans="1:43" s="140" customFormat="1" ht="15">
      <c r="A77" s="647"/>
      <c r="B77" s="262" t="s">
        <v>315</v>
      </c>
      <c r="C77" s="263"/>
      <c r="D77" s="262"/>
      <c r="E77" s="262"/>
      <c r="F77" s="288"/>
      <c r="G77" s="289"/>
      <c r="H77" s="285"/>
      <c r="I77" s="283"/>
      <c r="J77" s="290"/>
      <c r="K77" s="269"/>
      <c r="L77" s="269">
        <f>SUM(L71:L76)</f>
        <v>37301.8</v>
      </c>
      <c r="M77" s="270"/>
      <c r="N77" s="477"/>
      <c r="O77" s="269">
        <f aca="true" t="shared" si="25" ref="O77:Z77">SUM(O71:O76)</f>
        <v>41301.8</v>
      </c>
      <c r="P77" s="269">
        <f t="shared" si="25"/>
        <v>37301.8</v>
      </c>
      <c r="Q77" s="269">
        <f t="shared" si="25"/>
        <v>41350.008737579956</v>
      </c>
      <c r="R77" s="269">
        <f t="shared" si="25"/>
        <v>48.20873757995855</v>
      </c>
      <c r="S77" s="466"/>
      <c r="T77" s="466"/>
      <c r="U77" s="466">
        <f t="shared" si="25"/>
        <v>34398.72</v>
      </c>
      <c r="V77" s="466">
        <f t="shared" si="25"/>
        <v>0</v>
      </c>
      <c r="W77" s="466">
        <f t="shared" si="25"/>
        <v>0</v>
      </c>
      <c r="X77" s="466">
        <f t="shared" si="25"/>
        <v>6879.465078900866</v>
      </c>
      <c r="Y77" s="494">
        <f t="shared" si="23"/>
        <v>6879.465078900866</v>
      </c>
      <c r="Z77" s="269">
        <f t="shared" si="25"/>
        <v>0</v>
      </c>
      <c r="AA77" s="269">
        <f>SUM(AA71:AA76)</f>
        <v>0</v>
      </c>
      <c r="AB77" s="269">
        <f>SUM(AB71:AB76)</f>
        <v>6879.465078900866</v>
      </c>
      <c r="AC77" s="270">
        <f t="shared" si="5"/>
        <v>6879.465078900866</v>
      </c>
      <c r="AD77" s="270">
        <f>SUM(AD71:AD76)</f>
        <v>23.614921099133426</v>
      </c>
      <c r="AE77" s="657"/>
      <c r="AF77" s="125"/>
      <c r="AG77" s="125"/>
      <c r="AH77" s="125"/>
      <c r="AI77" s="125"/>
      <c r="AJ77" s="125"/>
      <c r="AK77" s="125"/>
      <c r="AL77" s="125"/>
      <c r="AM77" s="125"/>
      <c r="AN77" s="127"/>
      <c r="AO77" s="128"/>
      <c r="AP77" s="128"/>
      <c r="AQ77" s="128"/>
    </row>
    <row r="78" spans="1:43" s="93" customFormat="1" ht="14.25">
      <c r="A78" s="647"/>
      <c r="N78" s="482"/>
      <c r="S78" s="469"/>
      <c r="T78" s="469"/>
      <c r="U78" s="469"/>
      <c r="V78" s="469"/>
      <c r="W78" s="469"/>
      <c r="X78" s="469"/>
      <c r="Y78" s="469"/>
      <c r="AE78" s="657"/>
      <c r="AF78" s="121"/>
      <c r="AG78" s="121"/>
      <c r="AH78" s="121"/>
      <c r="AI78" s="121"/>
      <c r="AJ78" s="121"/>
      <c r="AK78" s="121"/>
      <c r="AL78" s="121"/>
      <c r="AM78" s="121"/>
      <c r="AN78" s="120"/>
      <c r="AO78" s="98"/>
      <c r="AP78" s="98"/>
      <c r="AQ78" s="98"/>
    </row>
    <row r="79" spans="1:45" s="131" customFormat="1" ht="25.5" customHeight="1">
      <c r="A79" s="647"/>
      <c r="B79" s="643" t="s">
        <v>228</v>
      </c>
      <c r="C79" s="645" t="s">
        <v>156</v>
      </c>
      <c r="D79" s="146" t="s">
        <v>229</v>
      </c>
      <c r="E79" s="146" t="s">
        <v>158</v>
      </c>
      <c r="F79" s="176">
        <f>(6950+1843+9275)</f>
        <v>18068</v>
      </c>
      <c r="G79" s="177"/>
      <c r="H79" s="144">
        <f>7000+1980+9940</f>
        <v>18920</v>
      </c>
      <c r="I79" s="142">
        <f>7250+2118+10605</f>
        <v>19973</v>
      </c>
      <c r="J79" s="143">
        <f>+H79</f>
        <v>18920</v>
      </c>
      <c r="K79" s="152">
        <v>1.0814286072709938</v>
      </c>
      <c r="L79" s="133">
        <f aca="true" t="shared" si="26" ref="L79:L85">F79*K79</f>
        <v>19539.252076172317</v>
      </c>
      <c r="M79" s="132"/>
      <c r="N79" s="479">
        <v>1.4</v>
      </c>
      <c r="O79" s="116">
        <f aca="true" t="shared" si="27" ref="O79:O85">H79*K79</f>
        <v>20460.629249567202</v>
      </c>
      <c r="P79" s="133">
        <f aca="true" t="shared" si="28" ref="P79:P100">I79*K79</f>
        <v>21599.37357302356</v>
      </c>
      <c r="Q79" s="89">
        <f>N79*J79</f>
        <v>26488</v>
      </c>
      <c r="R79" s="89">
        <f aca="true" t="shared" si="29" ref="R79:R100">Q79-O79</f>
        <v>6027.370750432798</v>
      </c>
      <c r="S79" s="463">
        <f>+X79/N79</f>
        <v>14611.428571428572</v>
      </c>
      <c r="T79" s="463">
        <f aca="true" t="shared" si="30" ref="T79:T99">+H79-S79</f>
        <v>4308.5714285714275</v>
      </c>
      <c r="U79" s="460"/>
      <c r="V79" s="460"/>
      <c r="W79" s="460">
        <v>0</v>
      </c>
      <c r="X79" s="460">
        <v>20456</v>
      </c>
      <c r="Y79" s="489">
        <f t="shared" si="23"/>
        <v>20456</v>
      </c>
      <c r="Z79" s="109">
        <v>0</v>
      </c>
      <c r="AA79" s="109"/>
      <c r="AB79" s="109">
        <f>+'[3]Ejecucion_Financiera MINSAL AGO'!$AS$66</f>
        <v>20456</v>
      </c>
      <c r="AC79" s="109">
        <f t="shared" si="5"/>
        <v>20456</v>
      </c>
      <c r="AD79" s="109">
        <f aca="true" t="shared" si="31" ref="AD79:AD100">+O79+W79-U79-V79-AC79</f>
        <v>4.629249567202351</v>
      </c>
      <c r="AE79" s="657"/>
      <c r="AF79" s="120"/>
      <c r="AG79" s="120"/>
      <c r="AH79" s="120"/>
      <c r="AI79" s="120"/>
      <c r="AJ79" s="120"/>
      <c r="AK79" s="120"/>
      <c r="AL79" s="120"/>
      <c r="AM79" s="120"/>
      <c r="AN79" s="120"/>
      <c r="AO79" s="98"/>
      <c r="AP79" s="98"/>
      <c r="AQ79" s="98"/>
      <c r="AS79" s="129" t="s">
        <v>168</v>
      </c>
    </row>
    <row r="80" spans="1:45" s="131" customFormat="1" ht="51" customHeight="1">
      <c r="A80" s="647"/>
      <c r="B80" s="643"/>
      <c r="C80" s="645"/>
      <c r="D80" s="134" t="s">
        <v>230</v>
      </c>
      <c r="E80" s="146" t="s">
        <v>158</v>
      </c>
      <c r="F80" s="142">
        <f>(6950+1843+9275)*1.11</f>
        <v>20055.480000000003</v>
      </c>
      <c r="G80" s="143"/>
      <c r="H80" s="144">
        <f>(7000+1980+9940)*1.11</f>
        <v>21001.2</v>
      </c>
      <c r="I80" s="142">
        <f>(7250+2118+10605)*1.11</f>
        <v>22170.030000000002</v>
      </c>
      <c r="J80" s="143">
        <f>185*150</f>
        <v>27750</v>
      </c>
      <c r="K80" s="152">
        <v>0.3</v>
      </c>
      <c r="L80" s="133">
        <f t="shared" si="26"/>
        <v>6016.644000000001</v>
      </c>
      <c r="M80" s="132"/>
      <c r="N80" s="479">
        <f>+'[4]Detalle medicinas y prod. salud'!$N$79</f>
        <v>0.06493333333333333</v>
      </c>
      <c r="O80" s="116">
        <f t="shared" si="27"/>
        <v>6300.36</v>
      </c>
      <c r="P80" s="133">
        <f t="shared" si="28"/>
        <v>6651.009000000001</v>
      </c>
      <c r="Q80" s="89">
        <f>N80*J80</f>
        <v>1801.8999999999999</v>
      </c>
      <c r="R80" s="89">
        <f t="shared" si="29"/>
        <v>-4498.46</v>
      </c>
      <c r="S80" s="463">
        <f>185*150</f>
        <v>27750</v>
      </c>
      <c r="T80" s="463">
        <f t="shared" si="30"/>
        <v>-6748.799999999999</v>
      </c>
      <c r="U80" s="460"/>
      <c r="V80" s="460">
        <v>1801.9</v>
      </c>
      <c r="W80" s="460">
        <v>0</v>
      </c>
      <c r="X80" s="460"/>
      <c r="Y80" s="489">
        <f t="shared" si="23"/>
        <v>0</v>
      </c>
      <c r="Z80" s="109"/>
      <c r="AA80" s="109"/>
      <c r="AB80" s="109"/>
      <c r="AC80" s="109">
        <f t="shared" si="5"/>
        <v>0</v>
      </c>
      <c r="AD80" s="109">
        <f t="shared" si="31"/>
        <v>4498.459999999999</v>
      </c>
      <c r="AE80" s="657"/>
      <c r="AF80" s="120"/>
      <c r="AG80" s="120"/>
      <c r="AH80" s="120"/>
      <c r="AI80" s="120"/>
      <c r="AJ80" s="120"/>
      <c r="AK80" s="120"/>
      <c r="AL80" s="120"/>
      <c r="AM80" s="120"/>
      <c r="AN80" s="120"/>
      <c r="AO80" s="98"/>
      <c r="AP80" s="98"/>
      <c r="AQ80" s="98"/>
      <c r="AS80" s="129" t="s">
        <v>168</v>
      </c>
    </row>
    <row r="81" spans="1:45" s="131" customFormat="1" ht="34.5" customHeight="1">
      <c r="A81" s="647"/>
      <c r="B81" s="643"/>
      <c r="C81" s="645"/>
      <c r="D81" s="134" t="s">
        <v>227</v>
      </c>
      <c r="E81" s="146" t="s">
        <v>158</v>
      </c>
      <c r="F81" s="142">
        <f>(6950+1843+9275)*1.25</f>
        <v>22585</v>
      </c>
      <c r="G81" s="143"/>
      <c r="H81" s="144">
        <f>(7000+1980+9940)*1.25</f>
        <v>23650</v>
      </c>
      <c r="I81" s="142">
        <f>(7250+2118+10605)*1.25</f>
        <v>24966.25</v>
      </c>
      <c r="J81" s="143">
        <f>+H81</f>
        <v>23650</v>
      </c>
      <c r="K81" s="152">
        <v>6.35</v>
      </c>
      <c r="L81" s="133">
        <f t="shared" si="26"/>
        <v>143414.75</v>
      </c>
      <c r="M81" s="132"/>
      <c r="N81" s="479">
        <f>+'[2]Plan compras anio 1 vs gastos'!K77</f>
        <v>6.322289189189189</v>
      </c>
      <c r="O81" s="116">
        <f t="shared" si="27"/>
        <v>150177.5</v>
      </c>
      <c r="P81" s="133">
        <f t="shared" si="28"/>
        <v>158535.6875</v>
      </c>
      <c r="Q81" s="89">
        <f aca="true" t="shared" si="32" ref="Q81:Q141">N81*J81</f>
        <v>149522.13932432432</v>
      </c>
      <c r="R81" s="89">
        <f t="shared" si="29"/>
        <v>-655.3606756756781</v>
      </c>
      <c r="S81" s="463">
        <v>0</v>
      </c>
      <c r="T81" s="463">
        <v>0</v>
      </c>
      <c r="U81" s="460"/>
      <c r="V81" s="460"/>
      <c r="W81" s="460">
        <v>0</v>
      </c>
      <c r="X81" s="460"/>
      <c r="Y81" s="489">
        <f t="shared" si="23"/>
        <v>0</v>
      </c>
      <c r="Z81" s="109"/>
      <c r="AA81" s="109"/>
      <c r="AB81" s="109"/>
      <c r="AC81" s="109">
        <f t="shared" si="5"/>
        <v>0</v>
      </c>
      <c r="AD81" s="109">
        <f t="shared" si="31"/>
        <v>150177.5</v>
      </c>
      <c r="AE81" s="657"/>
      <c r="AF81" s="120"/>
      <c r="AG81" s="120"/>
      <c r="AH81" s="120"/>
      <c r="AI81" s="120"/>
      <c r="AJ81" s="120"/>
      <c r="AK81" s="120"/>
      <c r="AL81" s="120"/>
      <c r="AM81" s="120"/>
      <c r="AN81" s="120"/>
      <c r="AO81" s="98"/>
      <c r="AP81" s="98"/>
      <c r="AQ81" s="98"/>
      <c r="AS81" s="129" t="s">
        <v>168</v>
      </c>
    </row>
    <row r="82" spans="1:45" s="131" customFormat="1" ht="28.5" customHeight="1">
      <c r="A82" s="647"/>
      <c r="B82" s="643"/>
      <c r="C82" s="645"/>
      <c r="D82" s="134" t="s">
        <v>226</v>
      </c>
      <c r="E82" s="146" t="s">
        <v>158</v>
      </c>
      <c r="F82" s="142">
        <f>(6950+1843+9275)*1.25</f>
        <v>22585</v>
      </c>
      <c r="G82" s="143"/>
      <c r="H82" s="144">
        <f>(7000+1980+9940)*1.25</f>
        <v>23650</v>
      </c>
      <c r="I82" s="142">
        <f>(7250+2118+10605)*1.25</f>
        <v>24966.25</v>
      </c>
      <c r="J82" s="143">
        <f aca="true" t="shared" si="33" ref="J82:J97">+H82</f>
        <v>23650</v>
      </c>
      <c r="K82" s="152">
        <v>3.78</v>
      </c>
      <c r="L82" s="133">
        <f t="shared" si="26"/>
        <v>85371.29999999999</v>
      </c>
      <c r="M82" s="132"/>
      <c r="N82" s="479">
        <f>+'[2]Plan compras anio 1 vs gastos'!K78</f>
        <v>2.45433305785124</v>
      </c>
      <c r="O82" s="116">
        <f t="shared" si="27"/>
        <v>89397</v>
      </c>
      <c r="P82" s="133">
        <f t="shared" si="28"/>
        <v>94372.42499999999</v>
      </c>
      <c r="Q82" s="89">
        <f t="shared" si="32"/>
        <v>58044.97681818182</v>
      </c>
      <c r="R82" s="89">
        <f t="shared" si="29"/>
        <v>-31352.02318181818</v>
      </c>
      <c r="S82" s="463">
        <v>0</v>
      </c>
      <c r="T82" s="463">
        <v>0</v>
      </c>
      <c r="U82" s="460"/>
      <c r="V82" s="460"/>
      <c r="W82" s="460">
        <v>0</v>
      </c>
      <c r="X82" s="460"/>
      <c r="Y82" s="489">
        <f t="shared" si="23"/>
        <v>0</v>
      </c>
      <c r="Z82" s="109"/>
      <c r="AA82" s="109"/>
      <c r="AB82" s="109"/>
      <c r="AC82" s="109">
        <f t="shared" si="5"/>
        <v>0</v>
      </c>
      <c r="AD82" s="109">
        <f t="shared" si="31"/>
        <v>89397</v>
      </c>
      <c r="AE82" s="657"/>
      <c r="AF82" s="120"/>
      <c r="AG82" s="120"/>
      <c r="AH82" s="120"/>
      <c r="AI82" s="120"/>
      <c r="AJ82" s="120"/>
      <c r="AK82" s="120"/>
      <c r="AL82" s="120"/>
      <c r="AM82" s="120"/>
      <c r="AN82" s="120"/>
      <c r="AO82" s="98"/>
      <c r="AP82" s="98"/>
      <c r="AQ82" s="98"/>
      <c r="AS82" s="129" t="s">
        <v>168</v>
      </c>
    </row>
    <row r="83" spans="1:45" s="131" customFormat="1" ht="40.5" customHeight="1">
      <c r="A83" s="647"/>
      <c r="B83" s="643"/>
      <c r="C83" s="645"/>
      <c r="D83" s="150" t="s">
        <v>231</v>
      </c>
      <c r="E83" s="146" t="s">
        <v>158</v>
      </c>
      <c r="F83" s="142">
        <f>2200*1.25</f>
        <v>2750</v>
      </c>
      <c r="G83" s="143"/>
      <c r="H83" s="144">
        <f>2112*1.25</f>
        <v>2640</v>
      </c>
      <c r="I83" s="142">
        <f>2100*1.25</f>
        <v>2625</v>
      </c>
      <c r="J83" s="143">
        <f t="shared" si="33"/>
        <v>2640</v>
      </c>
      <c r="K83" s="152">
        <v>36</v>
      </c>
      <c r="L83" s="133">
        <f t="shared" si="26"/>
        <v>99000</v>
      </c>
      <c r="M83" s="132"/>
      <c r="N83" s="479">
        <v>36.75</v>
      </c>
      <c r="O83" s="116">
        <f t="shared" si="27"/>
        <v>95040</v>
      </c>
      <c r="P83" s="133">
        <f t="shared" si="28"/>
        <v>94500</v>
      </c>
      <c r="Q83" s="89">
        <f t="shared" si="32"/>
        <v>97020</v>
      </c>
      <c r="R83" s="89">
        <f t="shared" si="29"/>
        <v>1980</v>
      </c>
      <c r="S83" s="463">
        <f>1434+1434</f>
        <v>2868</v>
      </c>
      <c r="T83" s="463">
        <f t="shared" si="30"/>
        <v>-228</v>
      </c>
      <c r="U83" s="460"/>
      <c r="V83" s="460">
        <f>52699.5+52699.5</f>
        <v>105399</v>
      </c>
      <c r="W83" s="460">
        <v>0</v>
      </c>
      <c r="X83" s="460"/>
      <c r="Y83" s="489">
        <f t="shared" si="23"/>
        <v>0</v>
      </c>
      <c r="Z83" s="109"/>
      <c r="AA83" s="109"/>
      <c r="AB83" s="109"/>
      <c r="AC83" s="109">
        <f t="shared" si="5"/>
        <v>0</v>
      </c>
      <c r="AD83" s="109">
        <f t="shared" si="31"/>
        <v>-10359</v>
      </c>
      <c r="AE83" s="657"/>
      <c r="AF83" s="120"/>
      <c r="AG83" s="120"/>
      <c r="AH83" s="120"/>
      <c r="AI83" s="120"/>
      <c r="AJ83" s="120"/>
      <c r="AK83" s="120"/>
      <c r="AL83" s="120"/>
      <c r="AM83" s="120"/>
      <c r="AN83" s="120"/>
      <c r="AO83" s="98"/>
      <c r="AP83" s="98"/>
      <c r="AQ83" s="98"/>
      <c r="AS83" s="129" t="s">
        <v>168</v>
      </c>
    </row>
    <row r="84" spans="1:45" s="131" customFormat="1" ht="14.25">
      <c r="A84" s="647"/>
      <c r="B84" s="643"/>
      <c r="C84" s="645"/>
      <c r="D84" s="161" t="s">
        <v>232</v>
      </c>
      <c r="E84" s="146" t="s">
        <v>158</v>
      </c>
      <c r="F84" s="176">
        <f>1842.6*1.25</f>
        <v>2303.25</v>
      </c>
      <c r="G84" s="177"/>
      <c r="H84" s="144">
        <f>1980.4*1.25</f>
        <v>2475.5</v>
      </c>
      <c r="I84" s="142">
        <f>2118.2*1.25</f>
        <v>2647.75</v>
      </c>
      <c r="J84" s="143">
        <f t="shared" si="33"/>
        <v>2475.5</v>
      </c>
      <c r="K84" s="152">
        <v>36</v>
      </c>
      <c r="L84" s="133">
        <f t="shared" si="26"/>
        <v>82917</v>
      </c>
      <c r="M84" s="132"/>
      <c r="N84" s="479">
        <v>36.75</v>
      </c>
      <c r="O84" s="116">
        <f t="shared" si="27"/>
        <v>89118</v>
      </c>
      <c r="P84" s="133">
        <f t="shared" si="28"/>
        <v>95319</v>
      </c>
      <c r="Q84" s="89">
        <f t="shared" si="32"/>
        <v>90974.625</v>
      </c>
      <c r="R84" s="89">
        <f t="shared" si="29"/>
        <v>1856.625</v>
      </c>
      <c r="S84" s="463">
        <f>+V84/N84</f>
        <v>1450</v>
      </c>
      <c r="T84" s="463">
        <f t="shared" si="30"/>
        <v>1025.5</v>
      </c>
      <c r="U84" s="460"/>
      <c r="V84" s="460">
        <v>53287.5</v>
      </c>
      <c r="W84" s="460">
        <v>0</v>
      </c>
      <c r="X84" s="460"/>
      <c r="Y84" s="489">
        <f t="shared" si="23"/>
        <v>0</v>
      </c>
      <c r="Z84" s="109"/>
      <c r="AA84" s="109"/>
      <c r="AB84" s="109"/>
      <c r="AC84" s="109">
        <f t="shared" si="5"/>
        <v>0</v>
      </c>
      <c r="AD84" s="109">
        <f t="shared" si="31"/>
        <v>35830.5</v>
      </c>
      <c r="AE84" s="657"/>
      <c r="AF84" s="120"/>
      <c r="AG84" s="120"/>
      <c r="AH84" s="120"/>
      <c r="AI84" s="120"/>
      <c r="AJ84" s="120"/>
      <c r="AK84" s="120"/>
      <c r="AL84" s="120"/>
      <c r="AM84" s="120"/>
      <c r="AN84" s="120"/>
      <c r="AO84" s="98"/>
      <c r="AP84" s="98"/>
      <c r="AQ84" s="98"/>
      <c r="AS84" s="129" t="s">
        <v>168</v>
      </c>
    </row>
    <row r="85" spans="1:45" s="131" customFormat="1" ht="14.25">
      <c r="A85" s="647"/>
      <c r="B85" s="643"/>
      <c r="C85" s="645"/>
      <c r="D85" s="161" t="s">
        <v>233</v>
      </c>
      <c r="E85" s="146" t="s">
        <v>158</v>
      </c>
      <c r="F85" s="176">
        <f>1842.6*1.25</f>
        <v>2303.25</v>
      </c>
      <c r="G85" s="177"/>
      <c r="H85" s="144">
        <f>1980.4*1.25</f>
        <v>2475.5</v>
      </c>
      <c r="I85" s="142">
        <f>2118.2*1.25</f>
        <v>2647.75</v>
      </c>
      <c r="J85" s="143">
        <f t="shared" si="33"/>
        <v>2475.5</v>
      </c>
      <c r="K85" s="152">
        <v>36</v>
      </c>
      <c r="L85" s="133">
        <f t="shared" si="26"/>
        <v>82917</v>
      </c>
      <c r="M85" s="132"/>
      <c r="N85" s="479">
        <v>36.75</v>
      </c>
      <c r="O85" s="116">
        <f t="shared" si="27"/>
        <v>89118</v>
      </c>
      <c r="P85" s="133">
        <f t="shared" si="28"/>
        <v>95319</v>
      </c>
      <c r="Q85" s="89">
        <f t="shared" si="32"/>
        <v>90974.625</v>
      </c>
      <c r="R85" s="89">
        <f t="shared" si="29"/>
        <v>1856.625</v>
      </c>
      <c r="S85" s="463">
        <f>+V85/N85</f>
        <v>1435</v>
      </c>
      <c r="T85" s="463">
        <f t="shared" si="30"/>
        <v>1040.5</v>
      </c>
      <c r="U85" s="460"/>
      <c r="V85" s="460">
        <v>52736.25</v>
      </c>
      <c r="W85" s="460">
        <v>0</v>
      </c>
      <c r="X85" s="460"/>
      <c r="Y85" s="489">
        <f t="shared" si="23"/>
        <v>0</v>
      </c>
      <c r="Z85" s="109"/>
      <c r="AA85" s="109"/>
      <c r="AB85" s="109"/>
      <c r="AC85" s="109">
        <f t="shared" si="5"/>
        <v>0</v>
      </c>
      <c r="AD85" s="109">
        <f t="shared" si="31"/>
        <v>36381.75</v>
      </c>
      <c r="AE85" s="657"/>
      <c r="AF85" s="120"/>
      <c r="AG85" s="120"/>
      <c r="AH85" s="120"/>
      <c r="AI85" s="120"/>
      <c r="AJ85" s="120"/>
      <c r="AK85" s="120"/>
      <c r="AL85" s="120"/>
      <c r="AM85" s="120"/>
      <c r="AN85" s="120"/>
      <c r="AO85" s="98"/>
      <c r="AP85" s="98"/>
      <c r="AQ85" s="98"/>
      <c r="AS85" s="129" t="s">
        <v>168</v>
      </c>
    </row>
    <row r="86" spans="1:45" s="131" customFormat="1" ht="14.25">
      <c r="A86" s="647"/>
      <c r="B86" s="643"/>
      <c r="C86" s="645"/>
      <c r="D86" s="161" t="s">
        <v>234</v>
      </c>
      <c r="E86" s="161" t="s">
        <v>200</v>
      </c>
      <c r="F86" s="176">
        <f>96595*0.6</f>
        <v>57957</v>
      </c>
      <c r="G86" s="177"/>
      <c r="H86" s="144">
        <f>96595*0.5</f>
        <v>48297.5</v>
      </c>
      <c r="I86" s="142">
        <f>96595*0.4</f>
        <v>38638</v>
      </c>
      <c r="J86" s="143">
        <f t="shared" si="33"/>
        <v>48297.5</v>
      </c>
      <c r="K86" s="152">
        <v>0.2</v>
      </c>
      <c r="L86" s="133">
        <f>PRODUCT(F86,K86)</f>
        <v>11591.400000000001</v>
      </c>
      <c r="M86" s="132"/>
      <c r="N86" s="479">
        <f>+X86/S86</f>
        <v>0.0145</v>
      </c>
      <c r="O86" s="116">
        <f>PRODUCT(H86,K86)</f>
        <v>9659.5</v>
      </c>
      <c r="P86" s="133">
        <f t="shared" si="28"/>
        <v>7727.6</v>
      </c>
      <c r="Q86" s="89">
        <f t="shared" si="32"/>
        <v>700.31375</v>
      </c>
      <c r="R86" s="89">
        <f t="shared" si="29"/>
        <v>-8959.18625</v>
      </c>
      <c r="S86" s="463">
        <v>88000</v>
      </c>
      <c r="T86" s="463">
        <v>0</v>
      </c>
      <c r="U86" s="460"/>
      <c r="V86" s="460"/>
      <c r="W86" s="460">
        <v>0</v>
      </c>
      <c r="X86" s="460">
        <v>1276</v>
      </c>
      <c r="Y86" s="489">
        <f t="shared" si="23"/>
        <v>1276</v>
      </c>
      <c r="Z86" s="151">
        <v>1276</v>
      </c>
      <c r="AA86" s="151"/>
      <c r="AB86" s="151"/>
      <c r="AC86" s="109">
        <f t="shared" si="5"/>
        <v>1276</v>
      </c>
      <c r="AD86" s="109">
        <f t="shared" si="31"/>
        <v>8383.5</v>
      </c>
      <c r="AE86" s="657"/>
      <c r="AF86" s="120"/>
      <c r="AG86" s="120"/>
      <c r="AH86" s="120"/>
      <c r="AI86" s="120"/>
      <c r="AJ86" s="120"/>
      <c r="AK86" s="120"/>
      <c r="AL86" s="120"/>
      <c r="AM86" s="120"/>
      <c r="AN86" s="120"/>
      <c r="AO86" s="98"/>
      <c r="AP86" s="98"/>
      <c r="AQ86" s="98"/>
      <c r="AS86" s="131" t="s">
        <v>198</v>
      </c>
    </row>
    <row r="87" spans="1:45" s="131" customFormat="1" ht="14.25">
      <c r="A87" s="647"/>
      <c r="B87" s="643"/>
      <c r="C87" s="645"/>
      <c r="D87" s="161" t="s">
        <v>235</v>
      </c>
      <c r="E87" s="161" t="s">
        <v>236</v>
      </c>
      <c r="F87" s="176">
        <f>55650*0.6</f>
        <v>33390</v>
      </c>
      <c r="G87" s="177"/>
      <c r="H87" s="144">
        <f>55650*0.5</f>
        <v>27825</v>
      </c>
      <c r="I87" s="142">
        <f>55650*0.4</f>
        <v>22260</v>
      </c>
      <c r="J87" s="143">
        <f t="shared" si="33"/>
        <v>27825</v>
      </c>
      <c r="K87" s="152">
        <v>0.55</v>
      </c>
      <c r="L87" s="133">
        <f>PRODUCT(F87,K87)</f>
        <v>18364.5</v>
      </c>
      <c r="M87" s="132"/>
      <c r="N87" s="479">
        <f>+'[2]Plan compras anio 1 vs gastos'!K83</f>
        <v>1</v>
      </c>
      <c r="O87" s="116">
        <f>PRODUCT(H87,K87)</f>
        <v>15303.750000000002</v>
      </c>
      <c r="P87" s="133">
        <f t="shared" si="28"/>
        <v>12243.000000000002</v>
      </c>
      <c r="Q87" s="89">
        <f t="shared" si="32"/>
        <v>27825</v>
      </c>
      <c r="R87" s="89">
        <f t="shared" si="29"/>
        <v>12521.249999999998</v>
      </c>
      <c r="S87" s="463">
        <f aca="true" t="shared" si="34" ref="S87:S95">+X87/N87</f>
        <v>15304</v>
      </c>
      <c r="T87" s="463">
        <f t="shared" si="30"/>
        <v>12521</v>
      </c>
      <c r="U87" s="460"/>
      <c r="V87" s="460"/>
      <c r="W87" s="460">
        <v>0</v>
      </c>
      <c r="X87" s="460">
        <v>15304</v>
      </c>
      <c r="Y87" s="489">
        <f t="shared" si="23"/>
        <v>15304</v>
      </c>
      <c r="Z87" s="151"/>
      <c r="AA87" s="151"/>
      <c r="AB87" s="151">
        <v>15304</v>
      </c>
      <c r="AC87" s="109">
        <f t="shared" si="5"/>
        <v>15304</v>
      </c>
      <c r="AD87" s="109">
        <f t="shared" si="31"/>
        <v>-0.249999999998181</v>
      </c>
      <c r="AE87" s="657"/>
      <c r="AF87" s="120"/>
      <c r="AG87" s="120"/>
      <c r="AH87" s="120"/>
      <c r="AI87" s="120"/>
      <c r="AJ87" s="120"/>
      <c r="AK87" s="120"/>
      <c r="AL87" s="120"/>
      <c r="AM87" s="120"/>
      <c r="AN87" s="120"/>
      <c r="AO87" s="98"/>
      <c r="AP87" s="98"/>
      <c r="AQ87" s="98"/>
      <c r="AS87" s="131" t="s">
        <v>198</v>
      </c>
    </row>
    <row r="88" spans="1:45" s="131" customFormat="1" ht="14.25">
      <c r="A88" s="647"/>
      <c r="B88" s="643"/>
      <c r="C88" s="645"/>
      <c r="D88" s="161" t="s">
        <v>237</v>
      </c>
      <c r="E88" s="161" t="s">
        <v>236</v>
      </c>
      <c r="F88" s="169">
        <f>27825*0.6</f>
        <v>16695</v>
      </c>
      <c r="G88" s="170"/>
      <c r="H88" s="144">
        <f>27825*0.5</f>
        <v>13912.5</v>
      </c>
      <c r="I88" s="142">
        <f>27825*0.4</f>
        <v>11130</v>
      </c>
      <c r="J88" s="143">
        <f t="shared" si="33"/>
        <v>13912.5</v>
      </c>
      <c r="K88" s="152">
        <v>0.44</v>
      </c>
      <c r="L88" s="133">
        <f>PRODUCT(F88,K88)</f>
        <v>7345.8</v>
      </c>
      <c r="M88" s="132"/>
      <c r="N88" s="479">
        <f>+'[2]Plan compras anio 1 vs gastos'!K84</f>
        <v>1</v>
      </c>
      <c r="O88" s="116">
        <f>PRODUCT(H88,K88)</f>
        <v>6121.5</v>
      </c>
      <c r="P88" s="133">
        <f t="shared" si="28"/>
        <v>4897.2</v>
      </c>
      <c r="Q88" s="89">
        <f t="shared" si="32"/>
        <v>13912.5</v>
      </c>
      <c r="R88" s="89">
        <f t="shared" si="29"/>
        <v>7791</v>
      </c>
      <c r="S88" s="463">
        <f t="shared" si="34"/>
        <v>6122</v>
      </c>
      <c r="T88" s="463">
        <f t="shared" si="30"/>
        <v>7790.5</v>
      </c>
      <c r="U88" s="460"/>
      <c r="V88" s="460"/>
      <c r="W88" s="460">
        <v>0</v>
      </c>
      <c r="X88" s="460">
        <v>6122</v>
      </c>
      <c r="Y88" s="489">
        <f t="shared" si="23"/>
        <v>6122</v>
      </c>
      <c r="Z88" s="151"/>
      <c r="AA88" s="151"/>
      <c r="AB88" s="151">
        <v>6122</v>
      </c>
      <c r="AC88" s="109">
        <f t="shared" si="5"/>
        <v>6122</v>
      </c>
      <c r="AD88" s="109">
        <f t="shared" si="31"/>
        <v>-0.5</v>
      </c>
      <c r="AE88" s="657"/>
      <c r="AF88" s="120"/>
      <c r="AG88" s="120"/>
      <c r="AH88" s="120"/>
      <c r="AI88" s="120"/>
      <c r="AJ88" s="120"/>
      <c r="AK88" s="120"/>
      <c r="AL88" s="120"/>
      <c r="AM88" s="120"/>
      <c r="AN88" s="120"/>
      <c r="AO88" s="98"/>
      <c r="AP88" s="98"/>
      <c r="AQ88" s="98"/>
      <c r="AS88" s="131" t="s">
        <v>198</v>
      </c>
    </row>
    <row r="89" spans="1:45" s="131" customFormat="1" ht="42.75">
      <c r="A89" s="647"/>
      <c r="B89" s="643"/>
      <c r="C89" s="100" t="s">
        <v>156</v>
      </c>
      <c r="D89" s="146" t="s">
        <v>238</v>
      </c>
      <c r="E89" s="146" t="s">
        <v>239</v>
      </c>
      <c r="F89" s="178">
        <v>18068</v>
      </c>
      <c r="G89" s="179"/>
      <c r="H89" s="180">
        <v>18920</v>
      </c>
      <c r="I89" s="181">
        <v>19973</v>
      </c>
      <c r="J89" s="143">
        <f t="shared" si="33"/>
        <v>18920</v>
      </c>
      <c r="K89" s="152">
        <v>0.31</v>
      </c>
      <c r="L89" s="133">
        <f aca="true" t="shared" si="35" ref="L89:L100">F89*K89</f>
        <v>5601.08</v>
      </c>
      <c r="M89" s="132"/>
      <c r="N89" s="479">
        <v>0.31</v>
      </c>
      <c r="O89" s="116">
        <f aca="true" t="shared" si="36" ref="O89:O100">H89*K89</f>
        <v>5865.2</v>
      </c>
      <c r="P89" s="133">
        <f t="shared" si="28"/>
        <v>6191.63</v>
      </c>
      <c r="Q89" s="89">
        <f t="shared" si="32"/>
        <v>5865.2</v>
      </c>
      <c r="R89" s="89">
        <f t="shared" si="29"/>
        <v>0</v>
      </c>
      <c r="S89" s="463">
        <f t="shared" si="34"/>
        <v>18897.516129032258</v>
      </c>
      <c r="T89" s="463">
        <f t="shared" si="30"/>
        <v>22.483870967742405</v>
      </c>
      <c r="U89" s="460"/>
      <c r="V89" s="460"/>
      <c r="W89" s="460">
        <v>0</v>
      </c>
      <c r="X89" s="460">
        <v>5858.23</v>
      </c>
      <c r="Y89" s="489">
        <f t="shared" si="23"/>
        <v>5858.23</v>
      </c>
      <c r="Z89" s="109"/>
      <c r="AA89" s="109"/>
      <c r="AB89" s="109">
        <v>5858.23</v>
      </c>
      <c r="AC89" s="109">
        <f t="shared" si="5"/>
        <v>5858.23</v>
      </c>
      <c r="AD89" s="109">
        <f t="shared" si="31"/>
        <v>6.970000000000255</v>
      </c>
      <c r="AE89" s="657"/>
      <c r="AF89" s="120"/>
      <c r="AG89" s="120"/>
      <c r="AH89" s="120"/>
      <c r="AI89" s="120"/>
      <c r="AJ89" s="120"/>
      <c r="AK89" s="120"/>
      <c r="AL89" s="120"/>
      <c r="AM89" s="120"/>
      <c r="AN89" s="120"/>
      <c r="AO89" s="98"/>
      <c r="AP89" s="98"/>
      <c r="AQ89" s="98"/>
      <c r="AS89" s="131" t="s">
        <v>168</v>
      </c>
    </row>
    <row r="90" spans="1:45" s="131" customFormat="1" ht="42.75">
      <c r="A90" s="647"/>
      <c r="B90" s="643"/>
      <c r="C90" s="114" t="s">
        <v>192</v>
      </c>
      <c r="D90" s="146" t="s">
        <v>238</v>
      </c>
      <c r="E90" s="146" t="s">
        <v>239</v>
      </c>
      <c r="F90" s="178"/>
      <c r="G90" s="179"/>
      <c r="H90" s="180"/>
      <c r="I90" s="181"/>
      <c r="J90" s="178">
        <v>18068</v>
      </c>
      <c r="K90" s="152"/>
      <c r="L90" s="133"/>
      <c r="M90" s="132"/>
      <c r="N90" s="483">
        <f>+W90/S90</f>
        <v>0.2344688888888889</v>
      </c>
      <c r="O90" s="116"/>
      <c r="P90" s="133"/>
      <c r="Q90" s="89">
        <f>+J90*N90</f>
        <v>4236.383884444444</v>
      </c>
      <c r="R90" s="89">
        <f t="shared" si="29"/>
        <v>4236.383884444444</v>
      </c>
      <c r="S90" s="463">
        <f>+'Consolidado prod. salud'!F38</f>
        <v>12094.211866625414</v>
      </c>
      <c r="T90" s="463">
        <f t="shared" si="30"/>
        <v>-12094.211866625414</v>
      </c>
      <c r="U90" s="460"/>
      <c r="V90" s="460"/>
      <c r="W90" s="492">
        <f>+'Consolidado prod. salud'!G38</f>
        <v>2835.7164183544755</v>
      </c>
      <c r="X90" s="492"/>
      <c r="Y90" s="489">
        <f t="shared" si="23"/>
        <v>2835.7164183544755</v>
      </c>
      <c r="Z90" s="90">
        <f>+'Consolidado prod. salud'!H38</f>
        <v>2828.325511102649</v>
      </c>
      <c r="AA90" s="90">
        <f>+Y90-Z90</f>
        <v>7.39090725182632</v>
      </c>
      <c r="AB90" s="90"/>
      <c r="AC90" s="109">
        <f aca="true" t="shared" si="37" ref="AC90:AC100">+Z90+AA90+AB90</f>
        <v>2835.7164183544755</v>
      </c>
      <c r="AD90" s="109">
        <f t="shared" si="31"/>
        <v>0</v>
      </c>
      <c r="AE90" s="657"/>
      <c r="AF90" s="120"/>
      <c r="AG90" s="120"/>
      <c r="AH90" s="120"/>
      <c r="AI90" s="120"/>
      <c r="AJ90" s="120"/>
      <c r="AK90" s="120"/>
      <c r="AL90" s="120"/>
      <c r="AM90" s="120"/>
      <c r="AN90" s="120"/>
      <c r="AO90" s="98"/>
      <c r="AP90" s="98"/>
      <c r="AQ90" s="98"/>
      <c r="AS90" s="129" t="s">
        <v>168</v>
      </c>
    </row>
    <row r="91" spans="1:90" s="182" customFormat="1" ht="28.5">
      <c r="A91" s="647"/>
      <c r="B91" s="643"/>
      <c r="C91" s="100" t="s">
        <v>156</v>
      </c>
      <c r="D91" s="146" t="s">
        <v>240</v>
      </c>
      <c r="E91" s="182" t="s">
        <v>241</v>
      </c>
      <c r="F91" s="178">
        <v>18068</v>
      </c>
      <c r="G91" s="179"/>
      <c r="H91" s="180">
        <v>18920</v>
      </c>
      <c r="I91" s="181">
        <v>19973</v>
      </c>
      <c r="J91" s="143">
        <f t="shared" si="33"/>
        <v>18920</v>
      </c>
      <c r="K91" s="173">
        <v>0.59</v>
      </c>
      <c r="L91" s="133">
        <f t="shared" si="35"/>
        <v>10660.119999999999</v>
      </c>
      <c r="M91" s="132"/>
      <c r="N91" s="479">
        <v>0.59</v>
      </c>
      <c r="O91" s="116">
        <f t="shared" si="36"/>
        <v>11162.8</v>
      </c>
      <c r="P91" s="172">
        <f t="shared" si="28"/>
        <v>11784.07</v>
      </c>
      <c r="Q91" s="89">
        <f t="shared" si="32"/>
        <v>11162.8</v>
      </c>
      <c r="R91" s="89">
        <f t="shared" si="29"/>
        <v>0</v>
      </c>
      <c r="S91" s="463">
        <f t="shared" si="34"/>
        <v>18920</v>
      </c>
      <c r="T91" s="463">
        <f t="shared" si="30"/>
        <v>0</v>
      </c>
      <c r="U91" s="460"/>
      <c r="V91" s="493"/>
      <c r="W91" s="460">
        <v>0</v>
      </c>
      <c r="X91" s="460">
        <v>11162.8</v>
      </c>
      <c r="Y91" s="489">
        <f t="shared" si="23"/>
        <v>11162.8</v>
      </c>
      <c r="Z91" s="90"/>
      <c r="AA91" s="109"/>
      <c r="AB91" s="109">
        <v>11162.8</v>
      </c>
      <c r="AC91" s="109">
        <f t="shared" si="37"/>
        <v>11162.8</v>
      </c>
      <c r="AD91" s="109">
        <f t="shared" si="31"/>
        <v>0</v>
      </c>
      <c r="AE91" s="657"/>
      <c r="AF91" s="130"/>
      <c r="AG91" s="130"/>
      <c r="AH91" s="130"/>
      <c r="AI91" s="130"/>
      <c r="AJ91" s="130"/>
      <c r="AK91" s="130"/>
      <c r="AL91" s="130"/>
      <c r="AM91" s="130"/>
      <c r="AN91" s="130"/>
      <c r="AO91" s="183"/>
      <c r="AP91" s="183"/>
      <c r="AQ91" s="183"/>
      <c r="AR91" s="131"/>
      <c r="AS91" s="129" t="s">
        <v>168</v>
      </c>
      <c r="AT91" s="131"/>
      <c r="AU91" s="131"/>
      <c r="AV91" s="131"/>
      <c r="AW91" s="131"/>
      <c r="AX91" s="131"/>
      <c r="AY91" s="131"/>
      <c r="AZ91" s="131"/>
      <c r="BA91" s="131"/>
      <c r="BB91" s="131"/>
      <c r="BC91" s="131"/>
      <c r="BD91" s="131"/>
      <c r="BE91" s="131"/>
      <c r="BF91" s="131"/>
      <c r="BG91" s="131"/>
      <c r="BH91" s="131"/>
      <c r="BI91" s="131"/>
      <c r="BJ91" s="131"/>
      <c r="BK91" s="131"/>
      <c r="BL91" s="131"/>
      <c r="BM91" s="131"/>
      <c r="BN91" s="131"/>
      <c r="BO91" s="131"/>
      <c r="BP91" s="131"/>
      <c r="BQ91" s="131"/>
      <c r="BR91" s="131"/>
      <c r="BS91" s="131"/>
      <c r="BT91" s="131"/>
      <c r="BU91" s="131"/>
      <c r="BV91" s="131"/>
      <c r="BW91" s="131"/>
      <c r="BX91" s="131"/>
      <c r="BY91" s="131"/>
      <c r="BZ91" s="131"/>
      <c r="CA91" s="131"/>
      <c r="CB91" s="131"/>
      <c r="CC91" s="131"/>
      <c r="CD91" s="131"/>
      <c r="CE91" s="131"/>
      <c r="CF91" s="131"/>
      <c r="CG91" s="131"/>
      <c r="CH91" s="131"/>
      <c r="CI91" s="131"/>
      <c r="CJ91" s="131"/>
      <c r="CK91" s="131"/>
      <c r="CL91" s="131"/>
    </row>
    <row r="92" spans="1:90" s="182" customFormat="1" ht="28.5">
      <c r="A92" s="647"/>
      <c r="B92" s="643"/>
      <c r="C92" s="100" t="s">
        <v>192</v>
      </c>
      <c r="D92" s="146" t="s">
        <v>240</v>
      </c>
      <c r="F92" s="178"/>
      <c r="G92" s="179"/>
      <c r="H92" s="180"/>
      <c r="I92" s="181"/>
      <c r="J92" s="143"/>
      <c r="K92" s="173"/>
      <c r="L92" s="133"/>
      <c r="M92" s="132"/>
      <c r="N92" s="479">
        <f>+W92/S92</f>
        <v>0.3886796116504854</v>
      </c>
      <c r="O92" s="116"/>
      <c r="P92" s="172"/>
      <c r="Q92" s="89"/>
      <c r="R92" s="89"/>
      <c r="S92" s="503">
        <f>+'Consolidado prod. salud'!F41</f>
        <v>21278.830981728373</v>
      </c>
      <c r="T92" s="463"/>
      <c r="U92" s="460"/>
      <c r="V92" s="493"/>
      <c r="W92" s="492">
        <f>+'Consolidado prod. salud'!G41</f>
        <v>8270.647762354502</v>
      </c>
      <c r="X92" s="460"/>
      <c r="Y92" s="489">
        <f t="shared" si="23"/>
        <v>8270.647762354502</v>
      </c>
      <c r="Z92" s="90">
        <f>+'Consolidado prod. salud'!H41</f>
        <v>463.5892885728007</v>
      </c>
      <c r="AA92" s="109">
        <f>+W92-Z92</f>
        <v>7807.058473781701</v>
      </c>
      <c r="AB92" s="109"/>
      <c r="AC92" s="109">
        <f t="shared" si="37"/>
        <v>8270.647762354502</v>
      </c>
      <c r="AD92" s="109">
        <f t="shared" si="31"/>
        <v>0</v>
      </c>
      <c r="AE92" s="657"/>
      <c r="AF92" s="130"/>
      <c r="AG92" s="130"/>
      <c r="AH92" s="130"/>
      <c r="AI92" s="130"/>
      <c r="AJ92" s="130"/>
      <c r="AK92" s="130"/>
      <c r="AL92" s="130"/>
      <c r="AM92" s="130"/>
      <c r="AN92" s="130"/>
      <c r="AO92" s="183"/>
      <c r="AP92" s="183"/>
      <c r="AQ92" s="183"/>
      <c r="AR92" s="131"/>
      <c r="AS92" s="129"/>
      <c r="AT92" s="131"/>
      <c r="AU92" s="131"/>
      <c r="AV92" s="131"/>
      <c r="AW92" s="131"/>
      <c r="AX92" s="131"/>
      <c r="AY92" s="131"/>
      <c r="AZ92" s="131"/>
      <c r="BA92" s="131"/>
      <c r="BB92" s="131"/>
      <c r="BC92" s="131"/>
      <c r="BD92" s="131"/>
      <c r="BE92" s="131"/>
      <c r="BF92" s="131"/>
      <c r="BG92" s="131"/>
      <c r="BH92" s="131"/>
      <c r="BI92" s="131"/>
      <c r="BJ92" s="131"/>
      <c r="BK92" s="131"/>
      <c r="BL92" s="131"/>
      <c r="BM92" s="131"/>
      <c r="BN92" s="131"/>
      <c r="BO92" s="131"/>
      <c r="BP92" s="131"/>
      <c r="BQ92" s="131"/>
      <c r="BR92" s="131"/>
      <c r="BS92" s="131"/>
      <c r="BT92" s="131"/>
      <c r="BU92" s="131"/>
      <c r="BV92" s="131"/>
      <c r="BW92" s="131"/>
      <c r="BX92" s="131"/>
      <c r="BY92" s="131"/>
      <c r="BZ92" s="131"/>
      <c r="CA92" s="131"/>
      <c r="CB92" s="131"/>
      <c r="CC92" s="131"/>
      <c r="CD92" s="131"/>
      <c r="CE92" s="131"/>
      <c r="CF92" s="131"/>
      <c r="CG92" s="131"/>
      <c r="CH92" s="131"/>
      <c r="CI92" s="131"/>
      <c r="CJ92" s="131"/>
      <c r="CK92" s="131"/>
      <c r="CL92" s="131"/>
    </row>
    <row r="93" spans="1:45" s="131" customFormat="1" ht="14.25">
      <c r="A93" s="647"/>
      <c r="B93" s="643"/>
      <c r="C93" s="100" t="s">
        <v>156</v>
      </c>
      <c r="D93" s="146" t="s">
        <v>242</v>
      </c>
      <c r="E93" s="134" t="s">
        <v>197</v>
      </c>
      <c r="F93" s="178">
        <v>18068</v>
      </c>
      <c r="G93" s="179"/>
      <c r="H93" s="180">
        <v>18920</v>
      </c>
      <c r="I93" s="181">
        <v>19973</v>
      </c>
      <c r="J93" s="143">
        <f t="shared" si="33"/>
        <v>18920</v>
      </c>
      <c r="K93" s="152">
        <v>0.4</v>
      </c>
      <c r="L93" s="133">
        <f t="shared" si="35"/>
        <v>7227.200000000001</v>
      </c>
      <c r="M93" s="132"/>
      <c r="N93" s="479">
        <v>0.415885</v>
      </c>
      <c r="O93" s="116">
        <f t="shared" si="36"/>
        <v>7568</v>
      </c>
      <c r="P93" s="133">
        <f t="shared" si="28"/>
        <v>7989.200000000001</v>
      </c>
      <c r="Q93" s="89">
        <f>N93*J93</f>
        <v>7868.5442</v>
      </c>
      <c r="R93" s="89">
        <f t="shared" si="29"/>
        <v>300.5442000000003</v>
      </c>
      <c r="S93" s="463">
        <f t="shared" si="34"/>
        <v>18197.338206475346</v>
      </c>
      <c r="T93" s="463">
        <f t="shared" si="30"/>
        <v>722.6617935246541</v>
      </c>
      <c r="U93" s="460"/>
      <c r="V93" s="460"/>
      <c r="W93" s="460">
        <v>0</v>
      </c>
      <c r="X93" s="460">
        <v>7568</v>
      </c>
      <c r="Y93" s="489">
        <f t="shared" si="23"/>
        <v>7568</v>
      </c>
      <c r="Z93" s="90"/>
      <c r="AA93" s="109">
        <f aca="true" t="shared" si="38" ref="AA93:AA98">+W93-Z93</f>
        <v>0</v>
      </c>
      <c r="AB93" s="109">
        <v>7568</v>
      </c>
      <c r="AC93" s="109">
        <f t="shared" si="37"/>
        <v>7568</v>
      </c>
      <c r="AD93" s="109">
        <f t="shared" si="31"/>
        <v>0</v>
      </c>
      <c r="AE93" s="657"/>
      <c r="AF93" s="120"/>
      <c r="AG93" s="120"/>
      <c r="AH93" s="120"/>
      <c r="AI93" s="120"/>
      <c r="AJ93" s="120"/>
      <c r="AK93" s="120"/>
      <c r="AL93" s="120"/>
      <c r="AM93" s="120"/>
      <c r="AN93" s="120"/>
      <c r="AO93" s="98"/>
      <c r="AP93" s="98"/>
      <c r="AQ93" s="98"/>
      <c r="AS93" s="129" t="s">
        <v>168</v>
      </c>
    </row>
    <row r="94" spans="1:45" s="131" customFormat="1" ht="14.25">
      <c r="A94" s="647"/>
      <c r="B94" s="643"/>
      <c r="C94" s="100" t="s">
        <v>192</v>
      </c>
      <c r="D94" s="146" t="s">
        <v>242</v>
      </c>
      <c r="E94" s="134"/>
      <c r="F94" s="178"/>
      <c r="G94" s="179"/>
      <c r="H94" s="180"/>
      <c r="I94" s="181"/>
      <c r="J94" s="143"/>
      <c r="K94" s="152"/>
      <c r="L94" s="133"/>
      <c r="M94" s="132"/>
      <c r="N94" s="479">
        <f>+W94/S94</f>
        <v>0.3886796116504854</v>
      </c>
      <c r="O94" s="116"/>
      <c r="P94" s="133"/>
      <c r="Q94" s="89"/>
      <c r="R94" s="89"/>
      <c r="S94" s="503">
        <f>+'Consolidado prod. salud'!F42</f>
        <v>21278.830981728373</v>
      </c>
      <c r="T94" s="463"/>
      <c r="U94" s="460"/>
      <c r="V94" s="460"/>
      <c r="W94" s="492">
        <f>+'Consolidado prod. salud'!G42</f>
        <v>8270.647762354502</v>
      </c>
      <c r="X94" s="460"/>
      <c r="Y94" s="489">
        <f t="shared" si="23"/>
        <v>8270.647762354502</v>
      </c>
      <c r="Z94" s="90">
        <f>+'Consolidado prod. salud'!H42</f>
        <v>463.5892885728007</v>
      </c>
      <c r="AA94" s="109">
        <f t="shared" si="38"/>
        <v>7807.058473781701</v>
      </c>
      <c r="AB94" s="109"/>
      <c r="AC94" s="109">
        <f t="shared" si="37"/>
        <v>8270.647762354502</v>
      </c>
      <c r="AD94" s="109">
        <f t="shared" si="31"/>
        <v>0</v>
      </c>
      <c r="AE94" s="657"/>
      <c r="AF94" s="120"/>
      <c r="AG94" s="120"/>
      <c r="AH94" s="120"/>
      <c r="AI94" s="120"/>
      <c r="AJ94" s="120"/>
      <c r="AK94" s="120"/>
      <c r="AL94" s="120"/>
      <c r="AM94" s="120"/>
      <c r="AN94" s="120"/>
      <c r="AO94" s="98"/>
      <c r="AP94" s="98"/>
      <c r="AQ94" s="98"/>
      <c r="AS94" s="129"/>
    </row>
    <row r="95" spans="1:45" s="131" customFormat="1" ht="28.5">
      <c r="A95" s="647"/>
      <c r="B95" s="643"/>
      <c r="C95" s="114" t="s">
        <v>156</v>
      </c>
      <c r="D95" s="146" t="s">
        <v>243</v>
      </c>
      <c r="E95" s="134" t="s">
        <v>241</v>
      </c>
      <c r="F95" s="184">
        <v>2318</v>
      </c>
      <c r="G95" s="185"/>
      <c r="H95" s="144">
        <v>2215</v>
      </c>
      <c r="I95" s="142">
        <v>2111</v>
      </c>
      <c r="J95" s="143">
        <f t="shared" si="33"/>
        <v>2215</v>
      </c>
      <c r="K95" s="152">
        <v>0.59</v>
      </c>
      <c r="L95" s="133">
        <f t="shared" si="35"/>
        <v>1367.62</v>
      </c>
      <c r="M95" s="132"/>
      <c r="N95" s="479">
        <v>0.59</v>
      </c>
      <c r="O95" s="116">
        <f t="shared" si="36"/>
        <v>1306.85</v>
      </c>
      <c r="P95" s="133">
        <f t="shared" si="28"/>
        <v>1245.49</v>
      </c>
      <c r="Q95" s="89">
        <f>N95*J95</f>
        <v>1306.85</v>
      </c>
      <c r="R95" s="89">
        <f t="shared" si="29"/>
        <v>0</v>
      </c>
      <c r="S95" s="463">
        <f t="shared" si="34"/>
        <v>2215</v>
      </c>
      <c r="T95" s="463">
        <f t="shared" si="30"/>
        <v>0</v>
      </c>
      <c r="U95" s="460"/>
      <c r="V95" s="460"/>
      <c r="W95" s="460">
        <v>0</v>
      </c>
      <c r="X95" s="460">
        <v>1306.85</v>
      </c>
      <c r="Y95" s="489">
        <f t="shared" si="23"/>
        <v>1306.85</v>
      </c>
      <c r="Z95" s="90"/>
      <c r="AA95" s="109">
        <f t="shared" si="38"/>
        <v>0</v>
      </c>
      <c r="AB95" s="109">
        <v>1306.85</v>
      </c>
      <c r="AC95" s="109">
        <f t="shared" si="37"/>
        <v>1306.85</v>
      </c>
      <c r="AD95" s="109">
        <f t="shared" si="31"/>
        <v>0</v>
      </c>
      <c r="AE95" s="657"/>
      <c r="AF95" s="120"/>
      <c r="AG95" s="120"/>
      <c r="AH95" s="120"/>
      <c r="AI95" s="120"/>
      <c r="AJ95" s="120"/>
      <c r="AK95" s="120"/>
      <c r="AL95" s="120"/>
      <c r="AM95" s="120"/>
      <c r="AN95" s="120"/>
      <c r="AO95" s="98"/>
      <c r="AP95" s="98"/>
      <c r="AQ95" s="98"/>
      <c r="AS95" s="129" t="s">
        <v>168</v>
      </c>
    </row>
    <row r="96" spans="1:45" s="131" customFormat="1" ht="28.5">
      <c r="A96" s="647"/>
      <c r="B96" s="643"/>
      <c r="C96" s="114" t="s">
        <v>192</v>
      </c>
      <c r="D96" s="146" t="s">
        <v>243</v>
      </c>
      <c r="E96" s="134"/>
      <c r="F96" s="184"/>
      <c r="G96" s="185"/>
      <c r="H96" s="144"/>
      <c r="I96" s="142"/>
      <c r="J96" s="143"/>
      <c r="K96" s="152"/>
      <c r="L96" s="133"/>
      <c r="M96" s="132"/>
      <c r="N96" s="479">
        <f>+W96/S96</f>
        <v>0.38867961165048537</v>
      </c>
      <c r="O96" s="116"/>
      <c r="P96" s="133"/>
      <c r="Q96" s="89"/>
      <c r="R96" s="89"/>
      <c r="S96" s="503">
        <f>+'Consolidado prod. salud'!F43</f>
        <v>2729.9275080610123</v>
      </c>
      <c r="T96" s="463"/>
      <c r="U96" s="460"/>
      <c r="V96" s="460"/>
      <c r="W96" s="492">
        <f>+'Consolidado prod. salud'!G43</f>
        <v>1061.0671636671316</v>
      </c>
      <c r="X96" s="460"/>
      <c r="Y96" s="489">
        <f t="shared" si="23"/>
        <v>1061.0671636671316</v>
      </c>
      <c r="Z96" s="90">
        <f>+'Consolidado prod. salud'!H43</f>
        <v>59.47531386494089</v>
      </c>
      <c r="AA96" s="109">
        <f t="shared" si="38"/>
        <v>1001.5918498021907</v>
      </c>
      <c r="AB96" s="109"/>
      <c r="AC96" s="109">
        <f t="shared" si="37"/>
        <v>1061.0671636671316</v>
      </c>
      <c r="AD96" s="109">
        <f t="shared" si="31"/>
        <v>0</v>
      </c>
      <c r="AE96" s="657"/>
      <c r="AF96" s="120"/>
      <c r="AG96" s="120"/>
      <c r="AH96" s="120"/>
      <c r="AI96" s="120"/>
      <c r="AJ96" s="120"/>
      <c r="AK96" s="120"/>
      <c r="AL96" s="120"/>
      <c r="AM96" s="120"/>
      <c r="AN96" s="120"/>
      <c r="AO96" s="98"/>
      <c r="AP96" s="98"/>
      <c r="AQ96" s="98"/>
      <c r="AS96" s="129"/>
    </row>
    <row r="97" spans="1:45" s="131" customFormat="1" ht="28.5">
      <c r="A97" s="647"/>
      <c r="B97" s="643"/>
      <c r="C97" s="114" t="s">
        <v>156</v>
      </c>
      <c r="D97" s="146" t="s">
        <v>244</v>
      </c>
      <c r="E97" s="134" t="s">
        <v>241</v>
      </c>
      <c r="F97" s="184">
        <v>5275</v>
      </c>
      <c r="G97" s="185"/>
      <c r="H97" s="144">
        <v>5618</v>
      </c>
      <c r="I97" s="142">
        <v>5962</v>
      </c>
      <c r="J97" s="143">
        <f t="shared" si="33"/>
        <v>5618</v>
      </c>
      <c r="K97" s="152">
        <v>0.59</v>
      </c>
      <c r="L97" s="133">
        <f t="shared" si="35"/>
        <v>3112.25</v>
      </c>
      <c r="M97" s="132"/>
      <c r="N97" s="479">
        <v>0.59</v>
      </c>
      <c r="O97" s="116">
        <f t="shared" si="36"/>
        <v>3314.62</v>
      </c>
      <c r="P97" s="133">
        <f t="shared" si="28"/>
        <v>3517.58</v>
      </c>
      <c r="Q97" s="89">
        <f t="shared" si="32"/>
        <v>3314.62</v>
      </c>
      <c r="R97" s="89">
        <f t="shared" si="29"/>
        <v>0</v>
      </c>
      <c r="S97" s="463">
        <f>+X97/N97</f>
        <v>5618</v>
      </c>
      <c r="T97" s="463">
        <f t="shared" si="30"/>
        <v>0</v>
      </c>
      <c r="U97" s="460"/>
      <c r="V97" s="460"/>
      <c r="W97" s="460">
        <v>0</v>
      </c>
      <c r="X97" s="460">
        <v>3314.62</v>
      </c>
      <c r="Y97" s="489">
        <f t="shared" si="23"/>
        <v>3314.62</v>
      </c>
      <c r="Z97" s="90"/>
      <c r="AA97" s="109">
        <f t="shared" si="38"/>
        <v>0</v>
      </c>
      <c r="AB97" s="109">
        <v>3314.62</v>
      </c>
      <c r="AC97" s="109">
        <f t="shared" si="37"/>
        <v>3314.62</v>
      </c>
      <c r="AD97" s="109">
        <f t="shared" si="31"/>
        <v>0</v>
      </c>
      <c r="AE97" s="657"/>
      <c r="AF97" s="120"/>
      <c r="AG97" s="120"/>
      <c r="AH97" s="120"/>
      <c r="AI97" s="120"/>
      <c r="AJ97" s="120"/>
      <c r="AK97" s="120"/>
      <c r="AL97" s="120"/>
      <c r="AM97" s="120"/>
      <c r="AN97" s="120"/>
      <c r="AO97" s="98"/>
      <c r="AP97" s="98"/>
      <c r="AQ97" s="98"/>
      <c r="AS97" s="129" t="s">
        <v>168</v>
      </c>
    </row>
    <row r="98" spans="1:45" s="131" customFormat="1" ht="28.5">
      <c r="A98" s="647"/>
      <c r="B98" s="643"/>
      <c r="C98" s="114" t="s">
        <v>192</v>
      </c>
      <c r="D98" s="146" t="s">
        <v>244</v>
      </c>
      <c r="E98" s="134"/>
      <c r="F98" s="184"/>
      <c r="G98" s="185"/>
      <c r="H98" s="144"/>
      <c r="I98" s="142"/>
      <c r="J98" s="143"/>
      <c r="K98" s="152"/>
      <c r="L98" s="133"/>
      <c r="M98" s="132"/>
      <c r="N98" s="479">
        <f>+W98/S98</f>
        <v>0.38867961165048537</v>
      </c>
      <c r="O98" s="116"/>
      <c r="P98" s="133"/>
      <c r="Q98" s="89"/>
      <c r="R98" s="89"/>
      <c r="S98" s="503">
        <f>+'Consolidado prod. salud'!F44</f>
        <v>6212.4105284822435</v>
      </c>
      <c r="T98" s="463"/>
      <c r="U98" s="460"/>
      <c r="V98" s="460"/>
      <c r="W98" s="492">
        <f>+'Consolidado prod. salud'!G44</f>
        <v>2414.637311623865</v>
      </c>
      <c r="X98" s="460"/>
      <c r="Y98" s="489">
        <f t="shared" si="23"/>
        <v>2414.637311623865</v>
      </c>
      <c r="Z98" s="90">
        <f>+'Consolidado prod. salud'!H44</f>
        <v>135.3461089894578</v>
      </c>
      <c r="AA98" s="109">
        <f t="shared" si="38"/>
        <v>2279.2912026344075</v>
      </c>
      <c r="AB98" s="109"/>
      <c r="AC98" s="109">
        <f t="shared" si="37"/>
        <v>2414.637311623865</v>
      </c>
      <c r="AD98" s="109">
        <f t="shared" si="31"/>
        <v>0</v>
      </c>
      <c r="AE98" s="657"/>
      <c r="AF98" s="120"/>
      <c r="AG98" s="120"/>
      <c r="AH98" s="120"/>
      <c r="AI98" s="120"/>
      <c r="AJ98" s="120"/>
      <c r="AK98" s="120"/>
      <c r="AL98" s="120"/>
      <c r="AM98" s="120"/>
      <c r="AN98" s="120"/>
      <c r="AO98" s="98"/>
      <c r="AP98" s="98"/>
      <c r="AQ98" s="98"/>
      <c r="AS98" s="129"/>
    </row>
    <row r="99" spans="1:45" s="131" customFormat="1" ht="14.25">
      <c r="A99" s="647"/>
      <c r="B99" s="643"/>
      <c r="C99" s="100" t="s">
        <v>156</v>
      </c>
      <c r="D99" s="134" t="s">
        <v>245</v>
      </c>
      <c r="E99" s="134" t="s">
        <v>217</v>
      </c>
      <c r="F99" s="164">
        <v>226</v>
      </c>
      <c r="G99" s="165"/>
      <c r="H99" s="144">
        <v>181</v>
      </c>
      <c r="I99" s="142">
        <v>137</v>
      </c>
      <c r="J99" s="143">
        <f>+H99</f>
        <v>181</v>
      </c>
      <c r="K99" s="152">
        <v>110</v>
      </c>
      <c r="L99" s="133">
        <f>F99*K99</f>
        <v>24860</v>
      </c>
      <c r="M99" s="132"/>
      <c r="N99" s="479">
        <v>110</v>
      </c>
      <c r="O99" s="116">
        <f>H99*K99</f>
        <v>19910</v>
      </c>
      <c r="P99" s="133">
        <f>I99*K99</f>
        <v>15070</v>
      </c>
      <c r="Q99" s="89">
        <f t="shared" si="32"/>
        <v>19910</v>
      </c>
      <c r="R99" s="89">
        <f t="shared" si="29"/>
        <v>0</v>
      </c>
      <c r="S99" s="463">
        <f>+X99/N99</f>
        <v>181</v>
      </c>
      <c r="T99" s="463">
        <f t="shared" si="30"/>
        <v>0</v>
      </c>
      <c r="U99" s="460"/>
      <c r="V99" s="460"/>
      <c r="W99" s="460">
        <v>0</v>
      </c>
      <c r="X99" s="460">
        <v>19910</v>
      </c>
      <c r="Y99" s="489">
        <f t="shared" si="23"/>
        <v>19910</v>
      </c>
      <c r="Z99" s="109"/>
      <c r="AA99" s="109"/>
      <c r="AB99" s="109">
        <v>19910</v>
      </c>
      <c r="AC99" s="109">
        <f t="shared" si="37"/>
        <v>19910</v>
      </c>
      <c r="AD99" s="109">
        <f t="shared" si="31"/>
        <v>0</v>
      </c>
      <c r="AE99" s="657"/>
      <c r="AF99" s="120"/>
      <c r="AG99" s="120"/>
      <c r="AH99" s="120"/>
      <c r="AI99" s="120"/>
      <c r="AJ99" s="120"/>
      <c r="AK99" s="120"/>
      <c r="AL99" s="120"/>
      <c r="AM99" s="120"/>
      <c r="AN99" s="120"/>
      <c r="AO99" s="98"/>
      <c r="AP99" s="98"/>
      <c r="AQ99" s="98"/>
      <c r="AS99" s="129" t="s">
        <v>168</v>
      </c>
    </row>
    <row r="100" spans="1:45" s="131" customFormat="1" ht="14.25">
      <c r="A100" s="647"/>
      <c r="B100" s="643"/>
      <c r="C100" s="100" t="s">
        <v>192</v>
      </c>
      <c r="D100" s="134" t="s">
        <v>245</v>
      </c>
      <c r="E100" s="134" t="s">
        <v>217</v>
      </c>
      <c r="F100" s="164">
        <v>226</v>
      </c>
      <c r="G100" s="165"/>
      <c r="H100" s="144">
        <v>0</v>
      </c>
      <c r="I100" s="142">
        <v>137</v>
      </c>
      <c r="J100" s="164">
        <v>226</v>
      </c>
      <c r="K100" s="152">
        <v>110</v>
      </c>
      <c r="L100" s="133">
        <f t="shared" si="35"/>
        <v>24860</v>
      </c>
      <c r="M100" s="132"/>
      <c r="N100" s="479">
        <f>+W100/S100</f>
        <v>224.9664864864865</v>
      </c>
      <c r="O100" s="116">
        <f t="shared" si="36"/>
        <v>0</v>
      </c>
      <c r="P100" s="133">
        <f t="shared" si="28"/>
        <v>15070</v>
      </c>
      <c r="Q100" s="89">
        <f t="shared" si="32"/>
        <v>50842.42594594595</v>
      </c>
      <c r="R100" s="89">
        <f t="shared" si="29"/>
        <v>50842.42594594595</v>
      </c>
      <c r="S100" s="463">
        <f>75+30+67+13</f>
        <v>185</v>
      </c>
      <c r="T100" s="463"/>
      <c r="U100" s="460"/>
      <c r="V100" s="460"/>
      <c r="W100" s="495">
        <f>+'[7]Plan 2015'!$E$30+'[7]Plan 2015'!$E$17+'[7]Plan 2015'!$E$16+'[7]Plan 2015'!$E$15+'[7]Plan 2015'!$E$14-1122</f>
        <v>41618.8</v>
      </c>
      <c r="X100" s="495">
        <v>0</v>
      </c>
      <c r="Y100" s="489">
        <f t="shared" si="23"/>
        <v>41618.8</v>
      </c>
      <c r="Z100" s="186">
        <f>+'[7]Plan 2015'!$G$16</f>
        <v>223.8</v>
      </c>
      <c r="AA100" s="186">
        <f>+Y100-Z100</f>
        <v>41395</v>
      </c>
      <c r="AB100" s="186"/>
      <c r="AC100" s="109">
        <f t="shared" si="37"/>
        <v>41618.8</v>
      </c>
      <c r="AD100" s="109">
        <f t="shared" si="31"/>
        <v>0</v>
      </c>
      <c r="AE100" s="657"/>
      <c r="AF100" s="120"/>
      <c r="AG100" s="120"/>
      <c r="AH100" s="120"/>
      <c r="AI100" s="120"/>
      <c r="AJ100" s="120"/>
      <c r="AK100" s="120"/>
      <c r="AL100" s="120"/>
      <c r="AM100" s="120"/>
      <c r="AN100" s="120"/>
      <c r="AO100" s="98"/>
      <c r="AP100" s="98"/>
      <c r="AQ100" s="98"/>
      <c r="AS100" s="131" t="s">
        <v>168</v>
      </c>
    </row>
    <row r="101" spans="1:45" s="131" customFormat="1" ht="15">
      <c r="A101" s="647"/>
      <c r="B101" s="262" t="s">
        <v>315</v>
      </c>
      <c r="C101" s="263"/>
      <c r="D101" s="291"/>
      <c r="E101" s="291"/>
      <c r="F101" s="292"/>
      <c r="G101" s="293"/>
      <c r="H101" s="294"/>
      <c r="I101" s="294"/>
      <c r="J101" s="282"/>
      <c r="K101" s="287"/>
      <c r="L101" s="269">
        <f>SUM(L79:L100)</f>
        <v>634165.9160761723</v>
      </c>
      <c r="M101" s="270"/>
      <c r="N101" s="477"/>
      <c r="O101" s="269">
        <f>SUM(O79:O100)</f>
        <v>619823.7092495672</v>
      </c>
      <c r="P101" s="269">
        <f>SUM(P79:P100)</f>
        <v>652032.2650730233</v>
      </c>
      <c r="Q101" s="269">
        <f>SUM(Q79:Q100)</f>
        <v>661770.9039228965</v>
      </c>
      <c r="R101" s="269">
        <f>SUM(R79:R100)</f>
        <v>41947.19467332934</v>
      </c>
      <c r="S101" s="466"/>
      <c r="T101" s="466"/>
      <c r="U101" s="466">
        <f>SUM(U79:U100)</f>
        <v>0</v>
      </c>
      <c r="V101" s="466">
        <f>SUM(V79:V100)</f>
        <v>213224.65</v>
      </c>
      <c r="W101" s="466">
        <f aca="true" t="shared" si="39" ref="W101:AB101">SUM(W78:W100)</f>
        <v>64471.516418354484</v>
      </c>
      <c r="X101" s="466">
        <f>SUM(X78:X100)</f>
        <v>92278.5</v>
      </c>
      <c r="Y101" s="466">
        <f t="shared" si="39"/>
        <v>156750.01641835447</v>
      </c>
      <c r="Z101" s="269">
        <f>SUM(Z78:Z100)</f>
        <v>5450.12551110265</v>
      </c>
      <c r="AA101" s="269">
        <f t="shared" si="39"/>
        <v>60297.39090725182</v>
      </c>
      <c r="AB101" s="269">
        <f t="shared" si="39"/>
        <v>91002.5</v>
      </c>
      <c r="AC101" s="270">
        <f aca="true" t="shared" si="40" ref="AC101:AC151">+Z101+AA101+AB101</f>
        <v>156750.01641835447</v>
      </c>
      <c r="AD101" s="270">
        <f>SUM(AD79:AD100)</f>
        <v>314320.55924956716</v>
      </c>
      <c r="AE101" s="657"/>
      <c r="AF101" s="120"/>
      <c r="AG101" s="120"/>
      <c r="AH101" s="120"/>
      <c r="AI101" s="120"/>
      <c r="AJ101" s="120"/>
      <c r="AK101" s="120"/>
      <c r="AL101" s="120"/>
      <c r="AM101" s="120"/>
      <c r="AN101" s="120"/>
      <c r="AO101" s="98"/>
      <c r="AP101" s="98"/>
      <c r="AQ101" s="98"/>
      <c r="AS101" s="129"/>
    </row>
    <row r="102" spans="1:45" s="93" customFormat="1" ht="12.75">
      <c r="A102" s="647"/>
      <c r="N102" s="482"/>
      <c r="S102" s="469"/>
      <c r="T102" s="469"/>
      <c r="U102" s="469"/>
      <c r="V102" s="469"/>
      <c r="W102" s="469"/>
      <c r="X102" s="469"/>
      <c r="Y102" s="469"/>
      <c r="AE102" s="657"/>
      <c r="AF102" s="120"/>
      <c r="AG102" s="120"/>
      <c r="AH102" s="120"/>
      <c r="AI102" s="120"/>
      <c r="AJ102" s="120"/>
      <c r="AK102" s="120"/>
      <c r="AL102" s="120"/>
      <c r="AM102" s="120"/>
      <c r="AN102" s="120"/>
      <c r="AO102" s="98"/>
      <c r="AP102" s="98"/>
      <c r="AQ102" s="98"/>
      <c r="AS102" s="129" t="s">
        <v>168</v>
      </c>
    </row>
    <row r="103" spans="1:45" s="93" customFormat="1" ht="12.75" customHeight="1">
      <c r="A103" s="647"/>
      <c r="B103" s="643" t="s">
        <v>246</v>
      </c>
      <c r="C103" s="100" t="s">
        <v>156</v>
      </c>
      <c r="D103" s="161" t="s">
        <v>247</v>
      </c>
      <c r="E103" s="161" t="s">
        <v>248</v>
      </c>
      <c r="F103" s="176">
        <f>500/0.9</f>
        <v>555.5555555555555</v>
      </c>
      <c r="G103" s="177"/>
      <c r="H103" s="144">
        <f>500/0.9</f>
        <v>555.5555555555555</v>
      </c>
      <c r="I103" s="142">
        <f>500/0.9</f>
        <v>555.5555555555555</v>
      </c>
      <c r="J103" s="143">
        <f>+H103</f>
        <v>555.5555555555555</v>
      </c>
      <c r="K103" s="152">
        <v>9.98</v>
      </c>
      <c r="L103" s="133">
        <f aca="true" t="shared" si="41" ref="L103:L122">F103*K103</f>
        <v>5544.444444444444</v>
      </c>
      <c r="M103" s="132"/>
      <c r="N103" s="479">
        <v>24.16</v>
      </c>
      <c r="O103" s="116">
        <f>H103*K103</f>
        <v>5544.444444444444</v>
      </c>
      <c r="P103" s="133">
        <f>I103*K103</f>
        <v>5544.444444444444</v>
      </c>
      <c r="Q103" s="89">
        <f t="shared" si="32"/>
        <v>13422.222222222223</v>
      </c>
      <c r="R103" s="89">
        <f aca="true" t="shared" si="42" ref="R103:R122">Q103-O103</f>
        <v>7877.777777777778</v>
      </c>
      <c r="S103" s="463">
        <v>0</v>
      </c>
      <c r="T103" s="463">
        <f aca="true" t="shared" si="43" ref="T103:T122">+H103-S103</f>
        <v>555.5555555555555</v>
      </c>
      <c r="U103" s="460"/>
      <c r="V103" s="460">
        <v>0</v>
      </c>
      <c r="W103" s="460">
        <v>0</v>
      </c>
      <c r="X103" s="460"/>
      <c r="Y103" s="489">
        <f aca="true" t="shared" si="44" ref="Y103:Y141">+W103+X103</f>
        <v>0</v>
      </c>
      <c r="Z103" s="109"/>
      <c r="AA103" s="109"/>
      <c r="AB103" s="109"/>
      <c r="AC103" s="109">
        <f t="shared" si="40"/>
        <v>0</v>
      </c>
      <c r="AD103" s="109">
        <f aca="true" t="shared" si="45" ref="AD103:AD122">+O103+W103-U103-V103-AC103</f>
        <v>5544.444444444444</v>
      </c>
      <c r="AE103" s="657"/>
      <c r="AF103" s="120"/>
      <c r="AG103" s="120"/>
      <c r="AH103" s="120"/>
      <c r="AI103" s="120"/>
      <c r="AJ103" s="120"/>
      <c r="AK103" s="120"/>
      <c r="AL103" s="120"/>
      <c r="AM103" s="120"/>
      <c r="AN103" s="120"/>
      <c r="AO103" s="98"/>
      <c r="AP103" s="98"/>
      <c r="AQ103" s="98"/>
      <c r="AS103" s="129" t="s">
        <v>168</v>
      </c>
    </row>
    <row r="104" spans="1:45" s="93" customFormat="1" ht="12.75" customHeight="1">
      <c r="A104" s="647"/>
      <c r="B104" s="643"/>
      <c r="C104" s="645" t="s">
        <v>192</v>
      </c>
      <c r="D104" s="161" t="s">
        <v>247</v>
      </c>
      <c r="E104" s="161" t="s">
        <v>248</v>
      </c>
      <c r="F104" s="176"/>
      <c r="G104" s="177"/>
      <c r="H104" s="144"/>
      <c r="I104" s="142"/>
      <c r="J104" s="187">
        <f>500/0.9</f>
        <v>555.5555555555555</v>
      </c>
      <c r="K104" s="152"/>
      <c r="L104" s="133"/>
      <c r="M104" s="132"/>
      <c r="N104" s="479">
        <f>+Q104/J104</f>
        <v>24.16329</v>
      </c>
      <c r="O104" s="116">
        <f>H104*K104</f>
        <v>0</v>
      </c>
      <c r="P104" s="133"/>
      <c r="Q104" s="89">
        <v>13424.05</v>
      </c>
      <c r="R104" s="89">
        <f t="shared" si="42"/>
        <v>13424.05</v>
      </c>
      <c r="S104" s="463">
        <f>+W104/N104</f>
        <v>555.5555555555555</v>
      </c>
      <c r="T104" s="463">
        <v>0</v>
      </c>
      <c r="U104" s="460"/>
      <c r="V104" s="460"/>
      <c r="W104" s="492">
        <f>+Q104</f>
        <v>13424.05</v>
      </c>
      <c r="X104" s="492"/>
      <c r="Y104" s="489">
        <f t="shared" si="44"/>
        <v>13424.05</v>
      </c>
      <c r="Z104" s="90"/>
      <c r="AA104" s="90"/>
      <c r="AB104" s="90">
        <f>+'[3]PNUD Plan 2015'!$F$35</f>
        <v>13424.05</v>
      </c>
      <c r="AC104" s="109">
        <f t="shared" si="40"/>
        <v>13424.05</v>
      </c>
      <c r="AD104" s="109">
        <f t="shared" si="45"/>
        <v>0</v>
      </c>
      <c r="AE104" s="657"/>
      <c r="AF104" s="120"/>
      <c r="AG104" s="120"/>
      <c r="AH104" s="120"/>
      <c r="AI104" s="120"/>
      <c r="AJ104" s="120"/>
      <c r="AK104" s="120"/>
      <c r="AL104" s="120"/>
      <c r="AM104" s="120"/>
      <c r="AN104" s="120"/>
      <c r="AO104" s="98"/>
      <c r="AP104" s="98"/>
      <c r="AQ104" s="98"/>
      <c r="AS104" s="129" t="s">
        <v>168</v>
      </c>
    </row>
    <row r="105" spans="1:45" s="93" customFormat="1" ht="67.5" customHeight="1">
      <c r="A105" s="647"/>
      <c r="B105" s="643"/>
      <c r="C105" s="645"/>
      <c r="D105" s="150" t="s">
        <v>249</v>
      </c>
      <c r="E105" s="150" t="s">
        <v>250</v>
      </c>
      <c r="F105" s="148">
        <v>4</v>
      </c>
      <c r="G105" s="149"/>
      <c r="H105" s="147">
        <v>4</v>
      </c>
      <c r="I105" s="148">
        <v>4</v>
      </c>
      <c r="J105" s="149">
        <f>+H105</f>
        <v>4</v>
      </c>
      <c r="K105" s="152">
        <v>1434</v>
      </c>
      <c r="L105" s="133">
        <f t="shared" si="41"/>
        <v>5736</v>
      </c>
      <c r="M105" s="132"/>
      <c r="N105" s="479">
        <f>+'[2]Plan compras anio 1 vs gastos'!K94</f>
        <v>1673</v>
      </c>
      <c r="O105" s="116">
        <f>H105*K105</f>
        <v>5736</v>
      </c>
      <c r="P105" s="133">
        <f>I105*K105</f>
        <v>5736</v>
      </c>
      <c r="Q105" s="89">
        <f t="shared" si="32"/>
        <v>6692</v>
      </c>
      <c r="R105" s="89">
        <f t="shared" si="42"/>
        <v>956</v>
      </c>
      <c r="S105" s="463">
        <v>0</v>
      </c>
      <c r="T105" s="463">
        <v>0</v>
      </c>
      <c r="U105" s="460"/>
      <c r="V105" s="460"/>
      <c r="W105" s="460">
        <v>0</v>
      </c>
      <c r="X105" s="460"/>
      <c r="Y105" s="489">
        <f t="shared" si="44"/>
        <v>0</v>
      </c>
      <c r="Z105" s="109"/>
      <c r="AA105" s="109"/>
      <c r="AB105" s="109"/>
      <c r="AC105" s="109">
        <f t="shared" si="40"/>
        <v>0</v>
      </c>
      <c r="AD105" s="109">
        <f t="shared" si="45"/>
        <v>5736</v>
      </c>
      <c r="AE105" s="657"/>
      <c r="AF105" s="131"/>
      <c r="AG105" s="131"/>
      <c r="AH105" s="131"/>
      <c r="AI105" s="131"/>
      <c r="AJ105" s="131"/>
      <c r="AK105" s="131"/>
      <c r="AL105" s="131"/>
      <c r="AM105" s="131"/>
      <c r="AN105" s="131"/>
      <c r="AR105" s="188"/>
      <c r="AS105" s="129" t="s">
        <v>168</v>
      </c>
    </row>
    <row r="106" spans="1:45" s="140" customFormat="1" ht="22.5" customHeight="1">
      <c r="A106" s="647"/>
      <c r="B106" s="643"/>
      <c r="C106" s="645" t="s">
        <v>156</v>
      </c>
      <c r="D106" s="150" t="s">
        <v>251</v>
      </c>
      <c r="E106" s="150" t="s">
        <v>217</v>
      </c>
      <c r="F106" s="148">
        <v>2</v>
      </c>
      <c r="G106" s="149"/>
      <c r="H106" s="189">
        <v>0</v>
      </c>
      <c r="I106" s="190">
        <v>0</v>
      </c>
      <c r="J106" s="149">
        <f aca="true" t="shared" si="46" ref="J106:J122">+H106</f>
        <v>0</v>
      </c>
      <c r="K106" s="152">
        <v>4194</v>
      </c>
      <c r="L106" s="133">
        <f t="shared" si="41"/>
        <v>8388</v>
      </c>
      <c r="M106" s="132"/>
      <c r="N106" s="479">
        <f>+'[2]Plan compras anio 1 vs gastos'!K95</f>
        <v>4500</v>
      </c>
      <c r="O106" s="116"/>
      <c r="P106" s="133">
        <v>0</v>
      </c>
      <c r="Q106" s="89">
        <f t="shared" si="32"/>
        <v>0</v>
      </c>
      <c r="R106" s="89">
        <f t="shared" si="42"/>
        <v>0</v>
      </c>
      <c r="S106" s="460">
        <v>0</v>
      </c>
      <c r="T106" s="463">
        <f t="shared" si="43"/>
        <v>0</v>
      </c>
      <c r="U106" s="460"/>
      <c r="V106" s="460"/>
      <c r="W106" s="460">
        <f aca="true" t="shared" si="47" ref="W106:W118">+O106-V106-U106</f>
        <v>0</v>
      </c>
      <c r="X106" s="460"/>
      <c r="Y106" s="489">
        <f t="shared" si="44"/>
        <v>0</v>
      </c>
      <c r="Z106" s="90"/>
      <c r="AA106" s="90"/>
      <c r="AB106" s="90"/>
      <c r="AC106" s="109">
        <f t="shared" si="40"/>
        <v>0</v>
      </c>
      <c r="AD106" s="109">
        <f t="shared" si="45"/>
        <v>0</v>
      </c>
      <c r="AE106" s="657"/>
      <c r="AF106" s="127"/>
      <c r="AG106" s="127"/>
      <c r="AH106" s="127"/>
      <c r="AI106" s="127"/>
      <c r="AJ106" s="127"/>
      <c r="AK106" s="127"/>
      <c r="AL106" s="127"/>
      <c r="AM106" s="127"/>
      <c r="AN106" s="127"/>
      <c r="AO106" s="128"/>
      <c r="AP106" s="128"/>
      <c r="AQ106" s="128"/>
      <c r="AS106" s="140" t="s">
        <v>168</v>
      </c>
    </row>
    <row r="107" spans="1:45" s="140" customFormat="1" ht="22.5" customHeight="1">
      <c r="A107" s="647"/>
      <c r="B107" s="643"/>
      <c r="C107" s="645"/>
      <c r="D107" s="150" t="s">
        <v>252</v>
      </c>
      <c r="E107" s="150" t="s">
        <v>217</v>
      </c>
      <c r="F107" s="148">
        <v>2</v>
      </c>
      <c r="G107" s="149"/>
      <c r="H107" s="189">
        <v>0</v>
      </c>
      <c r="I107" s="190">
        <v>0</v>
      </c>
      <c r="J107" s="149">
        <f t="shared" si="46"/>
        <v>0</v>
      </c>
      <c r="K107" s="152">
        <v>3200</v>
      </c>
      <c r="L107" s="133">
        <f t="shared" si="41"/>
        <v>6400</v>
      </c>
      <c r="M107" s="132"/>
      <c r="N107" s="479">
        <f>+'[2]Plan compras anio 1 vs gastos'!K96</f>
        <v>2750</v>
      </c>
      <c r="O107" s="116"/>
      <c r="P107" s="133">
        <v>0</v>
      </c>
      <c r="Q107" s="89">
        <f t="shared" si="32"/>
        <v>0</v>
      </c>
      <c r="R107" s="89">
        <f t="shared" si="42"/>
        <v>0</v>
      </c>
      <c r="S107" s="460">
        <v>0</v>
      </c>
      <c r="T107" s="463">
        <f t="shared" si="43"/>
        <v>0</v>
      </c>
      <c r="U107" s="460"/>
      <c r="V107" s="460"/>
      <c r="W107" s="460">
        <f t="shared" si="47"/>
        <v>0</v>
      </c>
      <c r="X107" s="460"/>
      <c r="Y107" s="489">
        <f t="shared" si="44"/>
        <v>0</v>
      </c>
      <c r="Z107" s="90"/>
      <c r="AA107" s="90"/>
      <c r="AB107" s="90"/>
      <c r="AC107" s="109">
        <f t="shared" si="40"/>
        <v>0</v>
      </c>
      <c r="AD107" s="109">
        <f t="shared" si="45"/>
        <v>0</v>
      </c>
      <c r="AE107" s="657"/>
      <c r="AF107" s="129"/>
      <c r="AG107" s="129"/>
      <c r="AH107" s="129"/>
      <c r="AI107" s="129"/>
      <c r="AJ107" s="129"/>
      <c r="AK107" s="129"/>
      <c r="AL107" s="129"/>
      <c r="AM107" s="129"/>
      <c r="AN107" s="129"/>
      <c r="AS107" s="140" t="s">
        <v>168</v>
      </c>
    </row>
    <row r="108" spans="1:45" s="140" customFormat="1" ht="14.25">
      <c r="A108" s="647"/>
      <c r="B108" s="643"/>
      <c r="C108" s="645"/>
      <c r="D108" s="150" t="s">
        <v>253</v>
      </c>
      <c r="E108" s="150" t="s">
        <v>217</v>
      </c>
      <c r="F108" s="148">
        <v>2</v>
      </c>
      <c r="G108" s="149"/>
      <c r="H108" s="189">
        <v>0</v>
      </c>
      <c r="I108" s="190">
        <v>0</v>
      </c>
      <c r="J108" s="149">
        <f t="shared" si="46"/>
        <v>0</v>
      </c>
      <c r="K108" s="152">
        <v>1100</v>
      </c>
      <c r="L108" s="133">
        <f t="shared" si="41"/>
        <v>2200</v>
      </c>
      <c r="M108" s="132"/>
      <c r="N108" s="479">
        <f>+'[2]Plan compras anio 1 vs gastos'!K97</f>
        <v>695</v>
      </c>
      <c r="O108" s="116"/>
      <c r="P108" s="133">
        <v>0</v>
      </c>
      <c r="Q108" s="89">
        <f t="shared" si="32"/>
        <v>0</v>
      </c>
      <c r="R108" s="89">
        <f t="shared" si="42"/>
        <v>0</v>
      </c>
      <c r="S108" s="460">
        <v>0</v>
      </c>
      <c r="T108" s="463">
        <f t="shared" si="43"/>
        <v>0</v>
      </c>
      <c r="U108" s="460"/>
      <c r="V108" s="460"/>
      <c r="W108" s="460">
        <f t="shared" si="47"/>
        <v>0</v>
      </c>
      <c r="X108" s="460"/>
      <c r="Y108" s="489">
        <f t="shared" si="44"/>
        <v>0</v>
      </c>
      <c r="Z108" s="90"/>
      <c r="AA108" s="90"/>
      <c r="AB108" s="90"/>
      <c r="AC108" s="109">
        <f t="shared" si="40"/>
        <v>0</v>
      </c>
      <c r="AD108" s="109">
        <f t="shared" si="45"/>
        <v>0</v>
      </c>
      <c r="AE108" s="657"/>
      <c r="AF108" s="129"/>
      <c r="AG108" s="129"/>
      <c r="AH108" s="129"/>
      <c r="AI108" s="129"/>
      <c r="AJ108" s="129"/>
      <c r="AK108" s="129"/>
      <c r="AL108" s="129"/>
      <c r="AM108" s="129"/>
      <c r="AN108" s="129"/>
      <c r="AS108" s="140" t="s">
        <v>168</v>
      </c>
    </row>
    <row r="109" spans="1:45" s="140" customFormat="1" ht="14.25">
      <c r="A109" s="647"/>
      <c r="B109" s="643"/>
      <c r="C109" s="645"/>
      <c r="D109" s="150" t="s">
        <v>254</v>
      </c>
      <c r="E109" s="150" t="s">
        <v>217</v>
      </c>
      <c r="F109" s="148">
        <v>2</v>
      </c>
      <c r="G109" s="149"/>
      <c r="H109" s="189">
        <v>0</v>
      </c>
      <c r="I109" s="190">
        <v>0</v>
      </c>
      <c r="J109" s="149">
        <f t="shared" si="46"/>
        <v>0</v>
      </c>
      <c r="K109" s="152">
        <v>1243</v>
      </c>
      <c r="L109" s="133">
        <f t="shared" si="41"/>
        <v>2486</v>
      </c>
      <c r="M109" s="132"/>
      <c r="N109" s="479">
        <f>+'[2]Plan compras anio 1 vs gastos'!K98</f>
        <v>970</v>
      </c>
      <c r="O109" s="116"/>
      <c r="P109" s="133">
        <v>0</v>
      </c>
      <c r="Q109" s="89">
        <f t="shared" si="32"/>
        <v>0</v>
      </c>
      <c r="R109" s="89">
        <f t="shared" si="42"/>
        <v>0</v>
      </c>
      <c r="S109" s="460">
        <v>0</v>
      </c>
      <c r="T109" s="463">
        <f t="shared" si="43"/>
        <v>0</v>
      </c>
      <c r="U109" s="460"/>
      <c r="V109" s="460"/>
      <c r="W109" s="460">
        <f t="shared" si="47"/>
        <v>0</v>
      </c>
      <c r="X109" s="460"/>
      <c r="Y109" s="489">
        <f t="shared" si="44"/>
        <v>0</v>
      </c>
      <c r="Z109" s="90"/>
      <c r="AA109" s="90"/>
      <c r="AB109" s="90"/>
      <c r="AC109" s="109">
        <f t="shared" si="40"/>
        <v>0</v>
      </c>
      <c r="AD109" s="109">
        <f t="shared" si="45"/>
        <v>0</v>
      </c>
      <c r="AE109" s="657"/>
      <c r="AF109" s="129"/>
      <c r="AG109" s="129"/>
      <c r="AH109" s="129"/>
      <c r="AI109" s="129"/>
      <c r="AJ109" s="129"/>
      <c r="AK109" s="129"/>
      <c r="AL109" s="129"/>
      <c r="AM109" s="129"/>
      <c r="AN109" s="129"/>
      <c r="AS109" s="140" t="s">
        <v>168</v>
      </c>
    </row>
    <row r="110" spans="1:45" s="140" customFormat="1" ht="14.25">
      <c r="A110" s="647"/>
      <c r="B110" s="643"/>
      <c r="C110" s="645"/>
      <c r="D110" s="150" t="s">
        <v>255</v>
      </c>
      <c r="E110" s="150" t="s">
        <v>217</v>
      </c>
      <c r="F110" s="148">
        <v>2</v>
      </c>
      <c r="G110" s="149"/>
      <c r="H110" s="189">
        <v>0</v>
      </c>
      <c r="I110" s="190">
        <v>0</v>
      </c>
      <c r="J110" s="149">
        <f t="shared" si="46"/>
        <v>0</v>
      </c>
      <c r="K110" s="152">
        <v>950</v>
      </c>
      <c r="L110" s="133">
        <f t="shared" si="41"/>
        <v>1900</v>
      </c>
      <c r="M110" s="132"/>
      <c r="N110" s="479">
        <f>+'[2]Plan compras anio 1 vs gastos'!K99</f>
        <v>2075</v>
      </c>
      <c r="O110" s="116"/>
      <c r="P110" s="133">
        <v>0</v>
      </c>
      <c r="Q110" s="89">
        <f t="shared" si="32"/>
        <v>0</v>
      </c>
      <c r="R110" s="89">
        <f t="shared" si="42"/>
        <v>0</v>
      </c>
      <c r="S110" s="460">
        <v>0</v>
      </c>
      <c r="T110" s="463">
        <f t="shared" si="43"/>
        <v>0</v>
      </c>
      <c r="U110" s="460"/>
      <c r="V110" s="460"/>
      <c r="W110" s="460">
        <f t="shared" si="47"/>
        <v>0</v>
      </c>
      <c r="X110" s="460"/>
      <c r="Y110" s="489">
        <f t="shared" si="44"/>
        <v>0</v>
      </c>
      <c r="Z110" s="90"/>
      <c r="AA110" s="90"/>
      <c r="AB110" s="90"/>
      <c r="AC110" s="109">
        <f t="shared" si="40"/>
        <v>0</v>
      </c>
      <c r="AD110" s="109">
        <f t="shared" si="45"/>
        <v>0</v>
      </c>
      <c r="AE110" s="657"/>
      <c r="AF110" s="129"/>
      <c r="AG110" s="129"/>
      <c r="AH110" s="129"/>
      <c r="AI110" s="129"/>
      <c r="AJ110" s="129"/>
      <c r="AK110" s="129"/>
      <c r="AL110" s="129"/>
      <c r="AM110" s="129"/>
      <c r="AN110" s="129"/>
      <c r="AS110" s="140" t="s">
        <v>168</v>
      </c>
    </row>
    <row r="111" spans="1:45" s="140" customFormat="1" ht="14.25">
      <c r="A111" s="647"/>
      <c r="B111" s="643"/>
      <c r="C111" s="645"/>
      <c r="D111" s="150" t="s">
        <v>256</v>
      </c>
      <c r="E111" s="150" t="s">
        <v>217</v>
      </c>
      <c r="F111" s="148">
        <v>2</v>
      </c>
      <c r="G111" s="149"/>
      <c r="H111" s="189">
        <v>0</v>
      </c>
      <c r="I111" s="190">
        <v>0</v>
      </c>
      <c r="J111" s="149">
        <f t="shared" si="46"/>
        <v>0</v>
      </c>
      <c r="K111" s="152">
        <v>800</v>
      </c>
      <c r="L111" s="133">
        <f t="shared" si="41"/>
        <v>1600</v>
      </c>
      <c r="M111" s="132"/>
      <c r="N111" s="479">
        <f>+'[2]Plan compras anio 1 vs gastos'!K100</f>
        <v>299</v>
      </c>
      <c r="O111" s="116"/>
      <c r="P111" s="133">
        <v>0</v>
      </c>
      <c r="Q111" s="89">
        <f t="shared" si="32"/>
        <v>0</v>
      </c>
      <c r="R111" s="89">
        <f t="shared" si="42"/>
        <v>0</v>
      </c>
      <c r="S111" s="460">
        <v>0</v>
      </c>
      <c r="T111" s="463">
        <f t="shared" si="43"/>
        <v>0</v>
      </c>
      <c r="U111" s="460"/>
      <c r="V111" s="460"/>
      <c r="W111" s="460">
        <f t="shared" si="47"/>
        <v>0</v>
      </c>
      <c r="X111" s="460"/>
      <c r="Y111" s="489">
        <f t="shared" si="44"/>
        <v>0</v>
      </c>
      <c r="Z111" s="90"/>
      <c r="AA111" s="90"/>
      <c r="AB111" s="90"/>
      <c r="AC111" s="109">
        <f t="shared" si="40"/>
        <v>0</v>
      </c>
      <c r="AD111" s="109">
        <f t="shared" si="45"/>
        <v>0</v>
      </c>
      <c r="AE111" s="657"/>
      <c r="AF111" s="129"/>
      <c r="AG111" s="129"/>
      <c r="AH111" s="129"/>
      <c r="AI111" s="129"/>
      <c r="AJ111" s="129"/>
      <c r="AK111" s="129"/>
      <c r="AL111" s="129"/>
      <c r="AM111" s="129"/>
      <c r="AN111" s="129"/>
      <c r="AS111" s="140" t="s">
        <v>168</v>
      </c>
    </row>
    <row r="112" spans="1:45" s="140" customFormat="1" ht="14.25">
      <c r="A112" s="647"/>
      <c r="B112" s="643"/>
      <c r="C112" s="645"/>
      <c r="D112" s="150" t="s">
        <v>257</v>
      </c>
      <c r="E112" s="150" t="s">
        <v>217</v>
      </c>
      <c r="F112" s="148">
        <v>2</v>
      </c>
      <c r="G112" s="149"/>
      <c r="H112" s="189">
        <v>0</v>
      </c>
      <c r="I112" s="190">
        <v>0</v>
      </c>
      <c r="J112" s="149">
        <f t="shared" si="46"/>
        <v>0</v>
      </c>
      <c r="K112" s="152">
        <v>600</v>
      </c>
      <c r="L112" s="133">
        <f t="shared" si="41"/>
        <v>1200</v>
      </c>
      <c r="M112" s="132"/>
      <c r="N112" s="479">
        <f>+'[2]Plan compras anio 1 vs gastos'!K101</f>
        <v>430</v>
      </c>
      <c r="O112" s="116">
        <v>0</v>
      </c>
      <c r="P112" s="133">
        <v>0</v>
      </c>
      <c r="Q112" s="89">
        <f t="shared" si="32"/>
        <v>0</v>
      </c>
      <c r="R112" s="89">
        <f t="shared" si="42"/>
        <v>0</v>
      </c>
      <c r="S112" s="460">
        <v>0</v>
      </c>
      <c r="T112" s="463">
        <f t="shared" si="43"/>
        <v>0</v>
      </c>
      <c r="U112" s="460"/>
      <c r="V112" s="460"/>
      <c r="W112" s="460">
        <f t="shared" si="47"/>
        <v>0</v>
      </c>
      <c r="X112" s="460"/>
      <c r="Y112" s="489">
        <f t="shared" si="44"/>
        <v>0</v>
      </c>
      <c r="Z112" s="90"/>
      <c r="AA112" s="90"/>
      <c r="AB112" s="90"/>
      <c r="AC112" s="109">
        <f t="shared" si="40"/>
        <v>0</v>
      </c>
      <c r="AD112" s="109">
        <f t="shared" si="45"/>
        <v>0</v>
      </c>
      <c r="AE112" s="657"/>
      <c r="AF112" s="129"/>
      <c r="AG112" s="129"/>
      <c r="AH112" s="129"/>
      <c r="AI112" s="129"/>
      <c r="AJ112" s="129"/>
      <c r="AK112" s="129"/>
      <c r="AL112" s="129"/>
      <c r="AM112" s="129"/>
      <c r="AN112" s="129"/>
      <c r="AS112" s="140" t="s">
        <v>168</v>
      </c>
    </row>
    <row r="113" spans="1:45" s="140" customFormat="1" ht="14.25">
      <c r="A113" s="647"/>
      <c r="B113" s="643"/>
      <c r="C113" s="645"/>
      <c r="D113" s="150" t="s">
        <v>258</v>
      </c>
      <c r="E113" s="150" t="s">
        <v>217</v>
      </c>
      <c r="F113" s="148">
        <v>2</v>
      </c>
      <c r="G113" s="149"/>
      <c r="H113" s="189">
        <v>0</v>
      </c>
      <c r="I113" s="190">
        <v>0</v>
      </c>
      <c r="J113" s="149">
        <f t="shared" si="46"/>
        <v>0</v>
      </c>
      <c r="K113" s="152">
        <v>100</v>
      </c>
      <c r="L113" s="133">
        <f t="shared" si="41"/>
        <v>200</v>
      </c>
      <c r="M113" s="132"/>
      <c r="N113" s="479">
        <f>+'[2]Plan compras anio 1 vs gastos'!K102</f>
        <v>22.96666666666667</v>
      </c>
      <c r="O113" s="116">
        <v>0</v>
      </c>
      <c r="P113" s="133">
        <v>0</v>
      </c>
      <c r="Q113" s="89">
        <f t="shared" si="32"/>
        <v>0</v>
      </c>
      <c r="R113" s="89">
        <f t="shared" si="42"/>
        <v>0</v>
      </c>
      <c r="S113" s="460">
        <v>0</v>
      </c>
      <c r="T113" s="463">
        <f t="shared" si="43"/>
        <v>0</v>
      </c>
      <c r="U113" s="460"/>
      <c r="V113" s="460"/>
      <c r="W113" s="460">
        <f t="shared" si="47"/>
        <v>0</v>
      </c>
      <c r="X113" s="460"/>
      <c r="Y113" s="489">
        <f t="shared" si="44"/>
        <v>0</v>
      </c>
      <c r="Z113" s="90"/>
      <c r="AA113" s="90"/>
      <c r="AB113" s="90"/>
      <c r="AC113" s="109">
        <f t="shared" si="40"/>
        <v>0</v>
      </c>
      <c r="AD113" s="109">
        <f t="shared" si="45"/>
        <v>0</v>
      </c>
      <c r="AE113" s="657"/>
      <c r="AF113" s="129"/>
      <c r="AG113" s="129"/>
      <c r="AH113" s="129"/>
      <c r="AI113" s="129"/>
      <c r="AJ113" s="129"/>
      <c r="AK113" s="129"/>
      <c r="AL113" s="129"/>
      <c r="AM113" s="129"/>
      <c r="AN113" s="129"/>
      <c r="AS113" s="140" t="s">
        <v>168</v>
      </c>
    </row>
    <row r="114" spans="1:45" s="93" customFormat="1" ht="14.25">
      <c r="A114" s="647"/>
      <c r="B114" s="643"/>
      <c r="C114" s="645"/>
      <c r="D114" s="161" t="s">
        <v>259</v>
      </c>
      <c r="E114" s="150" t="s">
        <v>217</v>
      </c>
      <c r="F114" s="148">
        <v>7</v>
      </c>
      <c r="G114" s="149"/>
      <c r="H114" s="189">
        <v>0</v>
      </c>
      <c r="I114" s="190">
        <v>0</v>
      </c>
      <c r="J114" s="149">
        <f t="shared" si="46"/>
        <v>0</v>
      </c>
      <c r="K114" s="152">
        <v>260</v>
      </c>
      <c r="L114" s="133">
        <f t="shared" si="41"/>
        <v>1820</v>
      </c>
      <c r="M114" s="132"/>
      <c r="N114" s="479">
        <f>+'[2]Plan compras anio 1 vs gastos'!K103</f>
        <v>270</v>
      </c>
      <c r="O114" s="116">
        <v>0</v>
      </c>
      <c r="P114" s="133">
        <v>0</v>
      </c>
      <c r="Q114" s="89">
        <f t="shared" si="32"/>
        <v>0</v>
      </c>
      <c r="R114" s="89">
        <f t="shared" si="42"/>
        <v>0</v>
      </c>
      <c r="S114" s="460"/>
      <c r="T114" s="463">
        <f t="shared" si="43"/>
        <v>0</v>
      </c>
      <c r="U114" s="460"/>
      <c r="V114" s="460"/>
      <c r="W114" s="460">
        <f t="shared" si="47"/>
        <v>0</v>
      </c>
      <c r="X114" s="460"/>
      <c r="Y114" s="489">
        <f t="shared" si="44"/>
        <v>0</v>
      </c>
      <c r="Z114" s="90"/>
      <c r="AA114" s="90"/>
      <c r="AB114" s="90"/>
      <c r="AC114" s="109">
        <f t="shared" si="40"/>
        <v>0</v>
      </c>
      <c r="AD114" s="109">
        <f t="shared" si="45"/>
        <v>0</v>
      </c>
      <c r="AE114" s="657"/>
      <c r="AF114" s="131"/>
      <c r="AG114" s="131"/>
      <c r="AH114" s="131"/>
      <c r="AI114" s="131"/>
      <c r="AJ114" s="131"/>
      <c r="AK114" s="131"/>
      <c r="AL114" s="131"/>
      <c r="AM114" s="131"/>
      <c r="AN114" s="131"/>
      <c r="AS114" s="140" t="s">
        <v>168</v>
      </c>
    </row>
    <row r="115" spans="1:45" s="93" customFormat="1" ht="14.25">
      <c r="A115" s="647"/>
      <c r="B115" s="643"/>
      <c r="C115" s="645"/>
      <c r="D115" s="161" t="s">
        <v>260</v>
      </c>
      <c r="E115" s="150" t="s">
        <v>217</v>
      </c>
      <c r="F115" s="148">
        <v>7</v>
      </c>
      <c r="G115" s="149"/>
      <c r="H115" s="189">
        <v>0</v>
      </c>
      <c r="I115" s="190">
        <v>0</v>
      </c>
      <c r="J115" s="149">
        <f t="shared" si="46"/>
        <v>0</v>
      </c>
      <c r="K115" s="152">
        <v>1300</v>
      </c>
      <c r="L115" s="133">
        <f t="shared" si="41"/>
        <v>9100</v>
      </c>
      <c r="M115" s="132"/>
      <c r="N115" s="479">
        <f>+'[2]Plan compras anio 1 vs gastos'!K104</f>
        <v>1709.71</v>
      </c>
      <c r="O115" s="116">
        <v>0</v>
      </c>
      <c r="P115" s="133">
        <v>0</v>
      </c>
      <c r="Q115" s="89">
        <f t="shared" si="32"/>
        <v>0</v>
      </c>
      <c r="R115" s="89">
        <f t="shared" si="42"/>
        <v>0</v>
      </c>
      <c r="S115" s="460"/>
      <c r="T115" s="463">
        <f t="shared" si="43"/>
        <v>0</v>
      </c>
      <c r="U115" s="460"/>
      <c r="V115" s="460"/>
      <c r="W115" s="460">
        <f t="shared" si="47"/>
        <v>0</v>
      </c>
      <c r="X115" s="460"/>
      <c r="Y115" s="489">
        <f t="shared" si="44"/>
        <v>0</v>
      </c>
      <c r="Z115" s="90"/>
      <c r="AA115" s="90"/>
      <c r="AB115" s="90"/>
      <c r="AC115" s="109">
        <f t="shared" si="40"/>
        <v>0</v>
      </c>
      <c r="AD115" s="109">
        <f t="shared" si="45"/>
        <v>0</v>
      </c>
      <c r="AE115" s="657"/>
      <c r="AF115" s="131"/>
      <c r="AG115" s="131"/>
      <c r="AH115" s="131"/>
      <c r="AI115" s="131"/>
      <c r="AJ115" s="131"/>
      <c r="AK115" s="131"/>
      <c r="AL115" s="131"/>
      <c r="AM115" s="131"/>
      <c r="AN115" s="131"/>
      <c r="AS115" s="140" t="s">
        <v>168</v>
      </c>
    </row>
    <row r="116" spans="1:45" s="93" customFormat="1" ht="14.25">
      <c r="A116" s="647"/>
      <c r="B116" s="643"/>
      <c r="C116" s="645"/>
      <c r="D116" s="161" t="s">
        <v>261</v>
      </c>
      <c r="E116" s="150" t="s">
        <v>217</v>
      </c>
      <c r="F116" s="148">
        <v>7</v>
      </c>
      <c r="G116" s="149"/>
      <c r="H116" s="189">
        <v>0</v>
      </c>
      <c r="I116" s="190">
        <v>0</v>
      </c>
      <c r="J116" s="149">
        <f t="shared" si="46"/>
        <v>0</v>
      </c>
      <c r="K116" s="152">
        <v>320</v>
      </c>
      <c r="L116" s="133">
        <f t="shared" si="41"/>
        <v>2240</v>
      </c>
      <c r="M116" s="132"/>
      <c r="N116" s="479">
        <f>+'[2]Plan compras anio 1 vs gastos'!K105</f>
        <v>265.53</v>
      </c>
      <c r="O116" s="116">
        <v>0</v>
      </c>
      <c r="P116" s="133">
        <v>0</v>
      </c>
      <c r="Q116" s="89">
        <f t="shared" si="32"/>
        <v>0</v>
      </c>
      <c r="R116" s="89">
        <f t="shared" si="42"/>
        <v>0</v>
      </c>
      <c r="S116" s="460"/>
      <c r="T116" s="463">
        <f t="shared" si="43"/>
        <v>0</v>
      </c>
      <c r="U116" s="460"/>
      <c r="V116" s="460"/>
      <c r="W116" s="460">
        <f t="shared" si="47"/>
        <v>0</v>
      </c>
      <c r="X116" s="460"/>
      <c r="Y116" s="489">
        <f t="shared" si="44"/>
        <v>0</v>
      </c>
      <c r="Z116" s="90"/>
      <c r="AA116" s="90"/>
      <c r="AB116" s="90"/>
      <c r="AC116" s="109">
        <f t="shared" si="40"/>
        <v>0</v>
      </c>
      <c r="AD116" s="109">
        <f t="shared" si="45"/>
        <v>0</v>
      </c>
      <c r="AE116" s="657"/>
      <c r="AF116" s="131"/>
      <c r="AG116" s="131"/>
      <c r="AH116" s="131"/>
      <c r="AI116" s="131"/>
      <c r="AJ116" s="131"/>
      <c r="AK116" s="131"/>
      <c r="AL116" s="131"/>
      <c r="AM116" s="131"/>
      <c r="AN116" s="131"/>
      <c r="AS116" s="140" t="s">
        <v>168</v>
      </c>
    </row>
    <row r="117" spans="1:45" s="93" customFormat="1" ht="14.25">
      <c r="A117" s="647"/>
      <c r="B117" s="643"/>
      <c r="C117" s="645"/>
      <c r="D117" s="161" t="s">
        <v>262</v>
      </c>
      <c r="E117" s="150" t="s">
        <v>217</v>
      </c>
      <c r="F117" s="148">
        <v>7</v>
      </c>
      <c r="G117" s="149"/>
      <c r="H117" s="189">
        <v>0</v>
      </c>
      <c r="I117" s="190">
        <v>0</v>
      </c>
      <c r="J117" s="149">
        <f t="shared" si="46"/>
        <v>0</v>
      </c>
      <c r="K117" s="152">
        <v>500</v>
      </c>
      <c r="L117" s="133">
        <f t="shared" si="41"/>
        <v>3500</v>
      </c>
      <c r="M117" s="132"/>
      <c r="N117" s="479">
        <f>+'[2]Plan compras anio 1 vs gastos'!K106</f>
        <v>353.98</v>
      </c>
      <c r="O117" s="116">
        <v>0</v>
      </c>
      <c r="P117" s="133">
        <v>0</v>
      </c>
      <c r="Q117" s="89">
        <f t="shared" si="32"/>
        <v>0</v>
      </c>
      <c r="R117" s="89">
        <f t="shared" si="42"/>
        <v>0</v>
      </c>
      <c r="S117" s="460"/>
      <c r="T117" s="463">
        <f t="shared" si="43"/>
        <v>0</v>
      </c>
      <c r="U117" s="460"/>
      <c r="V117" s="460"/>
      <c r="W117" s="460">
        <f t="shared" si="47"/>
        <v>0</v>
      </c>
      <c r="X117" s="460"/>
      <c r="Y117" s="489">
        <f t="shared" si="44"/>
        <v>0</v>
      </c>
      <c r="Z117" s="90"/>
      <c r="AA117" s="90"/>
      <c r="AB117" s="90"/>
      <c r="AC117" s="109">
        <f t="shared" si="40"/>
        <v>0</v>
      </c>
      <c r="AD117" s="109">
        <f t="shared" si="45"/>
        <v>0</v>
      </c>
      <c r="AE117" s="657"/>
      <c r="AF117" s="131"/>
      <c r="AG117" s="131"/>
      <c r="AH117" s="131"/>
      <c r="AI117" s="131"/>
      <c r="AJ117" s="131"/>
      <c r="AK117" s="131"/>
      <c r="AL117" s="131"/>
      <c r="AM117" s="131"/>
      <c r="AN117" s="131"/>
      <c r="AS117" s="140" t="s">
        <v>168</v>
      </c>
    </row>
    <row r="118" spans="1:45" s="93" customFormat="1" ht="14.25">
      <c r="A118" s="647"/>
      <c r="B118" s="643"/>
      <c r="C118" s="191"/>
      <c r="D118" s="161" t="s">
        <v>263</v>
      </c>
      <c r="E118" s="150" t="s">
        <v>217</v>
      </c>
      <c r="F118" s="148">
        <v>7</v>
      </c>
      <c r="G118" s="149"/>
      <c r="H118" s="189">
        <v>0</v>
      </c>
      <c r="I118" s="190">
        <v>0</v>
      </c>
      <c r="J118" s="148">
        <v>0</v>
      </c>
      <c r="K118" s="152">
        <v>1700</v>
      </c>
      <c r="L118" s="133">
        <f t="shared" si="41"/>
        <v>11900</v>
      </c>
      <c r="M118" s="132"/>
      <c r="N118" s="483">
        <v>1700</v>
      </c>
      <c r="O118" s="116">
        <v>0</v>
      </c>
      <c r="P118" s="133">
        <v>0</v>
      </c>
      <c r="Q118" s="89">
        <f t="shared" si="32"/>
        <v>0</v>
      </c>
      <c r="R118" s="89">
        <f t="shared" si="42"/>
        <v>0</v>
      </c>
      <c r="S118" s="463"/>
      <c r="T118" s="463">
        <f t="shared" si="43"/>
        <v>0</v>
      </c>
      <c r="U118" s="460"/>
      <c r="V118" s="460"/>
      <c r="W118" s="460">
        <f t="shared" si="47"/>
        <v>0</v>
      </c>
      <c r="X118" s="460"/>
      <c r="Y118" s="489">
        <f t="shared" si="44"/>
        <v>0</v>
      </c>
      <c r="Z118" s="90"/>
      <c r="AA118" s="90"/>
      <c r="AB118" s="90"/>
      <c r="AC118" s="109">
        <f t="shared" si="40"/>
        <v>0</v>
      </c>
      <c r="AD118" s="109">
        <f t="shared" si="45"/>
        <v>0</v>
      </c>
      <c r="AE118" s="657"/>
      <c r="AF118" s="131"/>
      <c r="AG118" s="131"/>
      <c r="AH118" s="131"/>
      <c r="AI118" s="131"/>
      <c r="AJ118" s="131"/>
      <c r="AK118" s="131"/>
      <c r="AL118" s="131"/>
      <c r="AM118" s="131"/>
      <c r="AN118" s="131"/>
      <c r="AS118" s="140" t="s">
        <v>168</v>
      </c>
    </row>
    <row r="119" spans="1:45" s="93" customFormat="1" ht="14.25">
      <c r="A119" s="647"/>
      <c r="B119" s="643"/>
      <c r="C119" s="100" t="s">
        <v>192</v>
      </c>
      <c r="D119" s="161" t="s">
        <v>264</v>
      </c>
      <c r="E119" s="150" t="s">
        <v>217</v>
      </c>
      <c r="F119" s="192">
        <v>50000</v>
      </c>
      <c r="G119" s="193"/>
      <c r="H119" s="194">
        <v>50000</v>
      </c>
      <c r="I119" s="192">
        <v>50000</v>
      </c>
      <c r="J119" s="192">
        <v>50000</v>
      </c>
      <c r="K119" s="152">
        <v>0.35</v>
      </c>
      <c r="L119" s="133">
        <f>F119*K119</f>
        <v>17500</v>
      </c>
      <c r="M119" s="132"/>
      <c r="N119" s="483">
        <f>+W119/S119</f>
        <v>0.32106590544871794</v>
      </c>
      <c r="O119" s="116">
        <v>0</v>
      </c>
      <c r="P119" s="133">
        <f>I119*K119</f>
        <v>17500</v>
      </c>
      <c r="Q119" s="89">
        <f>N119*J119</f>
        <v>16053.295272435897</v>
      </c>
      <c r="R119" s="89">
        <f t="shared" si="42"/>
        <v>16053.295272435897</v>
      </c>
      <c r="S119" s="463">
        <f>208*240</f>
        <v>49920</v>
      </c>
      <c r="T119" s="463">
        <v>0</v>
      </c>
      <c r="U119" s="460"/>
      <c r="V119" s="460"/>
      <c r="W119" s="492">
        <v>16027.61</v>
      </c>
      <c r="X119" s="492"/>
      <c r="Y119" s="489">
        <f t="shared" si="44"/>
        <v>16027.61</v>
      </c>
      <c r="Z119" s="90"/>
      <c r="AA119" s="90">
        <f>+'[3]PNUD Plan 2015'!$G$26</f>
        <v>16027.61</v>
      </c>
      <c r="AB119" s="90"/>
      <c r="AC119" s="109">
        <f t="shared" si="40"/>
        <v>16027.61</v>
      </c>
      <c r="AD119" s="109">
        <f t="shared" si="45"/>
        <v>0</v>
      </c>
      <c r="AE119" s="657"/>
      <c r="AF119" s="131"/>
      <c r="AG119" s="131"/>
      <c r="AH119" s="131"/>
      <c r="AI119" s="131"/>
      <c r="AJ119" s="131"/>
      <c r="AK119" s="131"/>
      <c r="AL119" s="131"/>
      <c r="AM119" s="131"/>
      <c r="AN119" s="131"/>
      <c r="AS119" s="140" t="s">
        <v>168</v>
      </c>
    </row>
    <row r="120" spans="1:45" s="93" customFormat="1" ht="14.25">
      <c r="A120" s="647"/>
      <c r="B120" s="643"/>
      <c r="C120" s="653" t="s">
        <v>156</v>
      </c>
      <c r="D120" s="161" t="s">
        <v>264</v>
      </c>
      <c r="E120" s="150" t="s">
        <v>217</v>
      </c>
      <c r="F120" s="192">
        <v>50000</v>
      </c>
      <c r="G120" s="193"/>
      <c r="H120" s="194">
        <v>50000</v>
      </c>
      <c r="I120" s="192">
        <v>50000</v>
      </c>
      <c r="J120" s="149">
        <v>50000</v>
      </c>
      <c r="K120" s="152">
        <v>0.35</v>
      </c>
      <c r="L120" s="133">
        <f t="shared" si="41"/>
        <v>17500</v>
      </c>
      <c r="M120" s="132"/>
      <c r="N120" s="479">
        <f>+X120/S120</f>
        <v>2</v>
      </c>
      <c r="O120" s="116">
        <f>H120*K120</f>
        <v>17500</v>
      </c>
      <c r="P120" s="133">
        <f>I120*K120</f>
        <v>17500</v>
      </c>
      <c r="Q120" s="89">
        <f>N120*J120</f>
        <v>100000</v>
      </c>
      <c r="R120" s="89">
        <f t="shared" si="42"/>
        <v>82500</v>
      </c>
      <c r="S120" s="503">
        <v>8750</v>
      </c>
      <c r="T120" s="463">
        <f t="shared" si="43"/>
        <v>41250</v>
      </c>
      <c r="U120" s="460"/>
      <c r="V120" s="460"/>
      <c r="W120" s="460">
        <v>0</v>
      </c>
      <c r="X120" s="507">
        <v>17500</v>
      </c>
      <c r="Y120" s="489">
        <f t="shared" si="44"/>
        <v>17500</v>
      </c>
      <c r="Z120" s="109"/>
      <c r="AA120" s="109"/>
      <c r="AB120" s="109">
        <f>+Y120</f>
        <v>17500</v>
      </c>
      <c r="AC120" s="109">
        <f t="shared" si="40"/>
        <v>17500</v>
      </c>
      <c r="AD120" s="109">
        <f t="shared" si="45"/>
        <v>0</v>
      </c>
      <c r="AE120" s="657"/>
      <c r="AF120" s="131"/>
      <c r="AG120" s="131"/>
      <c r="AH120" s="131"/>
      <c r="AI120" s="131"/>
      <c r="AJ120" s="131"/>
      <c r="AK120" s="131"/>
      <c r="AL120" s="131"/>
      <c r="AM120" s="131"/>
      <c r="AN120" s="131"/>
      <c r="AS120" s="140" t="s">
        <v>168</v>
      </c>
    </row>
    <row r="121" spans="1:45" s="93" customFormat="1" ht="51" customHeight="1">
      <c r="A121" s="647"/>
      <c r="B121" s="643"/>
      <c r="C121" s="653"/>
      <c r="D121" s="161" t="s">
        <v>265</v>
      </c>
      <c r="E121" s="150" t="s">
        <v>217</v>
      </c>
      <c r="F121" s="192">
        <v>5000</v>
      </c>
      <c r="G121" s="193"/>
      <c r="H121" s="194">
        <v>5000</v>
      </c>
      <c r="I121" s="192">
        <v>5000</v>
      </c>
      <c r="J121" s="149">
        <f t="shared" si="46"/>
        <v>5000</v>
      </c>
      <c r="K121" s="152">
        <v>2.52</v>
      </c>
      <c r="L121" s="133">
        <f t="shared" si="41"/>
        <v>12600</v>
      </c>
      <c r="M121" s="132"/>
      <c r="N121" s="479">
        <f>+X121/S121</f>
        <v>0.9699999999999999</v>
      </c>
      <c r="O121" s="116">
        <f>H121*K121</f>
        <v>12600</v>
      </c>
      <c r="P121" s="133">
        <f>I121*K121</f>
        <v>12600</v>
      </c>
      <c r="Q121" s="89">
        <f t="shared" si="32"/>
        <v>4849.999999999999</v>
      </c>
      <c r="R121" s="89">
        <f t="shared" si="42"/>
        <v>-7750.000000000001</v>
      </c>
      <c r="S121" s="463">
        <v>4809</v>
      </c>
      <c r="T121" s="463">
        <f t="shared" si="43"/>
        <v>191</v>
      </c>
      <c r="U121" s="460"/>
      <c r="V121" s="460"/>
      <c r="W121" s="460">
        <v>0</v>
      </c>
      <c r="X121" s="460">
        <v>4664.73</v>
      </c>
      <c r="Y121" s="489">
        <f t="shared" si="44"/>
        <v>4664.73</v>
      </c>
      <c r="Z121" s="109">
        <v>0</v>
      </c>
      <c r="AA121" s="109">
        <f>+'[3]Ejecucion_Financiera MINSAL AGO'!$AR$79</f>
        <v>4664.73</v>
      </c>
      <c r="AB121" s="109"/>
      <c r="AC121" s="109">
        <f t="shared" si="40"/>
        <v>4664.73</v>
      </c>
      <c r="AD121" s="109">
        <f t="shared" si="45"/>
        <v>7935.27</v>
      </c>
      <c r="AE121" s="657"/>
      <c r="AF121" s="131"/>
      <c r="AG121" s="131"/>
      <c r="AH121" s="131"/>
      <c r="AI121" s="131"/>
      <c r="AJ121" s="131"/>
      <c r="AK121" s="131"/>
      <c r="AL121" s="131"/>
      <c r="AM121" s="131"/>
      <c r="AN121" s="131"/>
      <c r="AS121" s="140" t="s">
        <v>168</v>
      </c>
    </row>
    <row r="122" spans="1:45" s="93" customFormat="1" ht="41.25" customHeight="1">
      <c r="A122" s="647"/>
      <c r="B122" s="643"/>
      <c r="C122" s="653"/>
      <c r="D122" s="161" t="s">
        <v>266</v>
      </c>
      <c r="E122" s="150" t="s">
        <v>217</v>
      </c>
      <c r="F122" s="148">
        <v>700</v>
      </c>
      <c r="G122" s="149"/>
      <c r="H122" s="147">
        <v>700</v>
      </c>
      <c r="I122" s="195">
        <v>0</v>
      </c>
      <c r="J122" s="149">
        <f t="shared" si="46"/>
        <v>700</v>
      </c>
      <c r="K122" s="152">
        <v>2</v>
      </c>
      <c r="L122" s="133">
        <f t="shared" si="41"/>
        <v>1400</v>
      </c>
      <c r="M122" s="132"/>
      <c r="N122" s="479">
        <v>4</v>
      </c>
      <c r="O122" s="116">
        <f>H122*K122</f>
        <v>1400</v>
      </c>
      <c r="P122" s="133"/>
      <c r="Q122" s="89">
        <f t="shared" si="32"/>
        <v>2800</v>
      </c>
      <c r="R122" s="89">
        <f t="shared" si="42"/>
        <v>1400</v>
      </c>
      <c r="S122" s="503">
        <f>+X122/N122</f>
        <v>350</v>
      </c>
      <c r="T122" s="463">
        <f t="shared" si="43"/>
        <v>350</v>
      </c>
      <c r="U122" s="460"/>
      <c r="V122" s="460"/>
      <c r="W122" s="460">
        <v>0</v>
      </c>
      <c r="X122" s="507">
        <f>700*2</f>
        <v>1400</v>
      </c>
      <c r="Y122" s="489">
        <f t="shared" si="44"/>
        <v>1400</v>
      </c>
      <c r="Z122" s="109"/>
      <c r="AA122" s="109"/>
      <c r="AB122" s="109">
        <f>+Y122</f>
        <v>1400</v>
      </c>
      <c r="AC122" s="109">
        <f t="shared" si="40"/>
        <v>1400</v>
      </c>
      <c r="AD122" s="109">
        <f t="shared" si="45"/>
        <v>0</v>
      </c>
      <c r="AE122" s="657"/>
      <c r="AF122" s="131"/>
      <c r="AG122" s="131"/>
      <c r="AH122" s="131"/>
      <c r="AI122" s="131"/>
      <c r="AJ122" s="131"/>
      <c r="AK122" s="131"/>
      <c r="AL122" s="131"/>
      <c r="AM122" s="131"/>
      <c r="AN122" s="131"/>
      <c r="AS122" s="140" t="s">
        <v>168</v>
      </c>
    </row>
    <row r="123" spans="1:46" s="93" customFormat="1" ht="19.5" customHeight="1">
      <c r="A123" s="647"/>
      <c r="B123" s="262" t="s">
        <v>315</v>
      </c>
      <c r="C123" s="259"/>
      <c r="D123" s="286"/>
      <c r="E123" s="286"/>
      <c r="F123" s="281"/>
      <c r="G123" s="290"/>
      <c r="H123" s="281"/>
      <c r="I123" s="288"/>
      <c r="J123" s="289"/>
      <c r="K123" s="287"/>
      <c r="L123" s="269">
        <f>SUM(L103:L122)</f>
        <v>113214.44444444444</v>
      </c>
      <c r="M123" s="270"/>
      <c r="N123" s="477"/>
      <c r="O123" s="269">
        <f aca="true" t="shared" si="48" ref="O123:Y123">SUM(O103:O122)</f>
        <v>42780.444444444445</v>
      </c>
      <c r="P123" s="269">
        <f t="shared" si="48"/>
        <v>58880.444444444445</v>
      </c>
      <c r="Q123" s="269">
        <f t="shared" si="48"/>
        <v>157241.5674946581</v>
      </c>
      <c r="R123" s="269">
        <f t="shared" si="48"/>
        <v>114461.12305021368</v>
      </c>
      <c r="S123" s="466"/>
      <c r="T123" s="466"/>
      <c r="U123" s="466">
        <f t="shared" si="48"/>
        <v>0</v>
      </c>
      <c r="V123" s="466">
        <f t="shared" si="48"/>
        <v>0</v>
      </c>
      <c r="W123" s="466">
        <f t="shared" si="48"/>
        <v>29451.66</v>
      </c>
      <c r="X123" s="466">
        <f t="shared" si="48"/>
        <v>23564.73</v>
      </c>
      <c r="Y123" s="466">
        <f t="shared" si="48"/>
        <v>53016.39</v>
      </c>
      <c r="Z123" s="269">
        <f>SUM(Z103:Z122)</f>
        <v>0</v>
      </c>
      <c r="AA123" s="269">
        <f>SUM(AA103:AA122)</f>
        <v>20692.34</v>
      </c>
      <c r="AB123" s="269">
        <f>SUM(AB103:AB122)</f>
        <v>32324.05</v>
      </c>
      <c r="AC123" s="270">
        <f t="shared" si="40"/>
        <v>53016.39</v>
      </c>
      <c r="AD123" s="270">
        <f>SUM(AD103:AD122)</f>
        <v>19215.714444444446</v>
      </c>
      <c r="AE123" s="657"/>
      <c r="AF123" s="131"/>
      <c r="AG123" s="131"/>
      <c r="AH123" s="131"/>
      <c r="AI123" s="131"/>
      <c r="AJ123" s="131"/>
      <c r="AK123" s="131"/>
      <c r="AL123" s="131"/>
      <c r="AM123" s="131"/>
      <c r="AN123" s="131"/>
      <c r="AS123" s="196"/>
      <c r="AT123" s="93" t="s">
        <v>267</v>
      </c>
    </row>
    <row r="124" spans="1:45" s="93" customFormat="1" ht="12.75">
      <c r="A124" s="647"/>
      <c r="N124" s="482"/>
      <c r="S124" s="469"/>
      <c r="T124" s="469"/>
      <c r="U124" s="469"/>
      <c r="V124" s="469"/>
      <c r="W124" s="469"/>
      <c r="X124" s="469"/>
      <c r="Y124" s="469"/>
      <c r="AE124" s="657"/>
      <c r="AF124" s="131"/>
      <c r="AG124" s="131"/>
      <c r="AH124" s="131"/>
      <c r="AI124" s="131"/>
      <c r="AJ124" s="131"/>
      <c r="AK124" s="131"/>
      <c r="AL124" s="131"/>
      <c r="AM124" s="131"/>
      <c r="AN124" s="131"/>
      <c r="AS124" s="140"/>
    </row>
    <row r="125" spans="1:45" s="93" customFormat="1" ht="12.75" customHeight="1">
      <c r="A125" s="647"/>
      <c r="B125" s="276" t="s">
        <v>268</v>
      </c>
      <c r="C125" s="645" t="s">
        <v>156</v>
      </c>
      <c r="D125" s="197" t="s">
        <v>269</v>
      </c>
      <c r="E125" s="197"/>
      <c r="F125" s="142">
        <v>6</v>
      </c>
      <c r="G125" s="143"/>
      <c r="H125" s="144">
        <v>5</v>
      </c>
      <c r="I125" s="142">
        <v>4</v>
      </c>
      <c r="J125" s="143">
        <f>+H125</f>
        <v>5</v>
      </c>
      <c r="K125" s="152">
        <v>850</v>
      </c>
      <c r="L125" s="133">
        <f>F125*K125</f>
        <v>5100</v>
      </c>
      <c r="M125" s="132"/>
      <c r="N125" s="479">
        <v>1750</v>
      </c>
      <c r="O125" s="116">
        <f>H125*K125</f>
        <v>4250</v>
      </c>
      <c r="P125" s="133">
        <f>I125*K125</f>
        <v>3400</v>
      </c>
      <c r="Q125" s="89">
        <f t="shared" si="32"/>
        <v>8750</v>
      </c>
      <c r="R125" s="89">
        <f aca="true" t="shared" si="49" ref="R125:R130">Q125-O125</f>
        <v>4500</v>
      </c>
      <c r="S125" s="506">
        <v>3</v>
      </c>
      <c r="T125" s="463">
        <f aca="true" t="shared" si="50" ref="T125:T141">+H125-S125</f>
        <v>2</v>
      </c>
      <c r="U125" s="460"/>
      <c r="V125" s="460"/>
      <c r="W125" s="460">
        <v>0</v>
      </c>
      <c r="X125" s="507">
        <f>+N125*S125</f>
        <v>5250</v>
      </c>
      <c r="Y125" s="489">
        <f t="shared" si="44"/>
        <v>5250</v>
      </c>
      <c r="Z125" s="109"/>
      <c r="AA125" s="109"/>
      <c r="AB125" s="109">
        <f>+X125</f>
        <v>5250</v>
      </c>
      <c r="AC125" s="109">
        <f t="shared" si="40"/>
        <v>5250</v>
      </c>
      <c r="AD125" s="109">
        <f aca="true" t="shared" si="51" ref="AD125:AD141">+O125+W125-U125-V125-AC125</f>
        <v>-1000</v>
      </c>
      <c r="AE125" s="657"/>
      <c r="AF125" s="131"/>
      <c r="AG125" s="131"/>
      <c r="AH125" s="131"/>
      <c r="AI125" s="131"/>
      <c r="AJ125" s="131"/>
      <c r="AK125" s="131"/>
      <c r="AL125" s="131"/>
      <c r="AM125" s="131"/>
      <c r="AN125" s="131"/>
      <c r="AS125" s="129" t="s">
        <v>160</v>
      </c>
    </row>
    <row r="126" spans="1:45" s="93" customFormat="1" ht="14.25">
      <c r="A126" s="647"/>
      <c r="B126" s="276"/>
      <c r="C126" s="645"/>
      <c r="D126" s="197" t="s">
        <v>269</v>
      </c>
      <c r="E126" s="197"/>
      <c r="F126" s="142">
        <v>6</v>
      </c>
      <c r="G126" s="143"/>
      <c r="H126" s="144">
        <v>5</v>
      </c>
      <c r="I126" s="142">
        <v>4</v>
      </c>
      <c r="J126" s="143">
        <f>+H126</f>
        <v>5</v>
      </c>
      <c r="K126" s="152">
        <v>350</v>
      </c>
      <c r="L126" s="133">
        <f>F126*K126</f>
        <v>2100</v>
      </c>
      <c r="M126" s="132"/>
      <c r="N126" s="479">
        <v>1750</v>
      </c>
      <c r="O126" s="116">
        <f>H126*K126</f>
        <v>1750</v>
      </c>
      <c r="P126" s="133">
        <f>I126*K126</f>
        <v>1400</v>
      </c>
      <c r="Q126" s="89">
        <f t="shared" si="32"/>
        <v>8750</v>
      </c>
      <c r="R126" s="89">
        <f t="shared" si="49"/>
        <v>7000</v>
      </c>
      <c r="S126" s="506">
        <v>3</v>
      </c>
      <c r="T126" s="463">
        <f t="shared" si="50"/>
        <v>2</v>
      </c>
      <c r="U126" s="460"/>
      <c r="V126" s="460"/>
      <c r="W126" s="460">
        <v>0</v>
      </c>
      <c r="X126" s="507">
        <f>+S126*N126</f>
        <v>5250</v>
      </c>
      <c r="Y126" s="489">
        <f t="shared" si="44"/>
        <v>5250</v>
      </c>
      <c r="Z126" s="109"/>
      <c r="AA126" s="109"/>
      <c r="AB126" s="109">
        <f>+X126</f>
        <v>5250</v>
      </c>
      <c r="AC126" s="109">
        <f t="shared" si="40"/>
        <v>5250</v>
      </c>
      <c r="AD126" s="109">
        <f t="shared" si="51"/>
        <v>-3500</v>
      </c>
      <c r="AE126" s="657"/>
      <c r="AF126" s="131"/>
      <c r="AG126" s="131"/>
      <c r="AH126" s="131"/>
      <c r="AI126" s="131"/>
      <c r="AJ126" s="131"/>
      <c r="AK126" s="131"/>
      <c r="AL126" s="131"/>
      <c r="AM126" s="131"/>
      <c r="AN126" s="131"/>
      <c r="AS126" s="129" t="s">
        <v>160</v>
      </c>
    </row>
    <row r="127" spans="1:40" s="93" customFormat="1" ht="12.75">
      <c r="A127" s="647"/>
      <c r="B127" s="276"/>
      <c r="C127" s="645"/>
      <c r="D127" s="117"/>
      <c r="E127" s="117"/>
      <c r="F127" s="198"/>
      <c r="G127" s="199"/>
      <c r="H127" s="200"/>
      <c r="I127" s="198"/>
      <c r="J127" s="143">
        <f aca="true" t="shared" si="52" ref="J127:J142">+H127</f>
        <v>0</v>
      </c>
      <c r="K127" s="201"/>
      <c r="L127" s="202"/>
      <c r="M127" s="97"/>
      <c r="N127" s="484"/>
      <c r="O127" s="203"/>
      <c r="P127" s="202"/>
      <c r="Q127" s="89">
        <f t="shared" si="32"/>
        <v>0</v>
      </c>
      <c r="R127" s="89">
        <f t="shared" si="49"/>
        <v>0</v>
      </c>
      <c r="S127" s="460"/>
      <c r="T127" s="463">
        <f t="shared" si="50"/>
        <v>0</v>
      </c>
      <c r="U127" s="460"/>
      <c r="V127" s="496"/>
      <c r="W127" s="460">
        <f>+O127-V127-U127</f>
        <v>0</v>
      </c>
      <c r="X127" s="460"/>
      <c r="Y127" s="489">
        <f t="shared" si="44"/>
        <v>0</v>
      </c>
      <c r="Z127" s="90"/>
      <c r="AA127" s="90"/>
      <c r="AB127" s="90"/>
      <c r="AC127" s="109">
        <f t="shared" si="40"/>
        <v>0</v>
      </c>
      <c r="AD127" s="109">
        <f t="shared" si="51"/>
        <v>0</v>
      </c>
      <c r="AE127" s="657"/>
      <c r="AF127" s="131"/>
      <c r="AG127" s="131"/>
      <c r="AH127" s="131"/>
      <c r="AI127" s="131"/>
      <c r="AJ127" s="131"/>
      <c r="AK127" s="131"/>
      <c r="AL127" s="131"/>
      <c r="AM127" s="131"/>
      <c r="AN127" s="131"/>
    </row>
    <row r="128" spans="1:45" s="131" customFormat="1" ht="25.5" customHeight="1">
      <c r="A128" s="647"/>
      <c r="B128" s="276"/>
      <c r="C128" s="645"/>
      <c r="D128" s="115" t="s">
        <v>270</v>
      </c>
      <c r="E128" s="115" t="s">
        <v>158</v>
      </c>
      <c r="F128" s="204">
        <f>73081.12/0.9</f>
        <v>81201.24444444444</v>
      </c>
      <c r="G128" s="119"/>
      <c r="H128" s="205">
        <f>73474.632/0.9</f>
        <v>81638.48</v>
      </c>
      <c r="I128" s="204">
        <f>72596.672/0.9</f>
        <v>80662.96888888889</v>
      </c>
      <c r="J128" s="143">
        <f t="shared" si="52"/>
        <v>81638.48</v>
      </c>
      <c r="K128" s="201">
        <v>1.01</v>
      </c>
      <c r="L128" s="206">
        <f>F128*$K$128</f>
        <v>82013.25688888889</v>
      </c>
      <c r="M128" s="207"/>
      <c r="N128" s="484">
        <f>+V128/S128</f>
        <v>1.096428986342571</v>
      </c>
      <c r="O128" s="203">
        <f>H128*$K$128</f>
        <v>82454.8648</v>
      </c>
      <c r="P128" s="206">
        <f>I128*$K$128</f>
        <v>81469.59857777778</v>
      </c>
      <c r="Q128" s="89">
        <f>N128*J128</f>
        <v>89510.79587294825</v>
      </c>
      <c r="R128" s="89">
        <f t="shared" si="49"/>
        <v>7055.931072948253</v>
      </c>
      <c r="S128" s="463">
        <f>+'[6]Detalle medicinas y prod. salud'!$AS$18</f>
        <v>71335.78277687237</v>
      </c>
      <c r="T128" s="463">
        <f t="shared" si="50"/>
        <v>10302.69722312763</v>
      </c>
      <c r="U128" s="460"/>
      <c r="V128" s="496">
        <v>78214.62</v>
      </c>
      <c r="W128" s="460">
        <v>0</v>
      </c>
      <c r="X128" s="460"/>
      <c r="Y128" s="489">
        <f t="shared" si="44"/>
        <v>0</v>
      </c>
      <c r="Z128" s="109"/>
      <c r="AA128" s="109"/>
      <c r="AB128" s="109"/>
      <c r="AC128" s="109">
        <f t="shared" si="40"/>
        <v>0</v>
      </c>
      <c r="AD128" s="109">
        <f t="shared" si="51"/>
        <v>4240.2448</v>
      </c>
      <c r="AE128" s="657"/>
      <c r="AF128" s="121"/>
      <c r="AG128" s="121"/>
      <c r="AH128" s="121"/>
      <c r="AI128" s="121"/>
      <c r="AJ128" s="121"/>
      <c r="AK128" s="121"/>
      <c r="AL128" s="121"/>
      <c r="AM128" s="121"/>
      <c r="AN128" s="120"/>
      <c r="AO128" s="98"/>
      <c r="AP128" s="98"/>
      <c r="AQ128" s="98"/>
      <c r="AR128" s="208"/>
      <c r="AS128" s="129" t="s">
        <v>160</v>
      </c>
    </row>
    <row r="129" spans="1:43" s="131" customFormat="1" ht="14.25">
      <c r="A129" s="647"/>
      <c r="B129" s="276"/>
      <c r="C129" s="645"/>
      <c r="D129" s="115"/>
      <c r="E129" s="115"/>
      <c r="F129" s="122"/>
      <c r="G129" s="123"/>
      <c r="H129" s="124"/>
      <c r="I129" s="122"/>
      <c r="J129" s="143">
        <f t="shared" si="52"/>
        <v>0</v>
      </c>
      <c r="K129" s="105"/>
      <c r="L129" s="133"/>
      <c r="M129" s="132"/>
      <c r="N129" s="479"/>
      <c r="O129" s="116"/>
      <c r="P129" s="133"/>
      <c r="Q129" s="89">
        <f t="shared" si="32"/>
        <v>0</v>
      </c>
      <c r="R129" s="89">
        <f t="shared" si="49"/>
        <v>0</v>
      </c>
      <c r="S129" s="460"/>
      <c r="T129" s="463">
        <f t="shared" si="50"/>
        <v>0</v>
      </c>
      <c r="U129" s="460"/>
      <c r="V129" s="460"/>
      <c r="W129" s="460">
        <f>+O129-V129-U129</f>
        <v>0</v>
      </c>
      <c r="X129" s="460"/>
      <c r="Y129" s="489">
        <f t="shared" si="44"/>
        <v>0</v>
      </c>
      <c r="Z129" s="90"/>
      <c r="AA129" s="90"/>
      <c r="AB129" s="90"/>
      <c r="AC129" s="109">
        <f t="shared" si="40"/>
        <v>0</v>
      </c>
      <c r="AD129" s="109">
        <f t="shared" si="51"/>
        <v>0</v>
      </c>
      <c r="AE129" s="657"/>
      <c r="AF129" s="121"/>
      <c r="AG129" s="121"/>
      <c r="AH129" s="121"/>
      <c r="AI129" s="121"/>
      <c r="AJ129" s="121"/>
      <c r="AK129" s="121"/>
      <c r="AL129" s="121"/>
      <c r="AM129" s="121"/>
      <c r="AN129" s="120"/>
      <c r="AO129" s="98"/>
      <c r="AP129" s="98"/>
      <c r="AQ129" s="98"/>
    </row>
    <row r="130" spans="1:45" s="131" customFormat="1" ht="38.25" customHeight="1">
      <c r="A130" s="647"/>
      <c r="B130" s="276"/>
      <c r="C130" s="645"/>
      <c r="D130" s="99" t="s">
        <v>271</v>
      </c>
      <c r="E130" s="99" t="s">
        <v>272</v>
      </c>
      <c r="F130" s="204">
        <f>96*160</f>
        <v>15360</v>
      </c>
      <c r="G130" s="119"/>
      <c r="H130" s="205">
        <f>96*140</f>
        <v>13440</v>
      </c>
      <c r="I130" s="204">
        <f>96*120</f>
        <v>11520</v>
      </c>
      <c r="J130" s="143">
        <f t="shared" si="52"/>
        <v>13440</v>
      </c>
      <c r="K130" s="105">
        <v>3.25</v>
      </c>
      <c r="L130" s="133">
        <f>F130*$K$130</f>
        <v>49920</v>
      </c>
      <c r="M130" s="132"/>
      <c r="N130" s="479">
        <f>+'[2]Plan compras anio 1 vs gastos'!K118</f>
        <v>2.7</v>
      </c>
      <c r="O130" s="116">
        <f>H130*$K$130</f>
        <v>43680</v>
      </c>
      <c r="P130" s="133">
        <f>I130*$K$130</f>
        <v>37440</v>
      </c>
      <c r="Q130" s="89">
        <f t="shared" si="32"/>
        <v>36288</v>
      </c>
      <c r="R130" s="89">
        <f t="shared" si="49"/>
        <v>-7392</v>
      </c>
      <c r="S130" s="463">
        <f>+X130/N130</f>
        <v>16177.777777777777</v>
      </c>
      <c r="T130" s="463">
        <f t="shared" si="50"/>
        <v>-2737.7777777777774</v>
      </c>
      <c r="U130" s="460"/>
      <c r="V130" s="460"/>
      <c r="W130" s="460">
        <v>0</v>
      </c>
      <c r="X130" s="460">
        <v>43680</v>
      </c>
      <c r="Y130" s="489">
        <f t="shared" si="44"/>
        <v>43680</v>
      </c>
      <c r="Z130" s="209">
        <v>0</v>
      </c>
      <c r="AA130" s="209"/>
      <c r="AB130" s="209">
        <f>+'[3]Recalend MINSAL PNUD S3  2015'!$U$46</f>
        <v>43680</v>
      </c>
      <c r="AC130" s="109">
        <f t="shared" si="40"/>
        <v>43680</v>
      </c>
      <c r="AD130" s="109">
        <f t="shared" si="51"/>
        <v>0</v>
      </c>
      <c r="AE130" s="657"/>
      <c r="AF130" s="121"/>
      <c r="AG130" s="121"/>
      <c r="AH130" s="121"/>
      <c r="AI130" s="121"/>
      <c r="AJ130" s="121"/>
      <c r="AK130" s="121"/>
      <c r="AL130" s="121"/>
      <c r="AM130" s="121"/>
      <c r="AN130" s="120"/>
      <c r="AO130" s="98"/>
      <c r="AP130" s="98"/>
      <c r="AQ130" s="98"/>
      <c r="AS130" s="131" t="s">
        <v>168</v>
      </c>
    </row>
    <row r="131" spans="1:43" s="131" customFormat="1" ht="38.25" customHeight="1">
      <c r="A131" s="647"/>
      <c r="B131" s="276"/>
      <c r="C131" s="652" t="s">
        <v>183</v>
      </c>
      <c r="D131" s="150" t="s">
        <v>184</v>
      </c>
      <c r="E131" s="99"/>
      <c r="F131" s="204"/>
      <c r="G131" s="119"/>
      <c r="H131" s="205"/>
      <c r="I131" s="204"/>
      <c r="J131" s="143">
        <v>4453</v>
      </c>
      <c r="K131" s="105"/>
      <c r="L131" s="133"/>
      <c r="M131" s="132"/>
      <c r="N131" s="479">
        <v>11.52</v>
      </c>
      <c r="O131" s="116"/>
      <c r="P131" s="133"/>
      <c r="Q131" s="89"/>
      <c r="R131" s="89"/>
      <c r="S131" s="463">
        <f>+U131/N131</f>
        <v>4452</v>
      </c>
      <c r="T131" s="463">
        <v>0</v>
      </c>
      <c r="U131" s="460">
        <v>51287.04</v>
      </c>
      <c r="V131" s="460"/>
      <c r="W131" s="460">
        <v>0</v>
      </c>
      <c r="X131" s="460">
        <v>0</v>
      </c>
      <c r="Y131" s="489">
        <f t="shared" si="44"/>
        <v>0</v>
      </c>
      <c r="Z131" s="151">
        <f>+W131</f>
        <v>0</v>
      </c>
      <c r="AA131" s="151"/>
      <c r="AB131" s="151"/>
      <c r="AC131" s="109">
        <f t="shared" si="40"/>
        <v>0</v>
      </c>
      <c r="AD131" s="109">
        <f t="shared" si="51"/>
        <v>-51287.04</v>
      </c>
      <c r="AE131" s="657"/>
      <c r="AF131" s="121"/>
      <c r="AG131" s="121"/>
      <c r="AH131" s="121"/>
      <c r="AI131" s="121"/>
      <c r="AJ131" s="121"/>
      <c r="AK131" s="121"/>
      <c r="AL131" s="121"/>
      <c r="AM131" s="121"/>
      <c r="AN131" s="120"/>
      <c r="AO131" s="98"/>
      <c r="AP131" s="98"/>
      <c r="AQ131" s="98"/>
    </row>
    <row r="132" spans="1:45" s="131" customFormat="1" ht="12.75" customHeight="1">
      <c r="A132" s="647"/>
      <c r="B132" s="276"/>
      <c r="C132" s="645"/>
      <c r="D132" s="115" t="s">
        <v>273</v>
      </c>
      <c r="E132" s="115" t="s">
        <v>185</v>
      </c>
      <c r="F132" s="122">
        <f>160*5</f>
        <v>800</v>
      </c>
      <c r="G132" s="123"/>
      <c r="H132" s="205">
        <f>140*5</f>
        <v>700</v>
      </c>
      <c r="I132" s="204">
        <f>120*5</f>
        <v>600</v>
      </c>
      <c r="J132" s="143">
        <f t="shared" si="52"/>
        <v>700</v>
      </c>
      <c r="K132" s="105">
        <v>8</v>
      </c>
      <c r="L132" s="133">
        <f>PRODUCT(F132,K132)</f>
        <v>6400</v>
      </c>
      <c r="M132" s="132"/>
      <c r="N132" s="479">
        <f>+'[2]Plan compras anio 1 vs gastos'!K119</f>
        <v>7.6</v>
      </c>
      <c r="O132" s="116">
        <f>PRODUCT(H132,K132)</f>
        <v>5600</v>
      </c>
      <c r="P132" s="133">
        <f>PRODUCT(I132,K132)</f>
        <v>4800</v>
      </c>
      <c r="Q132" s="89">
        <f t="shared" si="32"/>
        <v>5320</v>
      </c>
      <c r="R132" s="89">
        <f aca="true" t="shared" si="53" ref="R132:R141">Q132-O132</f>
        <v>-280</v>
      </c>
      <c r="S132" s="463">
        <v>0</v>
      </c>
      <c r="T132" s="463">
        <v>0</v>
      </c>
      <c r="U132" s="460"/>
      <c r="V132" s="460"/>
      <c r="W132" s="460">
        <v>0</v>
      </c>
      <c r="X132" s="460"/>
      <c r="Y132" s="489">
        <f t="shared" si="44"/>
        <v>0</v>
      </c>
      <c r="Z132" s="151">
        <f>+W132</f>
        <v>0</v>
      </c>
      <c r="AA132" s="151"/>
      <c r="AB132" s="151"/>
      <c r="AC132" s="109">
        <f t="shared" si="40"/>
        <v>0</v>
      </c>
      <c r="AD132" s="109">
        <f t="shared" si="51"/>
        <v>5600</v>
      </c>
      <c r="AE132" s="657"/>
      <c r="AF132" s="121"/>
      <c r="AG132" s="121"/>
      <c r="AH132" s="121"/>
      <c r="AI132" s="121"/>
      <c r="AJ132" s="121"/>
      <c r="AK132" s="121"/>
      <c r="AL132" s="121"/>
      <c r="AM132" s="121"/>
      <c r="AN132" s="120"/>
      <c r="AO132" s="98"/>
      <c r="AP132" s="98"/>
      <c r="AQ132" s="98"/>
      <c r="AS132" s="131" t="s">
        <v>186</v>
      </c>
    </row>
    <row r="133" spans="1:45" s="131" customFormat="1" ht="14.25">
      <c r="A133" s="647"/>
      <c r="B133" s="276"/>
      <c r="C133" s="645"/>
      <c r="D133" s="115" t="s">
        <v>274</v>
      </c>
      <c r="E133" s="115" t="s">
        <v>185</v>
      </c>
      <c r="F133" s="122">
        <f>160*5</f>
        <v>800</v>
      </c>
      <c r="G133" s="123"/>
      <c r="H133" s="205">
        <f>140*5</f>
        <v>700</v>
      </c>
      <c r="I133" s="204">
        <f>120*5</f>
        <v>600</v>
      </c>
      <c r="J133" s="143">
        <f t="shared" si="52"/>
        <v>700</v>
      </c>
      <c r="K133" s="105">
        <v>60.8</v>
      </c>
      <c r="L133" s="133">
        <f>PRODUCT(F133,K133)</f>
        <v>48640</v>
      </c>
      <c r="M133" s="132"/>
      <c r="N133" s="479">
        <f>+'[2]Plan compras anio 1 vs gastos'!K120</f>
        <v>62.04</v>
      </c>
      <c r="O133" s="116">
        <f>PRODUCT(H133,K133)</f>
        <v>42560</v>
      </c>
      <c r="P133" s="133">
        <f>PRODUCT(I133,K133)</f>
        <v>36480</v>
      </c>
      <c r="Q133" s="89">
        <f t="shared" si="32"/>
        <v>43428</v>
      </c>
      <c r="R133" s="89">
        <f t="shared" si="53"/>
        <v>868</v>
      </c>
      <c r="S133" s="463">
        <v>0</v>
      </c>
      <c r="T133" s="463">
        <v>0</v>
      </c>
      <c r="U133" s="460"/>
      <c r="V133" s="460"/>
      <c r="W133" s="460">
        <v>0</v>
      </c>
      <c r="X133" s="460"/>
      <c r="Y133" s="489">
        <f t="shared" si="44"/>
        <v>0</v>
      </c>
      <c r="Z133" s="151">
        <f>+W133</f>
        <v>0</v>
      </c>
      <c r="AA133" s="151"/>
      <c r="AB133" s="151"/>
      <c r="AC133" s="109">
        <f t="shared" si="40"/>
        <v>0</v>
      </c>
      <c r="AD133" s="109">
        <f t="shared" si="51"/>
        <v>42560</v>
      </c>
      <c r="AE133" s="657"/>
      <c r="AF133" s="121"/>
      <c r="AG133" s="121"/>
      <c r="AH133" s="121"/>
      <c r="AI133" s="121"/>
      <c r="AJ133" s="121"/>
      <c r="AK133" s="121"/>
      <c r="AL133" s="121"/>
      <c r="AM133" s="121"/>
      <c r="AN133" s="120"/>
      <c r="AO133" s="98"/>
      <c r="AP133" s="98"/>
      <c r="AQ133" s="98"/>
      <c r="AS133" s="131" t="s">
        <v>186</v>
      </c>
    </row>
    <row r="134" spans="1:45" s="93" customFormat="1" ht="14.25">
      <c r="A134" s="647"/>
      <c r="B134" s="276"/>
      <c r="C134" s="645"/>
      <c r="D134" s="197" t="s">
        <v>275</v>
      </c>
      <c r="E134" s="197" t="s">
        <v>197</v>
      </c>
      <c r="F134" s="142">
        <f>160*2</f>
        <v>320</v>
      </c>
      <c r="G134" s="143"/>
      <c r="H134" s="144">
        <f>2*140</f>
        <v>280</v>
      </c>
      <c r="I134" s="142">
        <f>2*120</f>
        <v>240</v>
      </c>
      <c r="J134" s="143">
        <f t="shared" si="52"/>
        <v>280</v>
      </c>
      <c r="K134" s="210">
        <v>10</v>
      </c>
      <c r="L134" s="139">
        <f>F134*K134</f>
        <v>3200</v>
      </c>
      <c r="M134" s="141"/>
      <c r="N134" s="479">
        <f>+'[2]Plan compras anio 1 vs gastos'!K121</f>
        <v>55</v>
      </c>
      <c r="O134" s="116">
        <f>H134*K134</f>
        <v>2800</v>
      </c>
      <c r="P134" s="139">
        <f>I134*K134</f>
        <v>2400</v>
      </c>
      <c r="Q134" s="89">
        <f t="shared" si="32"/>
        <v>15400</v>
      </c>
      <c r="R134" s="89">
        <f t="shared" si="53"/>
        <v>12600</v>
      </c>
      <c r="S134" s="463">
        <v>0</v>
      </c>
      <c r="T134" s="463">
        <v>0</v>
      </c>
      <c r="U134" s="460"/>
      <c r="V134" s="460"/>
      <c r="W134" s="460">
        <v>0</v>
      </c>
      <c r="X134" s="460"/>
      <c r="Y134" s="489">
        <f t="shared" si="44"/>
        <v>0</v>
      </c>
      <c r="Z134" s="151">
        <f>+W134</f>
        <v>0</v>
      </c>
      <c r="AA134" s="151"/>
      <c r="AB134" s="151"/>
      <c r="AC134" s="109">
        <f t="shared" si="40"/>
        <v>0</v>
      </c>
      <c r="AD134" s="109">
        <f t="shared" si="51"/>
        <v>2800</v>
      </c>
      <c r="AE134" s="657"/>
      <c r="AF134" s="131"/>
      <c r="AG134" s="131"/>
      <c r="AH134" s="131"/>
      <c r="AI134" s="131"/>
      <c r="AJ134" s="131"/>
      <c r="AK134" s="131"/>
      <c r="AL134" s="131"/>
      <c r="AM134" s="131"/>
      <c r="AN134" s="131"/>
      <c r="AS134" s="131" t="s">
        <v>186</v>
      </c>
    </row>
    <row r="135" spans="1:45" s="93" customFormat="1" ht="14.25">
      <c r="A135" s="647"/>
      <c r="B135" s="276"/>
      <c r="C135" s="645"/>
      <c r="D135" s="182" t="s">
        <v>276</v>
      </c>
      <c r="E135" s="182" t="s">
        <v>277</v>
      </c>
      <c r="F135" s="211">
        <v>160</v>
      </c>
      <c r="G135" s="212"/>
      <c r="H135" s="213">
        <v>140</v>
      </c>
      <c r="I135" s="211">
        <v>120</v>
      </c>
      <c r="J135" s="143">
        <f t="shared" si="52"/>
        <v>140</v>
      </c>
      <c r="K135" s="214">
        <v>2.4</v>
      </c>
      <c r="L135" s="133">
        <f>PRODUCT(F135,K135)</f>
        <v>384</v>
      </c>
      <c r="M135" s="132"/>
      <c r="N135" s="479">
        <f>+'[2]Plan compras anio 1 vs gastos'!K122</f>
        <v>2.8</v>
      </c>
      <c r="O135" s="116">
        <f>PRODUCT(H135,K135)</f>
        <v>336</v>
      </c>
      <c r="P135" s="215">
        <f>PRODUCT(I135,K135)</f>
        <v>288</v>
      </c>
      <c r="Q135" s="89">
        <f t="shared" si="32"/>
        <v>392</v>
      </c>
      <c r="R135" s="89">
        <f t="shared" si="53"/>
        <v>56</v>
      </c>
      <c r="S135" s="463">
        <v>0</v>
      </c>
      <c r="T135" s="463">
        <v>0</v>
      </c>
      <c r="U135" s="460"/>
      <c r="V135" s="497"/>
      <c r="W135" s="460">
        <v>0</v>
      </c>
      <c r="X135" s="460"/>
      <c r="Y135" s="489">
        <f t="shared" si="44"/>
        <v>0</v>
      </c>
      <c r="Z135" s="151">
        <f>+W135</f>
        <v>0</v>
      </c>
      <c r="AA135" s="151"/>
      <c r="AB135" s="151"/>
      <c r="AC135" s="109">
        <f t="shared" si="40"/>
        <v>0</v>
      </c>
      <c r="AD135" s="109">
        <f t="shared" si="51"/>
        <v>336</v>
      </c>
      <c r="AE135" s="657"/>
      <c r="AF135" s="131"/>
      <c r="AG135" s="131"/>
      <c r="AH135" s="131"/>
      <c r="AI135" s="131"/>
      <c r="AJ135" s="131"/>
      <c r="AK135" s="131"/>
      <c r="AL135" s="131"/>
      <c r="AM135" s="131"/>
      <c r="AN135" s="131"/>
      <c r="AS135" s="131" t="s">
        <v>186</v>
      </c>
    </row>
    <row r="136" spans="1:45" s="140" customFormat="1" ht="38.25" customHeight="1">
      <c r="A136" s="647"/>
      <c r="B136" s="276"/>
      <c r="C136" s="645"/>
      <c r="D136" s="216" t="s">
        <v>278</v>
      </c>
      <c r="E136" s="217" t="s">
        <v>170</v>
      </c>
      <c r="F136" s="142">
        <v>38</v>
      </c>
      <c r="G136" s="143"/>
      <c r="H136" s="200">
        <v>50</v>
      </c>
      <c r="I136" s="198">
        <v>0</v>
      </c>
      <c r="J136" s="142">
        <v>0</v>
      </c>
      <c r="K136" s="152">
        <v>70</v>
      </c>
      <c r="L136" s="133">
        <f aca="true" t="shared" si="54" ref="L136:L141">F136*K136</f>
        <v>2660</v>
      </c>
      <c r="M136" s="132"/>
      <c r="N136" s="483">
        <v>20</v>
      </c>
      <c r="O136" s="116">
        <v>0</v>
      </c>
      <c r="P136" s="133">
        <v>0</v>
      </c>
      <c r="Q136" s="89">
        <f t="shared" si="32"/>
        <v>0</v>
      </c>
      <c r="R136" s="89">
        <f t="shared" si="53"/>
        <v>0</v>
      </c>
      <c r="S136" s="506">
        <v>50</v>
      </c>
      <c r="T136" s="463">
        <f t="shared" si="50"/>
        <v>0</v>
      </c>
      <c r="U136" s="460"/>
      <c r="V136" s="460"/>
      <c r="W136" s="508">
        <f>+H136*N136</f>
        <v>1000</v>
      </c>
      <c r="X136" s="460"/>
      <c r="Y136" s="489">
        <f t="shared" si="44"/>
        <v>1000</v>
      </c>
      <c r="Z136" s="151">
        <v>0</v>
      </c>
      <c r="AA136" s="151"/>
      <c r="AB136" s="151">
        <f>+Y136</f>
        <v>1000</v>
      </c>
      <c r="AC136" s="109">
        <f t="shared" si="40"/>
        <v>1000</v>
      </c>
      <c r="AD136" s="109">
        <f t="shared" si="51"/>
        <v>0</v>
      </c>
      <c r="AE136" s="657"/>
      <c r="AF136" s="129"/>
      <c r="AG136" s="129"/>
      <c r="AH136" s="129"/>
      <c r="AI136" s="129"/>
      <c r="AJ136" s="129"/>
      <c r="AK136" s="129"/>
      <c r="AL136" s="129"/>
      <c r="AM136" s="129"/>
      <c r="AN136" s="129"/>
      <c r="AS136" s="140" t="s">
        <v>168</v>
      </c>
    </row>
    <row r="137" spans="1:45" s="140" customFormat="1" ht="14.25">
      <c r="A137" s="647"/>
      <c r="B137" s="276"/>
      <c r="C137" s="100" t="s">
        <v>192</v>
      </c>
      <c r="D137" s="216" t="s">
        <v>279</v>
      </c>
      <c r="E137" s="217" t="s">
        <v>170</v>
      </c>
      <c r="F137" s="142">
        <v>40</v>
      </c>
      <c r="G137" s="143"/>
      <c r="H137" s="200">
        <v>50</v>
      </c>
      <c r="I137" s="198">
        <v>0</v>
      </c>
      <c r="J137" s="142">
        <v>40</v>
      </c>
      <c r="K137" s="152">
        <v>200</v>
      </c>
      <c r="L137" s="133">
        <f t="shared" si="54"/>
        <v>8000</v>
      </c>
      <c r="M137" s="132"/>
      <c r="N137" s="483">
        <f>+W137/S137</f>
        <v>190</v>
      </c>
      <c r="O137" s="116">
        <v>0</v>
      </c>
      <c r="P137" s="133">
        <v>0</v>
      </c>
      <c r="Q137" s="89">
        <v>8000</v>
      </c>
      <c r="R137" s="89">
        <f t="shared" si="53"/>
        <v>8000</v>
      </c>
      <c r="S137" s="463">
        <v>50</v>
      </c>
      <c r="T137" s="463">
        <v>0</v>
      </c>
      <c r="U137" s="460"/>
      <c r="V137" s="460"/>
      <c r="W137" s="492">
        <f>8000+1500</f>
        <v>9500</v>
      </c>
      <c r="X137" s="492"/>
      <c r="Y137" s="489">
        <f t="shared" si="44"/>
        <v>9500</v>
      </c>
      <c r="Z137" s="90"/>
      <c r="AA137" s="90"/>
      <c r="AB137" s="90">
        <f>+W137</f>
        <v>9500</v>
      </c>
      <c r="AC137" s="109">
        <f t="shared" si="40"/>
        <v>9500</v>
      </c>
      <c r="AD137" s="109">
        <f t="shared" si="51"/>
        <v>0</v>
      </c>
      <c r="AE137" s="657"/>
      <c r="AF137" s="129"/>
      <c r="AG137" s="129"/>
      <c r="AH137" s="129"/>
      <c r="AI137" s="129"/>
      <c r="AJ137" s="129"/>
      <c r="AK137" s="129"/>
      <c r="AL137" s="129"/>
      <c r="AM137" s="129"/>
      <c r="AN137" s="129"/>
      <c r="AS137" s="140" t="s">
        <v>168</v>
      </c>
    </row>
    <row r="138" spans="1:45" s="140" customFormat="1" ht="14.25">
      <c r="A138" s="647"/>
      <c r="B138" s="276"/>
      <c r="C138" s="645" t="s">
        <v>156</v>
      </c>
      <c r="D138" s="216" t="s">
        <v>280</v>
      </c>
      <c r="E138" s="217" t="s">
        <v>170</v>
      </c>
      <c r="F138" s="142">
        <v>120</v>
      </c>
      <c r="G138" s="143"/>
      <c r="H138" s="144">
        <v>120</v>
      </c>
      <c r="I138" s="142">
        <v>120</v>
      </c>
      <c r="J138" s="143">
        <f t="shared" si="52"/>
        <v>120</v>
      </c>
      <c r="K138" s="152">
        <v>5</v>
      </c>
      <c r="L138" s="133">
        <f t="shared" si="54"/>
        <v>600</v>
      </c>
      <c r="M138" s="132"/>
      <c r="N138" s="479">
        <v>5</v>
      </c>
      <c r="O138" s="116">
        <f>H138*K138</f>
        <v>600</v>
      </c>
      <c r="P138" s="133">
        <f>I138*K138</f>
        <v>600</v>
      </c>
      <c r="Q138" s="89">
        <f t="shared" si="32"/>
        <v>600</v>
      </c>
      <c r="R138" s="89">
        <f t="shared" si="53"/>
        <v>0</v>
      </c>
      <c r="S138" s="463">
        <f>+X138/N138</f>
        <v>120</v>
      </c>
      <c r="T138" s="463">
        <f t="shared" si="50"/>
        <v>0</v>
      </c>
      <c r="U138" s="460"/>
      <c r="V138" s="460"/>
      <c r="W138" s="460">
        <v>0</v>
      </c>
      <c r="X138" s="460">
        <v>600</v>
      </c>
      <c r="Y138" s="489">
        <f t="shared" si="44"/>
        <v>600</v>
      </c>
      <c r="Z138" s="209">
        <v>0</v>
      </c>
      <c r="AA138" s="209"/>
      <c r="AB138" s="209">
        <f>+'[3]Recalend MINSAL PNUD S3  2015'!$U$45</f>
        <v>600</v>
      </c>
      <c r="AC138" s="109">
        <f t="shared" si="40"/>
        <v>600</v>
      </c>
      <c r="AD138" s="109">
        <f t="shared" si="51"/>
        <v>0</v>
      </c>
      <c r="AE138" s="657"/>
      <c r="AF138" s="129"/>
      <c r="AG138" s="129"/>
      <c r="AH138" s="129"/>
      <c r="AI138" s="129"/>
      <c r="AJ138" s="129"/>
      <c r="AK138" s="129"/>
      <c r="AL138" s="129"/>
      <c r="AM138" s="129"/>
      <c r="AN138" s="129"/>
      <c r="AS138" s="140" t="s">
        <v>168</v>
      </c>
    </row>
    <row r="139" spans="1:45" s="140" customFormat="1" ht="14.25">
      <c r="A139" s="647"/>
      <c r="B139" s="276"/>
      <c r="C139" s="645"/>
      <c r="D139" s="216" t="s">
        <v>281</v>
      </c>
      <c r="E139" s="217" t="s">
        <v>170</v>
      </c>
      <c r="F139" s="142">
        <v>40</v>
      </c>
      <c r="G139" s="143"/>
      <c r="H139" s="218">
        <v>10</v>
      </c>
      <c r="I139" s="219">
        <v>0</v>
      </c>
      <c r="J139" s="143">
        <f t="shared" si="52"/>
        <v>10</v>
      </c>
      <c r="K139" s="152">
        <v>15</v>
      </c>
      <c r="L139" s="133">
        <f t="shared" si="54"/>
        <v>600</v>
      </c>
      <c r="M139" s="132"/>
      <c r="N139" s="479">
        <f>+'[2]Plan compras anio 1 vs gastos'!K126</f>
        <v>15.5</v>
      </c>
      <c r="O139" s="116">
        <v>0</v>
      </c>
      <c r="P139" s="133">
        <v>0</v>
      </c>
      <c r="Q139" s="89">
        <f t="shared" si="32"/>
        <v>155</v>
      </c>
      <c r="R139" s="89">
        <f t="shared" si="53"/>
        <v>155</v>
      </c>
      <c r="S139" s="506">
        <v>10</v>
      </c>
      <c r="T139" s="463">
        <f t="shared" si="50"/>
        <v>0</v>
      </c>
      <c r="U139" s="460"/>
      <c r="V139" s="460"/>
      <c r="W139" s="507">
        <f>+S139*N139</f>
        <v>155</v>
      </c>
      <c r="X139" s="460"/>
      <c r="Y139" s="489">
        <f t="shared" si="44"/>
        <v>155</v>
      </c>
      <c r="Z139" s="90">
        <v>0</v>
      </c>
      <c r="AA139" s="90"/>
      <c r="AB139" s="90">
        <f>+Y139</f>
        <v>155</v>
      </c>
      <c r="AC139" s="109">
        <f t="shared" si="40"/>
        <v>155</v>
      </c>
      <c r="AD139" s="109">
        <f t="shared" si="51"/>
        <v>0</v>
      </c>
      <c r="AE139" s="657"/>
      <c r="AF139" s="129"/>
      <c r="AG139" s="129"/>
      <c r="AH139" s="129"/>
      <c r="AI139" s="129"/>
      <c r="AJ139" s="129"/>
      <c r="AK139" s="129"/>
      <c r="AL139" s="129"/>
      <c r="AM139" s="129"/>
      <c r="AN139" s="129"/>
      <c r="AS139" s="140" t="s">
        <v>168</v>
      </c>
    </row>
    <row r="140" spans="1:45" s="140" customFormat="1" ht="14.25">
      <c r="A140" s="647"/>
      <c r="B140" s="276"/>
      <c r="C140" s="645"/>
      <c r="D140" s="216" t="s">
        <v>282</v>
      </c>
      <c r="E140" s="217" t="s">
        <v>170</v>
      </c>
      <c r="F140" s="142">
        <v>40</v>
      </c>
      <c r="G140" s="143"/>
      <c r="H140" s="218">
        <v>0</v>
      </c>
      <c r="I140" s="219">
        <v>0</v>
      </c>
      <c r="J140" s="143">
        <f t="shared" si="52"/>
        <v>0</v>
      </c>
      <c r="K140" s="152">
        <v>475</v>
      </c>
      <c r="L140" s="133">
        <f t="shared" si="54"/>
        <v>19000</v>
      </c>
      <c r="M140" s="132"/>
      <c r="N140" s="479">
        <f>+'[2]Plan compras anio 1 vs gastos'!K127</f>
        <v>158</v>
      </c>
      <c r="O140" s="116">
        <v>0</v>
      </c>
      <c r="P140" s="133">
        <v>0</v>
      </c>
      <c r="Q140" s="89">
        <f t="shared" si="32"/>
        <v>0</v>
      </c>
      <c r="R140" s="89">
        <f t="shared" si="53"/>
        <v>0</v>
      </c>
      <c r="S140" s="460"/>
      <c r="T140" s="463">
        <f t="shared" si="50"/>
        <v>0</v>
      </c>
      <c r="U140" s="460"/>
      <c r="V140" s="460"/>
      <c r="W140" s="460">
        <f>+O140-V140-U140</f>
        <v>0</v>
      </c>
      <c r="X140" s="460"/>
      <c r="Y140" s="489">
        <f t="shared" si="44"/>
        <v>0</v>
      </c>
      <c r="Z140" s="90"/>
      <c r="AA140" s="90"/>
      <c r="AB140" s="90"/>
      <c r="AC140" s="109">
        <f t="shared" si="40"/>
        <v>0</v>
      </c>
      <c r="AD140" s="109">
        <f t="shared" si="51"/>
        <v>0</v>
      </c>
      <c r="AE140" s="657"/>
      <c r="AF140" s="129"/>
      <c r="AG140" s="129"/>
      <c r="AH140" s="129"/>
      <c r="AI140" s="129"/>
      <c r="AJ140" s="129"/>
      <c r="AK140" s="129"/>
      <c r="AL140" s="129"/>
      <c r="AM140" s="129"/>
      <c r="AN140" s="129"/>
      <c r="AS140" s="140" t="s">
        <v>168</v>
      </c>
    </row>
    <row r="141" spans="1:45" s="140" customFormat="1" ht="27" customHeight="1">
      <c r="A141" s="647"/>
      <c r="B141" s="276"/>
      <c r="C141" s="645"/>
      <c r="D141" s="134" t="s">
        <v>283</v>
      </c>
      <c r="E141" s="217" t="s">
        <v>170</v>
      </c>
      <c r="F141" s="142">
        <v>12</v>
      </c>
      <c r="G141" s="143"/>
      <c r="H141" s="218">
        <v>0</v>
      </c>
      <c r="I141" s="219">
        <v>0</v>
      </c>
      <c r="J141" s="143">
        <f t="shared" si="52"/>
        <v>0</v>
      </c>
      <c r="K141" s="152">
        <v>3200</v>
      </c>
      <c r="L141" s="133">
        <f t="shared" si="54"/>
        <v>38400</v>
      </c>
      <c r="M141" s="132"/>
      <c r="N141" s="479">
        <f>+'[2]Plan compras anio 1 vs gastos'!K128</f>
        <v>2695</v>
      </c>
      <c r="O141" s="116">
        <v>0</v>
      </c>
      <c r="P141" s="133">
        <v>0</v>
      </c>
      <c r="Q141" s="89">
        <f t="shared" si="32"/>
        <v>0</v>
      </c>
      <c r="R141" s="89">
        <f t="shared" si="53"/>
        <v>0</v>
      </c>
      <c r="S141" s="460"/>
      <c r="T141" s="463">
        <f t="shared" si="50"/>
        <v>0</v>
      </c>
      <c r="U141" s="460"/>
      <c r="V141" s="460"/>
      <c r="W141" s="460">
        <f>+O141-V141-U141</f>
        <v>0</v>
      </c>
      <c r="X141" s="460"/>
      <c r="Y141" s="489">
        <f t="shared" si="44"/>
        <v>0</v>
      </c>
      <c r="Z141" s="90"/>
      <c r="AA141" s="90"/>
      <c r="AB141" s="90"/>
      <c r="AC141" s="109">
        <f t="shared" si="40"/>
        <v>0</v>
      </c>
      <c r="AD141" s="109">
        <f t="shared" si="51"/>
        <v>0</v>
      </c>
      <c r="AE141" s="657"/>
      <c r="AF141" s="129"/>
      <c r="AG141" s="129"/>
      <c r="AH141" s="129"/>
      <c r="AI141" s="129"/>
      <c r="AJ141" s="129"/>
      <c r="AK141" s="129"/>
      <c r="AL141" s="129"/>
      <c r="AM141" s="129"/>
      <c r="AN141" s="129"/>
      <c r="AS141" s="140" t="s">
        <v>168</v>
      </c>
    </row>
    <row r="142" spans="1:40" s="93" customFormat="1" ht="12.75">
      <c r="A142" s="647"/>
      <c r="B142" s="262" t="s">
        <v>315</v>
      </c>
      <c r="C142" s="295"/>
      <c r="D142" s="296"/>
      <c r="E142" s="297"/>
      <c r="F142" s="267"/>
      <c r="G142" s="298"/>
      <c r="H142" s="267"/>
      <c r="I142" s="267"/>
      <c r="J142" s="282">
        <f t="shared" si="52"/>
        <v>0</v>
      </c>
      <c r="K142" s="269"/>
      <c r="L142" s="269">
        <f>SUM(L125:L141)</f>
        <v>267017.2568888889</v>
      </c>
      <c r="M142" s="270"/>
      <c r="N142" s="477"/>
      <c r="O142" s="269">
        <f aca="true" t="shared" si="55" ref="O142:Y142">SUM(O125:O141)</f>
        <v>184030.86479999998</v>
      </c>
      <c r="P142" s="269">
        <f t="shared" si="55"/>
        <v>168277.5985777778</v>
      </c>
      <c r="Q142" s="269">
        <f t="shared" si="55"/>
        <v>216593.79587294825</v>
      </c>
      <c r="R142" s="269">
        <f t="shared" si="55"/>
        <v>32562.931072948253</v>
      </c>
      <c r="S142" s="466"/>
      <c r="T142" s="466"/>
      <c r="U142" s="466">
        <f t="shared" si="55"/>
        <v>51287.04</v>
      </c>
      <c r="V142" s="466">
        <f t="shared" si="55"/>
        <v>78214.62</v>
      </c>
      <c r="W142" s="466">
        <f>SUM(W125:W141)</f>
        <v>10655</v>
      </c>
      <c r="X142" s="466">
        <f>SUM(X125:X141)</f>
        <v>54780</v>
      </c>
      <c r="Y142" s="466">
        <f t="shared" si="55"/>
        <v>65435</v>
      </c>
      <c r="Z142" s="269">
        <f>SUM(Z125:Z141)</f>
        <v>0</v>
      </c>
      <c r="AA142" s="269">
        <f>SUM(AA125:AA141)</f>
        <v>0</v>
      </c>
      <c r="AB142" s="269">
        <f>SUM(AB125:AB141)</f>
        <v>65435</v>
      </c>
      <c r="AC142" s="270">
        <f t="shared" si="40"/>
        <v>65435</v>
      </c>
      <c r="AD142" s="270">
        <f>SUM(AD125:AD141)</f>
        <v>-250.79520000000048</v>
      </c>
      <c r="AE142" s="657"/>
      <c r="AF142" s="131"/>
      <c r="AG142" s="131"/>
      <c r="AH142" s="131"/>
      <c r="AI142" s="131"/>
      <c r="AJ142" s="131"/>
      <c r="AK142" s="131"/>
      <c r="AL142" s="131"/>
      <c r="AM142" s="131"/>
      <c r="AN142" s="131"/>
    </row>
    <row r="143" spans="14:40" s="93" customFormat="1" ht="12.75">
      <c r="N143" s="482"/>
      <c r="S143" s="469"/>
      <c r="T143" s="469"/>
      <c r="U143" s="469"/>
      <c r="V143" s="469"/>
      <c r="W143" s="469"/>
      <c r="X143" s="469"/>
      <c r="Y143" s="469"/>
      <c r="AE143" s="657"/>
      <c r="AF143" s="131"/>
      <c r="AG143" s="131"/>
      <c r="AH143" s="131"/>
      <c r="AI143" s="131"/>
      <c r="AJ143" s="131"/>
      <c r="AK143" s="131"/>
      <c r="AL143" s="131"/>
      <c r="AM143" s="131"/>
      <c r="AN143" s="131"/>
    </row>
    <row r="144" spans="1:45" s="140" customFormat="1" ht="12.75" customHeight="1">
      <c r="A144" s="646" t="s">
        <v>284</v>
      </c>
      <c r="B144" s="643" t="s">
        <v>285</v>
      </c>
      <c r="C144" s="645" t="s">
        <v>192</v>
      </c>
      <c r="D144" s="172" t="s">
        <v>286</v>
      </c>
      <c r="E144" s="172" t="s">
        <v>158</v>
      </c>
      <c r="F144" s="172">
        <v>150</v>
      </c>
      <c r="G144" s="85"/>
      <c r="H144" s="173">
        <v>150</v>
      </c>
      <c r="I144" s="172"/>
      <c r="J144" s="178">
        <v>150</v>
      </c>
      <c r="K144" s="105">
        <v>646</v>
      </c>
      <c r="L144" s="133">
        <f>PRODUCT(F144,K144)</f>
        <v>96900</v>
      </c>
      <c r="M144" s="132"/>
      <c r="N144" s="485">
        <v>1110</v>
      </c>
      <c r="O144" s="116">
        <v>0</v>
      </c>
      <c r="P144" s="133">
        <v>0</v>
      </c>
      <c r="Q144" s="89">
        <f>N144*J144</f>
        <v>166500</v>
      </c>
      <c r="R144" s="89">
        <f>Q144-O144</f>
        <v>166500</v>
      </c>
      <c r="S144" s="463">
        <f>48+48</f>
        <v>96</v>
      </c>
      <c r="T144" s="463">
        <f>+H144-S144</f>
        <v>54</v>
      </c>
      <c r="U144" s="460"/>
      <c r="V144" s="460"/>
      <c r="W144" s="492">
        <f>+S144*N144</f>
        <v>106560</v>
      </c>
      <c r="X144" s="492"/>
      <c r="Y144" s="489">
        <f>+W144+X144</f>
        <v>106560</v>
      </c>
      <c r="Z144" s="90"/>
      <c r="AA144" s="90"/>
      <c r="AB144" s="90">
        <f>+W144</f>
        <v>106560</v>
      </c>
      <c r="AC144" s="109">
        <f t="shared" si="40"/>
        <v>106560</v>
      </c>
      <c r="AD144" s="109">
        <f>+O144+W144-U144-V144-AC144</f>
        <v>0</v>
      </c>
      <c r="AE144" s="657"/>
      <c r="AF144" s="129"/>
      <c r="AG144" s="129"/>
      <c r="AH144" s="129"/>
      <c r="AI144" s="129"/>
      <c r="AJ144" s="129"/>
      <c r="AK144" s="129"/>
      <c r="AL144" s="129"/>
      <c r="AM144" s="129"/>
      <c r="AN144" s="129"/>
      <c r="AS144" s="140" t="s">
        <v>168</v>
      </c>
    </row>
    <row r="145" spans="1:40" s="140" customFormat="1" ht="47.25" customHeight="1">
      <c r="A145" s="646"/>
      <c r="B145" s="643"/>
      <c r="C145" s="645"/>
      <c r="D145" s="172" t="s">
        <v>351</v>
      </c>
      <c r="E145" s="172"/>
      <c r="F145" s="172"/>
      <c r="G145" s="85"/>
      <c r="H145" s="173">
        <v>5500</v>
      </c>
      <c r="I145" s="172"/>
      <c r="J145" s="178"/>
      <c r="K145" s="105"/>
      <c r="L145" s="133"/>
      <c r="M145" s="132"/>
      <c r="N145" s="485">
        <v>0.53</v>
      </c>
      <c r="O145" s="116"/>
      <c r="P145" s="133"/>
      <c r="Q145" s="89"/>
      <c r="R145" s="89"/>
      <c r="S145" s="463">
        <f>+H145</f>
        <v>5500</v>
      </c>
      <c r="T145" s="463"/>
      <c r="U145" s="460"/>
      <c r="V145" s="460"/>
      <c r="W145" s="492">
        <f>+S145*N145</f>
        <v>2915</v>
      </c>
      <c r="X145" s="492"/>
      <c r="Y145" s="489">
        <f>+W145+X145</f>
        <v>2915</v>
      </c>
      <c r="Z145" s="90"/>
      <c r="AA145" s="90"/>
      <c r="AB145" s="90">
        <f>+W145</f>
        <v>2915</v>
      </c>
      <c r="AC145" s="109">
        <f t="shared" si="40"/>
        <v>2915</v>
      </c>
      <c r="AD145" s="109">
        <f>+O145+W145-U145-V145-AC145</f>
        <v>0</v>
      </c>
      <c r="AE145" s="657"/>
      <c r="AF145" s="129"/>
      <c r="AG145" s="129"/>
      <c r="AH145" s="129"/>
      <c r="AI145" s="129"/>
      <c r="AJ145" s="129"/>
      <c r="AK145" s="129"/>
      <c r="AL145" s="129"/>
      <c r="AM145" s="129"/>
      <c r="AN145" s="129"/>
    </row>
    <row r="146" spans="1:40" s="140" customFormat="1" ht="47.25" customHeight="1">
      <c r="A146" s="646"/>
      <c r="B146" s="643"/>
      <c r="C146" s="645"/>
      <c r="D146" s="172" t="s">
        <v>352</v>
      </c>
      <c r="E146" s="172"/>
      <c r="F146" s="172"/>
      <c r="G146" s="85"/>
      <c r="H146" s="173">
        <v>10000</v>
      </c>
      <c r="I146" s="172"/>
      <c r="J146" s="178"/>
      <c r="K146" s="105"/>
      <c r="L146" s="133"/>
      <c r="M146" s="132"/>
      <c r="N146" s="485">
        <v>0.85</v>
      </c>
      <c r="O146" s="116"/>
      <c r="P146" s="133"/>
      <c r="Q146" s="89"/>
      <c r="R146" s="89"/>
      <c r="S146" s="463">
        <f>+H146</f>
        <v>10000</v>
      </c>
      <c r="T146" s="463"/>
      <c r="U146" s="460"/>
      <c r="V146" s="460"/>
      <c r="W146" s="492">
        <f>+S146*N146</f>
        <v>8500</v>
      </c>
      <c r="X146" s="492"/>
      <c r="Y146" s="489">
        <f>+W146+X146</f>
        <v>8500</v>
      </c>
      <c r="Z146" s="90"/>
      <c r="AA146" s="90"/>
      <c r="AB146" s="90">
        <f>+W146</f>
        <v>8500</v>
      </c>
      <c r="AC146" s="109">
        <f t="shared" si="40"/>
        <v>8500</v>
      </c>
      <c r="AD146" s="109">
        <f>+O146+W146-U146-V146-AC146</f>
        <v>0</v>
      </c>
      <c r="AE146" s="657"/>
      <c r="AF146" s="129"/>
      <c r="AG146" s="129"/>
      <c r="AH146" s="129"/>
      <c r="AI146" s="129"/>
      <c r="AJ146" s="129"/>
      <c r="AK146" s="129"/>
      <c r="AL146" s="129"/>
      <c r="AM146" s="129"/>
      <c r="AN146" s="129"/>
    </row>
    <row r="147" spans="1:40" s="140" customFormat="1" ht="47.25" customHeight="1">
      <c r="A147" s="646"/>
      <c r="B147" s="643"/>
      <c r="C147" s="645"/>
      <c r="D147" s="172" t="s">
        <v>353</v>
      </c>
      <c r="E147" s="172"/>
      <c r="F147" s="172"/>
      <c r="G147" s="85"/>
      <c r="H147" s="173">
        <v>6000</v>
      </c>
      <c r="I147" s="172"/>
      <c r="J147" s="178"/>
      <c r="K147" s="105"/>
      <c r="L147" s="133"/>
      <c r="M147" s="132"/>
      <c r="N147" s="485">
        <v>0.19</v>
      </c>
      <c r="O147" s="116"/>
      <c r="P147" s="133"/>
      <c r="Q147" s="89"/>
      <c r="R147" s="89"/>
      <c r="S147" s="463">
        <f>+H147</f>
        <v>6000</v>
      </c>
      <c r="T147" s="463"/>
      <c r="U147" s="460"/>
      <c r="V147" s="460"/>
      <c r="W147" s="492">
        <f>+S147*N147</f>
        <v>1140</v>
      </c>
      <c r="X147" s="492"/>
      <c r="Y147" s="489">
        <f>+W147+X147</f>
        <v>1140</v>
      </c>
      <c r="Z147" s="90"/>
      <c r="AA147" s="90"/>
      <c r="AB147" s="90">
        <f>+W147</f>
        <v>1140</v>
      </c>
      <c r="AC147" s="109">
        <f t="shared" si="40"/>
        <v>1140</v>
      </c>
      <c r="AD147" s="109">
        <f>+O147+W147-U147-V147-AC147</f>
        <v>0</v>
      </c>
      <c r="AE147" s="657"/>
      <c r="AF147" s="129"/>
      <c r="AG147" s="129"/>
      <c r="AH147" s="129"/>
      <c r="AI147" s="129"/>
      <c r="AJ147" s="129"/>
      <c r="AK147" s="129"/>
      <c r="AL147" s="129"/>
      <c r="AM147" s="129"/>
      <c r="AN147" s="129"/>
    </row>
    <row r="148" spans="1:45" s="140" customFormat="1" ht="57" customHeight="1">
      <c r="A148" s="646"/>
      <c r="B148" s="643"/>
      <c r="C148" s="645"/>
      <c r="D148" s="225" t="s">
        <v>288</v>
      </c>
      <c r="E148" s="172" t="s">
        <v>236</v>
      </c>
      <c r="F148" s="220">
        <v>150000</v>
      </c>
      <c r="G148" s="221"/>
      <c r="H148" s="222"/>
      <c r="I148" s="178" t="s">
        <v>287</v>
      </c>
      <c r="J148" s="224">
        <v>150000</v>
      </c>
      <c r="K148" s="105">
        <v>0.14</v>
      </c>
      <c r="L148" s="133">
        <f>PRODUCT(F148,K148)</f>
        <v>21000.000000000004</v>
      </c>
      <c r="M148" s="132"/>
      <c r="N148" s="485">
        <f>+W148/S148</f>
        <v>0.2344688888888889</v>
      </c>
      <c r="O148" s="203">
        <v>0</v>
      </c>
      <c r="P148" s="206">
        <v>0</v>
      </c>
      <c r="Q148" s="89">
        <f>N148*J148</f>
        <v>35170.333333333336</v>
      </c>
      <c r="R148" s="89">
        <f>Q148-O148</f>
        <v>35170.333333333336</v>
      </c>
      <c r="S148" s="463">
        <f>+'Consolidado prod. salud'!F39</f>
        <v>100405.78813337459</v>
      </c>
      <c r="T148" s="463">
        <f>+H148-S148</f>
        <v>-100405.78813337459</v>
      </c>
      <c r="U148" s="460"/>
      <c r="V148" s="496"/>
      <c r="W148" s="498">
        <f>+'Consolidado prod. salud'!G39</f>
        <v>23542.033581645526</v>
      </c>
      <c r="X148" s="498"/>
      <c r="Y148" s="489">
        <f>+W148+X148</f>
        <v>23542.033581645526</v>
      </c>
      <c r="Z148" s="223">
        <f>+'Consolidado prod. salud'!H39</f>
        <v>23480.67448889735</v>
      </c>
      <c r="AA148" s="223">
        <f>+Y148-Z148</f>
        <v>61.35909274817459</v>
      </c>
      <c r="AB148" s="90">
        <v>0</v>
      </c>
      <c r="AC148" s="109">
        <f t="shared" si="40"/>
        <v>23542.033581645526</v>
      </c>
      <c r="AD148" s="109">
        <f>+O148+W148-U148-V148-AC148</f>
        <v>0</v>
      </c>
      <c r="AE148" s="657"/>
      <c r="AF148" s="129"/>
      <c r="AG148" s="129"/>
      <c r="AH148" s="129"/>
      <c r="AI148" s="129"/>
      <c r="AJ148" s="129"/>
      <c r="AK148" s="129"/>
      <c r="AL148" s="129"/>
      <c r="AM148" s="129"/>
      <c r="AN148" s="129"/>
      <c r="AS148" s="140" t="s">
        <v>168</v>
      </c>
    </row>
    <row r="149" spans="1:52" s="93" customFormat="1" ht="12.75">
      <c r="A149" s="646"/>
      <c r="B149" s="262" t="s">
        <v>315</v>
      </c>
      <c r="C149" s="295"/>
      <c r="D149" s="300"/>
      <c r="E149" s="300"/>
      <c r="F149" s="300"/>
      <c r="G149" s="301"/>
      <c r="H149" s="302"/>
      <c r="I149" s="302"/>
      <c r="J149" s="303">
        <v>0</v>
      </c>
      <c r="K149" s="269"/>
      <c r="L149" s="269">
        <f>SUM(L144:L148)</f>
        <v>117900</v>
      </c>
      <c r="M149" s="270"/>
      <c r="N149" s="486">
        <f>SUM(N144:N148)</f>
        <v>1111.8044688888888</v>
      </c>
      <c r="O149" s="299">
        <f>SUM(O144:O148)</f>
        <v>0</v>
      </c>
      <c r="P149" s="299">
        <f>SUM(P144:P148)</f>
        <v>0</v>
      </c>
      <c r="Q149" s="299">
        <f>SUM(Q144:Q148)</f>
        <v>201670.33333333334</v>
      </c>
      <c r="R149" s="299">
        <f>SUM(R144:R148)</f>
        <v>201670.33333333334</v>
      </c>
      <c r="S149" s="470"/>
      <c r="T149" s="470"/>
      <c r="U149" s="470">
        <f>SUM(U144:U148)</f>
        <v>0</v>
      </c>
      <c r="V149" s="470">
        <f aca="true" t="shared" si="56" ref="V149:AB149">SUM(V144:V148)</f>
        <v>0</v>
      </c>
      <c r="W149" s="470">
        <f>SUM(W144:W148)</f>
        <v>142657.03358164552</v>
      </c>
      <c r="X149" s="470">
        <f t="shared" si="56"/>
        <v>0</v>
      </c>
      <c r="Y149" s="470">
        <f t="shared" si="56"/>
        <v>142657.03358164552</v>
      </c>
      <c r="Z149" s="299">
        <f t="shared" si="56"/>
        <v>23480.67448889735</v>
      </c>
      <c r="AA149" s="299">
        <f t="shared" si="56"/>
        <v>61.35909274817459</v>
      </c>
      <c r="AB149" s="299">
        <f t="shared" si="56"/>
        <v>119115</v>
      </c>
      <c r="AC149" s="270">
        <f>+Z149+AA149+AB149</f>
        <v>142657.03358164552</v>
      </c>
      <c r="AD149" s="270">
        <f>SUM(AD144:AD148)</f>
        <v>0</v>
      </c>
      <c r="AE149" s="657"/>
      <c r="AF149" s="131"/>
      <c r="AG149" s="131"/>
      <c r="AH149" s="131"/>
      <c r="AI149" s="131"/>
      <c r="AJ149" s="131"/>
      <c r="AK149" s="131"/>
      <c r="AL149" s="131"/>
      <c r="AM149" s="131"/>
      <c r="AN149" s="131"/>
      <c r="AS149" s="226"/>
      <c r="AT149" s="226"/>
      <c r="AU149" s="226"/>
      <c r="AV149" s="226"/>
      <c r="AX149" s="226"/>
      <c r="AY149" s="226"/>
      <c r="AZ149" s="226"/>
    </row>
    <row r="150" spans="1:52" s="93" customFormat="1" ht="12.75">
      <c r="A150" s="646"/>
      <c r="N150" s="482"/>
      <c r="S150" s="469"/>
      <c r="T150" s="469"/>
      <c r="U150" s="469"/>
      <c r="V150" s="469"/>
      <c r="W150" s="469"/>
      <c r="X150" s="469"/>
      <c r="Y150" s="469"/>
      <c r="AE150" s="227"/>
      <c r="AF150" s="131"/>
      <c r="AG150" s="131"/>
      <c r="AH150" s="131"/>
      <c r="AI150" s="131"/>
      <c r="AJ150" s="131"/>
      <c r="AK150" s="131"/>
      <c r="AL150" s="131"/>
      <c r="AM150" s="131"/>
      <c r="AN150" s="131"/>
      <c r="AS150" s="226"/>
      <c r="AT150" s="226"/>
      <c r="AU150" s="226"/>
      <c r="AV150" s="226"/>
      <c r="AX150" s="226"/>
      <c r="AY150" s="226"/>
      <c r="AZ150" s="226"/>
    </row>
    <row r="151" spans="3:52" ht="14.25">
      <c r="C151" s="91"/>
      <c r="H151" s="129"/>
      <c r="I151" s="129"/>
      <c r="J151" s="129"/>
      <c r="K151" s="304"/>
      <c r="N151" s="487"/>
      <c r="O151" s="305"/>
      <c r="Q151" s="305"/>
      <c r="R151" s="305"/>
      <c r="S151" s="471">
        <v>6</v>
      </c>
      <c r="T151" s="471"/>
      <c r="U151" s="471"/>
      <c r="V151" s="471"/>
      <c r="W151" s="471"/>
      <c r="X151" s="471"/>
      <c r="Y151" s="471"/>
      <c r="Z151" s="305"/>
      <c r="AA151" s="305"/>
      <c r="AB151" s="305"/>
      <c r="AC151" s="306">
        <f t="shared" si="40"/>
        <v>0</v>
      </c>
      <c r="AD151" s="306">
        <f>+O151-V151-U151-AC151</f>
        <v>0</v>
      </c>
      <c r="AE151" s="227"/>
      <c r="AS151" s="228">
        <f>SUMIF(AS11:AS150,"pruebas",O11:O150)</f>
        <v>1249193.5037739133</v>
      </c>
      <c r="AT151" s="229" t="s">
        <v>289</v>
      </c>
      <c r="AU151" s="229"/>
      <c r="AV151" s="229"/>
      <c r="AX151" s="228">
        <f>SUMIF(AS11:AS150,"pruebas",W11:W150)</f>
        <v>0</v>
      </c>
      <c r="AY151" s="229"/>
      <c r="AZ151" s="229"/>
    </row>
    <row r="152" spans="1:52" ht="38.25" customHeight="1">
      <c r="A152" s="309"/>
      <c r="B152" s="309" t="s">
        <v>316</v>
      </c>
      <c r="C152" s="309"/>
      <c r="D152" s="310"/>
      <c r="E152" s="310"/>
      <c r="F152" s="310"/>
      <c r="G152" s="310"/>
      <c r="H152" s="311"/>
      <c r="I152" s="311"/>
      <c r="J152" s="311"/>
      <c r="K152" s="308"/>
      <c r="L152" s="312"/>
      <c r="M152" s="312"/>
      <c r="N152" s="488"/>
      <c r="O152" s="513">
        <f aca="true" t="shared" si="57" ref="O152:T152">+O149+O142+O123+O101+O77+O69+O45+O39+O33+O26+O19+O16+O13</f>
        <v>2838584.283751044</v>
      </c>
      <c r="P152" s="499">
        <f t="shared" si="57"/>
        <v>2476813.858980066</v>
      </c>
      <c r="Q152" s="499">
        <f t="shared" si="57"/>
        <v>3291470.1440951456</v>
      </c>
      <c r="R152" s="499">
        <f t="shared" si="57"/>
        <v>452885.8603441015</v>
      </c>
      <c r="S152" s="499">
        <f t="shared" si="57"/>
        <v>0</v>
      </c>
      <c r="T152" s="499">
        <f t="shared" si="57"/>
        <v>0</v>
      </c>
      <c r="U152" s="499">
        <f aca="true" t="shared" si="58" ref="U152:AD152">+U149+U142+U123+U101+U77+U69+U45+U39+U33+U26+U19+U16+U13</f>
        <v>362760</v>
      </c>
      <c r="V152" s="499">
        <f t="shared" si="58"/>
        <v>1421382.21</v>
      </c>
      <c r="W152" s="499">
        <f t="shared" si="58"/>
        <v>301730.21</v>
      </c>
      <c r="X152" s="499">
        <f t="shared" si="58"/>
        <v>461575.84507890086</v>
      </c>
      <c r="Y152" s="499">
        <f t="shared" si="58"/>
        <v>763306.0550789009</v>
      </c>
      <c r="Z152" s="308">
        <f>+Z149+Z142+Z123+Z101+Z77+Z69+Z45+Z39+Z33+Z26+Z19+Z16+Z13</f>
        <v>40258.700000000004</v>
      </c>
      <c r="AA152" s="308">
        <f t="shared" si="58"/>
        <v>140618.09</v>
      </c>
      <c r="AB152" s="308">
        <f t="shared" si="58"/>
        <v>582429.2650789008</v>
      </c>
      <c r="AC152" s="308">
        <f t="shared" si="58"/>
        <v>763306.0550789009</v>
      </c>
      <c r="AD152" s="308">
        <f t="shared" si="58"/>
        <v>592866.2286721435</v>
      </c>
      <c r="AE152" s="227"/>
      <c r="AS152" s="228">
        <f>SUMIF(AS11:AS150,"No fcticos",O11:O150)</f>
        <v>1023496.0939771314</v>
      </c>
      <c r="AT152" s="229" t="s">
        <v>290</v>
      </c>
      <c r="AU152" s="229"/>
      <c r="AV152" s="229"/>
      <c r="AX152" s="228">
        <f>SUMIF(AS11:AS150,"No fcticos",W11:W150)</f>
        <v>269158.21</v>
      </c>
      <c r="AY152" s="229">
        <f>+'[2]Plan compras anio 1 vs gastos'!G167</f>
        <v>309091.7144444444</v>
      </c>
      <c r="AZ152" s="230">
        <f>+AX152-AY152</f>
        <v>-39933.50444444438</v>
      </c>
    </row>
    <row r="153" spans="3:52" ht="14.25">
      <c r="C153" s="91"/>
      <c r="H153" s="129"/>
      <c r="I153" s="129"/>
      <c r="J153" s="129"/>
      <c r="K153" s="304"/>
      <c r="N153" s="487"/>
      <c r="O153" s="305"/>
      <c r="Q153" s="305"/>
      <c r="R153" s="305"/>
      <c r="S153" s="471"/>
      <c r="T153" s="471"/>
      <c r="U153" s="304"/>
      <c r="V153" s="304"/>
      <c r="W153" s="304"/>
      <c r="X153" s="304"/>
      <c r="Y153" s="304"/>
      <c r="Z153" s="304"/>
      <c r="AA153" s="304"/>
      <c r="AB153" s="304"/>
      <c r="AC153" s="304"/>
      <c r="AD153" s="304"/>
      <c r="AE153" s="171"/>
      <c r="AS153" s="233" t="e">
        <f>+#REF!-O152</f>
        <v>#REF!</v>
      </c>
      <c r="AT153" s="229" t="s">
        <v>293</v>
      </c>
      <c r="AU153" s="229"/>
      <c r="AV153" s="229"/>
      <c r="AX153" s="229"/>
      <c r="AY153" s="229"/>
      <c r="AZ153" s="229"/>
    </row>
    <row r="154" spans="2:52" ht="16.5" hidden="1">
      <c r="B154" s="234" t="s">
        <v>294</v>
      </c>
      <c r="C154" s="235">
        <v>2015</v>
      </c>
      <c r="H154" s="129"/>
      <c r="I154" s="129"/>
      <c r="J154" s="129"/>
      <c r="K154" s="304"/>
      <c r="N154" s="487"/>
      <c r="O154" s="305"/>
      <c r="Q154" s="305"/>
      <c r="R154" s="305"/>
      <c r="S154" s="471"/>
      <c r="T154" s="471"/>
      <c r="U154" s="304">
        <f>+AA161+AB161+AC161</f>
        <v>0</v>
      </c>
      <c r="V154" s="304"/>
      <c r="W154" s="304"/>
      <c r="X154" s="304"/>
      <c r="Y154" s="304"/>
      <c r="Z154" s="304"/>
      <c r="AA154" s="304"/>
      <c r="AB154" s="304"/>
      <c r="AC154" s="304"/>
      <c r="AD154" s="304"/>
      <c r="AE154" s="515"/>
      <c r="AS154" s="236"/>
      <c r="AT154" s="229"/>
      <c r="AU154" s="229"/>
      <c r="AV154" s="229"/>
      <c r="AX154" s="229"/>
      <c r="AY154" s="229"/>
      <c r="AZ154" s="229"/>
    </row>
    <row r="155" spans="2:52" ht="15.75" hidden="1">
      <c r="B155" s="237" t="s">
        <v>295</v>
      </c>
      <c r="C155" s="238">
        <v>541072</v>
      </c>
      <c r="D155" s="237" t="s">
        <v>296</v>
      </c>
      <c r="H155" s="129"/>
      <c r="I155" s="129"/>
      <c r="J155" s="129"/>
      <c r="K155" s="304"/>
      <c r="N155" s="487"/>
      <c r="O155" s="305"/>
      <c r="Q155" s="305"/>
      <c r="R155" s="305"/>
      <c r="S155" s="471"/>
      <c r="T155" s="509">
        <v>2547449</v>
      </c>
      <c r="U155" s="304">
        <f>+U152+V152+W152+X152</f>
        <v>2547448.265078901</v>
      </c>
      <c r="V155" s="304"/>
      <c r="W155" s="304"/>
      <c r="X155" s="304"/>
      <c r="Y155" s="304"/>
      <c r="Z155" s="304"/>
      <c r="AA155" s="304"/>
      <c r="AB155" s="304"/>
      <c r="AC155" s="304"/>
      <c r="AD155" s="304"/>
      <c r="AE155" s="515"/>
      <c r="AS155" s="239">
        <f>+D161</f>
        <v>1249193.503773913</v>
      </c>
      <c r="AT155" s="229"/>
      <c r="AU155" s="229"/>
      <c r="AV155" s="229"/>
      <c r="AX155" s="229"/>
      <c r="AY155" s="229"/>
      <c r="AZ155" s="229"/>
    </row>
    <row r="156" spans="2:52" ht="15" hidden="1">
      <c r="B156" s="240" t="s">
        <v>297</v>
      </c>
      <c r="C156" s="241">
        <v>486600</v>
      </c>
      <c r="D156" s="231">
        <f>+O128+O74+O21+O18+O15+O12</f>
        <v>139033.7316</v>
      </c>
      <c r="H156" s="129"/>
      <c r="I156" s="129"/>
      <c r="J156" s="129"/>
      <c r="K156" s="304"/>
      <c r="N156" s="487"/>
      <c r="O156" s="305"/>
      <c r="Q156" s="305"/>
      <c r="R156" s="305"/>
      <c r="S156" s="471"/>
      <c r="T156" s="509">
        <f>+T155*0.16</f>
        <v>407591.84</v>
      </c>
      <c r="U156" s="304">
        <f>SUM(U154:U155)</f>
        <v>2547448.265078901</v>
      </c>
      <c r="V156" s="304"/>
      <c r="W156" s="304"/>
      <c r="X156" s="304"/>
      <c r="Y156" s="304"/>
      <c r="Z156" s="304"/>
      <c r="AA156" s="304"/>
      <c r="AB156" s="304"/>
      <c r="AC156" s="304"/>
      <c r="AD156" s="304"/>
      <c r="AE156" s="515"/>
      <c r="AS156" s="242"/>
      <c r="AT156" s="236"/>
      <c r="AU156" s="236"/>
      <c r="AV156" s="236"/>
      <c r="AW156" s="243"/>
      <c r="AX156" s="243"/>
      <c r="AY156" s="243"/>
      <c r="AZ156" s="243"/>
    </row>
    <row r="157" spans="2:52" ht="15" hidden="1">
      <c r="B157" s="244" t="s">
        <v>298</v>
      </c>
      <c r="C157" s="245">
        <v>28032</v>
      </c>
      <c r="D157" s="231">
        <f>+O44</f>
        <v>776829.12</v>
      </c>
      <c r="H157" s="129"/>
      <c r="I157" s="129"/>
      <c r="J157" s="129"/>
      <c r="K157" s="304"/>
      <c r="N157" s="487"/>
      <c r="O157" s="305"/>
      <c r="Q157" s="305"/>
      <c r="R157" s="305"/>
      <c r="S157" s="471"/>
      <c r="T157" s="509">
        <f>+T155+T156</f>
        <v>2955040.84</v>
      </c>
      <c r="U157" s="304">
        <f>+V152</f>
        <v>1421382.21</v>
      </c>
      <c r="V157" s="304"/>
      <c r="W157" s="304"/>
      <c r="X157" s="304"/>
      <c r="Y157" s="304"/>
      <c r="Z157" s="304"/>
      <c r="AA157" s="304"/>
      <c r="AB157" s="304"/>
      <c r="AC157" s="304"/>
      <c r="AD157" s="304"/>
      <c r="AE157" s="171"/>
      <c r="AS157" s="232">
        <f>SUMIF(AS11:AS152,"pruebas",Q11:Q152)</f>
        <v>1251068.6695618872</v>
      </c>
      <c r="AT157" s="229" t="s">
        <v>289</v>
      </c>
      <c r="AU157" s="236"/>
      <c r="AV157" s="236"/>
      <c r="AW157" s="243"/>
      <c r="AX157" s="243"/>
      <c r="AY157" s="243"/>
      <c r="AZ157" s="243"/>
    </row>
    <row r="158" spans="2:52" ht="15" customHeight="1" hidden="1">
      <c r="B158" s="246" t="s">
        <v>299</v>
      </c>
      <c r="C158" s="247">
        <v>240</v>
      </c>
      <c r="D158" s="231">
        <f>+O125+O126</f>
        <v>6000</v>
      </c>
      <c r="H158" s="129"/>
      <c r="I158" s="129"/>
      <c r="J158" s="129"/>
      <c r="K158" s="304"/>
      <c r="N158" s="487"/>
      <c r="O158" s="305"/>
      <c r="Q158" s="305"/>
      <c r="R158" s="305"/>
      <c r="S158" s="471"/>
      <c r="T158" s="471"/>
      <c r="U158" s="304">
        <f>+U156+U157</f>
        <v>3968830.475078901</v>
      </c>
      <c r="V158" s="304"/>
      <c r="W158" s="648"/>
      <c r="X158" s="649"/>
      <c r="Y158" s="649"/>
      <c r="Z158" s="649"/>
      <c r="AA158" s="649"/>
      <c r="AB158" s="649"/>
      <c r="AC158" s="649"/>
      <c r="AD158" s="649"/>
      <c r="AE158" s="650"/>
      <c r="AS158" s="232">
        <f>SUMIF(AS11:AS152,"No fcticos",Q11:Q152)</f>
        <v>1456050.312143259</v>
      </c>
      <c r="AT158" s="229" t="s">
        <v>290</v>
      </c>
      <c r="AU158" s="236"/>
      <c r="AV158" s="236"/>
      <c r="AW158" s="243"/>
      <c r="AX158" s="243"/>
      <c r="AY158" s="243"/>
      <c r="AZ158" s="243"/>
    </row>
    <row r="159" spans="2:52" ht="15" hidden="1">
      <c r="B159" s="248" t="s">
        <v>300</v>
      </c>
      <c r="C159" s="249">
        <v>26200</v>
      </c>
      <c r="D159" s="231">
        <f>+O43</f>
        <v>327330.652173913</v>
      </c>
      <c r="H159" s="129"/>
      <c r="I159" s="129"/>
      <c r="J159" s="129"/>
      <c r="K159" s="304"/>
      <c r="N159" s="487"/>
      <c r="O159" s="305"/>
      <c r="Q159" s="305"/>
      <c r="R159" s="305"/>
      <c r="S159" s="471"/>
      <c r="T159" s="471"/>
      <c r="U159" s="304"/>
      <c r="V159" s="304"/>
      <c r="W159" s="516"/>
      <c r="X159" s="353"/>
      <c r="Y159" s="353"/>
      <c r="Z159" s="353"/>
      <c r="AA159" s="353"/>
      <c r="AB159" s="353"/>
      <c r="AC159" s="353"/>
      <c r="AD159" s="353"/>
      <c r="AE159" s="307"/>
      <c r="AS159" s="232">
        <f>SUMIF(AS11:AS152,"ARV",Q11:Q152)</f>
        <v>317592.38</v>
      </c>
      <c r="AT159" s="229" t="s">
        <v>291</v>
      </c>
      <c r="AU159" s="236"/>
      <c r="AV159" s="236"/>
      <c r="AW159" s="243"/>
      <c r="AX159" s="243"/>
      <c r="AY159" s="243"/>
      <c r="AZ159" s="243"/>
    </row>
    <row r="160" spans="3:52" ht="15" hidden="1">
      <c r="C160" s="91"/>
      <c r="H160" s="129"/>
      <c r="I160" s="129"/>
      <c r="J160" s="129"/>
      <c r="K160" s="304"/>
      <c r="N160" s="487"/>
      <c r="O160" s="305"/>
      <c r="Q160" s="305"/>
      <c r="R160" s="305"/>
      <c r="S160" s="471"/>
      <c r="T160" s="471"/>
      <c r="U160" s="304"/>
      <c r="V160" s="304"/>
      <c r="W160" s="517"/>
      <c r="X160" s="517"/>
      <c r="Y160" s="517"/>
      <c r="Z160" s="307"/>
      <c r="AA160" s="307"/>
      <c r="AB160" s="307"/>
      <c r="AC160" s="307"/>
      <c r="AD160" s="307"/>
      <c r="AE160" s="307"/>
      <c r="AS160" s="232">
        <f>SUMIF(AS11:AS152,"Mxs",Q11:Q152)</f>
        <v>266758.78238999995</v>
      </c>
      <c r="AT160" s="229" t="s">
        <v>292</v>
      </c>
      <c r="AU160" s="236"/>
      <c r="AV160" s="236"/>
      <c r="AW160" s="243"/>
      <c r="AX160" s="243"/>
      <c r="AY160" s="243"/>
      <c r="AZ160" s="243"/>
    </row>
    <row r="161" spans="2:48" ht="15.75" hidden="1">
      <c r="B161" s="237" t="s">
        <v>301</v>
      </c>
      <c r="C161" s="250">
        <f>+'[5]Consolidado'!$C$8</f>
        <v>2402177.595894961</v>
      </c>
      <c r="D161" s="251">
        <f>SUM(D156:D159)</f>
        <v>1249193.503773913</v>
      </c>
      <c r="H161" s="129"/>
      <c r="I161" s="129"/>
      <c r="J161" s="129"/>
      <c r="K161" s="304"/>
      <c r="N161" s="487"/>
      <c r="O161" s="305"/>
      <c r="Q161" s="305"/>
      <c r="R161" s="305"/>
      <c r="S161" s="471"/>
      <c r="T161" s="471"/>
      <c r="U161" s="304"/>
      <c r="V161" s="304"/>
      <c r="W161" s="518"/>
      <c r="X161" s="518"/>
      <c r="Y161" s="518"/>
      <c r="Z161" s="307"/>
      <c r="AA161" s="307"/>
      <c r="AB161" s="307"/>
      <c r="AC161" s="307"/>
      <c r="AD161" s="307"/>
      <c r="AE161" s="307"/>
      <c r="AS161" s="230">
        <f>SUM(AS157:AS160)</f>
        <v>3291470.1440951456</v>
      </c>
      <c r="AT161" s="229" t="s">
        <v>45</v>
      </c>
      <c r="AU161" s="229"/>
      <c r="AV161" s="229"/>
    </row>
    <row r="162" spans="3:48" ht="14.25" hidden="1">
      <c r="C162" s="91"/>
      <c r="H162" s="129"/>
      <c r="I162" s="129"/>
      <c r="J162" s="129"/>
      <c r="K162" s="304"/>
      <c r="N162" s="487"/>
      <c r="O162" s="305"/>
      <c r="Q162" s="305"/>
      <c r="R162" s="305"/>
      <c r="S162" s="471"/>
      <c r="T162" s="471"/>
      <c r="U162" s="304"/>
      <c r="V162" s="304"/>
      <c r="W162" s="516"/>
      <c r="X162" s="516"/>
      <c r="Y162" s="516"/>
      <c r="Z162" s="307"/>
      <c r="AA162" s="307"/>
      <c r="AB162" s="307"/>
      <c r="AC162" s="307"/>
      <c r="AD162" s="307"/>
      <c r="AE162" s="307"/>
      <c r="AS162" s="252" t="e">
        <f>+#REF!-AS161</f>
        <v>#REF!</v>
      </c>
      <c r="AT162" s="229"/>
      <c r="AU162" s="229"/>
      <c r="AV162" s="229"/>
    </row>
    <row r="163" spans="2:48" ht="15.75" hidden="1">
      <c r="B163" s="237" t="s">
        <v>302</v>
      </c>
      <c r="C163" s="250">
        <f>SUM(C164:C166)</f>
        <v>2083086.5516000001</v>
      </c>
      <c r="H163" s="129"/>
      <c r="I163" s="129"/>
      <c r="J163" s="129"/>
      <c r="K163" s="304"/>
      <c r="N163" s="487"/>
      <c r="O163" s="305"/>
      <c r="Q163" s="305"/>
      <c r="R163" s="305"/>
      <c r="S163" s="471"/>
      <c r="T163" s="471"/>
      <c r="U163" s="304"/>
      <c r="V163" s="304"/>
      <c r="W163" s="516"/>
      <c r="X163" s="516"/>
      <c r="Y163" s="516"/>
      <c r="Z163" s="516"/>
      <c r="AA163" s="516"/>
      <c r="AB163" s="516"/>
      <c r="AC163" s="516"/>
      <c r="AD163" s="516"/>
      <c r="AE163" s="516"/>
      <c r="AS163" s="252"/>
      <c r="AT163" s="229"/>
      <c r="AU163" s="229"/>
      <c r="AV163" s="229"/>
    </row>
    <row r="164" spans="2:48" ht="15" hidden="1">
      <c r="B164" s="253" t="s">
        <v>303</v>
      </c>
      <c r="C164" s="254">
        <v>80492.8</v>
      </c>
      <c r="H164" s="129"/>
      <c r="I164" s="129"/>
      <c r="J164" s="129"/>
      <c r="K164" s="304"/>
      <c r="N164" s="487"/>
      <c r="O164" s="305"/>
      <c r="Q164" s="305"/>
      <c r="R164" s="305"/>
      <c r="S164" s="471"/>
      <c r="T164" s="471"/>
      <c r="U164" s="304"/>
      <c r="V164" s="304"/>
      <c r="W164" s="304"/>
      <c r="X164" s="304"/>
      <c r="Y164" s="304"/>
      <c r="Z164" s="304"/>
      <c r="AA164" s="304"/>
      <c r="AB164" s="304"/>
      <c r="AC164" s="304"/>
      <c r="AD164" s="304"/>
      <c r="AE164" s="171"/>
      <c r="AS164" s="229"/>
      <c r="AT164" s="229"/>
      <c r="AU164" s="229"/>
      <c r="AV164" s="229"/>
    </row>
    <row r="165" spans="2:48" ht="15" hidden="1">
      <c r="B165" s="253" t="s">
        <v>304</v>
      </c>
      <c r="C165" s="254">
        <f>259504+318240+175656.25</f>
        <v>753400.25</v>
      </c>
      <c r="H165" s="129"/>
      <c r="I165" s="129"/>
      <c r="J165" s="129"/>
      <c r="K165" s="304"/>
      <c r="N165" s="487"/>
      <c r="O165" s="305"/>
      <c r="Q165" s="305"/>
      <c r="R165" s="305"/>
      <c r="S165" s="471"/>
      <c r="T165" s="471"/>
      <c r="U165" s="304"/>
      <c r="V165" s="304"/>
      <c r="W165" s="304"/>
      <c r="X165" s="304"/>
      <c r="Y165" s="304"/>
      <c r="Z165" s="304"/>
      <c r="AA165" s="304"/>
      <c r="AB165" s="304"/>
      <c r="AC165" s="304"/>
      <c r="AD165" s="304"/>
      <c r="AE165" s="171"/>
      <c r="AS165" s="229"/>
      <c r="AT165" s="229"/>
      <c r="AU165" s="229"/>
      <c r="AV165" s="229"/>
    </row>
    <row r="166" spans="2:48" ht="15" hidden="1">
      <c r="B166" s="255" t="s">
        <v>305</v>
      </c>
      <c r="C166" s="256">
        <f>139033.7316+776829.12+6000+327330.65</f>
        <v>1249193.5016</v>
      </c>
      <c r="H166" s="129"/>
      <c r="I166" s="129"/>
      <c r="J166" s="129"/>
      <c r="K166" s="304"/>
      <c r="N166" s="487"/>
      <c r="O166" s="305"/>
      <c r="Q166" s="305"/>
      <c r="R166" s="305"/>
      <c r="S166" s="471"/>
      <c r="T166" s="471"/>
      <c r="U166" s="304"/>
      <c r="V166" s="304"/>
      <c r="W166" s="304"/>
      <c r="X166" s="304"/>
      <c r="Y166" s="304"/>
      <c r="Z166" s="304"/>
      <c r="AA166" s="304"/>
      <c r="AB166" s="304"/>
      <c r="AC166" s="304"/>
      <c r="AD166" s="304"/>
      <c r="AE166" s="171"/>
      <c r="AS166" s="229"/>
      <c r="AT166" s="229"/>
      <c r="AU166" s="229"/>
      <c r="AV166" s="229"/>
    </row>
    <row r="167" spans="3:48" ht="14.25" hidden="1">
      <c r="C167" s="91"/>
      <c r="H167" s="129"/>
      <c r="I167" s="129"/>
      <c r="J167" s="129"/>
      <c r="K167" s="304"/>
      <c r="N167" s="487"/>
      <c r="O167" s="305"/>
      <c r="Q167" s="305"/>
      <c r="R167" s="305"/>
      <c r="S167" s="471"/>
      <c r="T167" s="471"/>
      <c r="U167" s="304"/>
      <c r="V167" s="304"/>
      <c r="W167" s="304"/>
      <c r="X167" s="304"/>
      <c r="Y167" s="304"/>
      <c r="Z167" s="304"/>
      <c r="AA167" s="304"/>
      <c r="AB167" s="304"/>
      <c r="AC167" s="304"/>
      <c r="AD167" s="304"/>
      <c r="AE167" s="171"/>
      <c r="AS167" s="229"/>
      <c r="AT167" s="229"/>
      <c r="AU167" s="229"/>
      <c r="AV167" s="229"/>
    </row>
    <row r="168" spans="2:48" ht="15.75" hidden="1">
      <c r="B168" s="237" t="s">
        <v>306</v>
      </c>
      <c r="C168" s="250">
        <f>C163-C161</f>
        <v>-319091.04429496103</v>
      </c>
      <c r="H168" s="129"/>
      <c r="I168" s="129"/>
      <c r="J168" s="129"/>
      <c r="K168" s="304"/>
      <c r="N168" s="487"/>
      <c r="O168" s="305"/>
      <c r="Q168" s="305"/>
      <c r="R168" s="305"/>
      <c r="S168" s="471"/>
      <c r="T168" s="471"/>
      <c r="U168" s="304"/>
      <c r="V168" s="304"/>
      <c r="W168" s="304"/>
      <c r="X168" s="304"/>
      <c r="Y168" s="304"/>
      <c r="Z168" s="304"/>
      <c r="AA168" s="304"/>
      <c r="AB168" s="304"/>
      <c r="AC168" s="304"/>
      <c r="AD168" s="304"/>
      <c r="AE168" s="171"/>
      <c r="AS168" s="229"/>
      <c r="AT168" s="229"/>
      <c r="AU168" s="229"/>
      <c r="AV168" s="229"/>
    </row>
    <row r="169" spans="3:48" ht="14.25" hidden="1">
      <c r="C169" s="91"/>
      <c r="D169" s="91"/>
      <c r="H169" s="129"/>
      <c r="I169" s="129"/>
      <c r="J169" s="129"/>
      <c r="K169" s="304"/>
      <c r="N169" s="487"/>
      <c r="O169" s="305"/>
      <c r="Q169" s="305"/>
      <c r="R169" s="305"/>
      <c r="S169" s="471"/>
      <c r="T169" s="471"/>
      <c r="U169" s="304"/>
      <c r="V169" s="304"/>
      <c r="W169" s="304"/>
      <c r="X169" s="304"/>
      <c r="Y169" s="304"/>
      <c r="Z169" s="304"/>
      <c r="AA169" s="304"/>
      <c r="AB169" s="304"/>
      <c r="AC169" s="304"/>
      <c r="AD169" s="304"/>
      <c r="AE169" s="171"/>
      <c r="AS169" s="229"/>
      <c r="AT169" s="229"/>
      <c r="AU169" s="229"/>
      <c r="AV169" s="229"/>
    </row>
    <row r="170" spans="3:31" ht="14.25" hidden="1">
      <c r="C170" s="91"/>
      <c r="D170" s="91"/>
      <c r="H170" s="129"/>
      <c r="I170" s="129"/>
      <c r="J170" s="129"/>
      <c r="K170" s="304"/>
      <c r="N170" s="487"/>
      <c r="O170" s="305"/>
      <c r="Q170" s="305"/>
      <c r="R170" s="305"/>
      <c r="S170" s="471"/>
      <c r="T170" s="471"/>
      <c r="U170" s="304"/>
      <c r="V170" s="304"/>
      <c r="W170" s="304"/>
      <c r="X170" s="304"/>
      <c r="Y170" s="304"/>
      <c r="Z170" s="304"/>
      <c r="AA170" s="304"/>
      <c r="AB170" s="304"/>
      <c r="AC170" s="304"/>
      <c r="AD170" s="304"/>
      <c r="AE170" s="171"/>
    </row>
    <row r="171" spans="3:31" ht="14.25" hidden="1">
      <c r="C171" s="91"/>
      <c r="D171" s="91"/>
      <c r="H171" s="129"/>
      <c r="I171" s="129"/>
      <c r="J171" s="129"/>
      <c r="K171" s="304"/>
      <c r="N171" s="487"/>
      <c r="O171" s="305"/>
      <c r="Q171" s="305"/>
      <c r="R171" s="305"/>
      <c r="S171" s="471"/>
      <c r="T171" s="471"/>
      <c r="U171" s="304"/>
      <c r="V171" s="304"/>
      <c r="W171" s="304"/>
      <c r="X171" s="304"/>
      <c r="Y171" s="304"/>
      <c r="Z171" s="304"/>
      <c r="AA171" s="304"/>
      <c r="AB171" s="304"/>
      <c r="AC171" s="304"/>
      <c r="AD171" s="304"/>
      <c r="AE171" s="171"/>
    </row>
    <row r="172" spans="1:90" s="82" customFormat="1" ht="14.25" hidden="1">
      <c r="A172" s="91"/>
      <c r="B172" s="91"/>
      <c r="C172" s="91"/>
      <c r="D172" s="91"/>
      <c r="H172" s="129"/>
      <c r="I172" s="129"/>
      <c r="J172" s="129"/>
      <c r="K172" s="304"/>
      <c r="L172" s="87"/>
      <c r="M172" s="87"/>
      <c r="N172" s="487"/>
      <c r="O172" s="305"/>
      <c r="P172" s="87"/>
      <c r="Q172" s="305"/>
      <c r="R172" s="305"/>
      <c r="S172" s="471"/>
      <c r="T172" s="471"/>
      <c r="U172" s="304"/>
      <c r="V172" s="304"/>
      <c r="W172" s="304"/>
      <c r="X172" s="304"/>
      <c r="Y172" s="304"/>
      <c r="Z172" s="304"/>
      <c r="AA172" s="304"/>
      <c r="AB172" s="304"/>
      <c r="AC172" s="304"/>
      <c r="AD172" s="304"/>
      <c r="AE172" s="171"/>
      <c r="AO172" s="91"/>
      <c r="AP172" s="91"/>
      <c r="AQ172" s="91"/>
      <c r="AR172" s="91"/>
      <c r="AS172" s="91"/>
      <c r="AT172" s="91"/>
      <c r="AU172" s="91"/>
      <c r="AV172" s="91"/>
      <c r="AW172" s="91"/>
      <c r="AX172" s="91"/>
      <c r="AY172" s="91"/>
      <c r="AZ172" s="91"/>
      <c r="BA172" s="91"/>
      <c r="BB172" s="91"/>
      <c r="BC172" s="91"/>
      <c r="BD172" s="91"/>
      <c r="BE172" s="91"/>
      <c r="BF172" s="91"/>
      <c r="BG172" s="91"/>
      <c r="BH172" s="91"/>
      <c r="BI172" s="91"/>
      <c r="BJ172" s="91"/>
      <c r="BK172" s="91"/>
      <c r="BL172" s="91"/>
      <c r="BM172" s="91"/>
      <c r="BN172" s="91"/>
      <c r="BO172" s="91"/>
      <c r="BP172" s="91"/>
      <c r="BQ172" s="91"/>
      <c r="BR172" s="91"/>
      <c r="BS172" s="91"/>
      <c r="BT172" s="91"/>
      <c r="BU172" s="91"/>
      <c r="BV172" s="91"/>
      <c r="BW172" s="91"/>
      <c r="BX172" s="91"/>
      <c r="BY172" s="91"/>
      <c r="BZ172" s="91"/>
      <c r="CA172" s="91"/>
      <c r="CB172" s="91"/>
      <c r="CC172" s="91"/>
      <c r="CD172" s="91"/>
      <c r="CE172" s="91"/>
      <c r="CF172" s="91"/>
      <c r="CG172" s="91"/>
      <c r="CH172" s="91"/>
      <c r="CI172" s="91"/>
      <c r="CJ172" s="91"/>
      <c r="CK172" s="91"/>
      <c r="CL172" s="91"/>
    </row>
    <row r="173" spans="1:90" s="82" customFormat="1" ht="14.25" hidden="1">
      <c r="A173" s="91"/>
      <c r="B173" s="91"/>
      <c r="C173" s="91"/>
      <c r="D173" s="91"/>
      <c r="H173" s="129"/>
      <c r="I173" s="129"/>
      <c r="J173" s="129"/>
      <c r="K173" s="304"/>
      <c r="L173" s="87"/>
      <c r="M173" s="87"/>
      <c r="N173" s="487"/>
      <c r="O173" s="305"/>
      <c r="P173" s="87"/>
      <c r="Q173" s="305"/>
      <c r="R173" s="305"/>
      <c r="S173" s="471"/>
      <c r="T173" s="471"/>
      <c r="U173" s="304"/>
      <c r="V173" s="304"/>
      <c r="W173" s="304"/>
      <c r="X173" s="304"/>
      <c r="Y173" s="304"/>
      <c r="Z173" s="304"/>
      <c r="AA173" s="304"/>
      <c r="AB173" s="304"/>
      <c r="AC173" s="304"/>
      <c r="AD173" s="304"/>
      <c r="AE173" s="171"/>
      <c r="AO173" s="91"/>
      <c r="AP173" s="91"/>
      <c r="AQ173" s="91"/>
      <c r="AR173" s="91"/>
      <c r="AS173" s="91"/>
      <c r="AT173" s="91"/>
      <c r="AU173" s="91"/>
      <c r="AV173" s="91"/>
      <c r="AW173" s="91"/>
      <c r="AX173" s="91"/>
      <c r="AY173" s="91"/>
      <c r="AZ173" s="91"/>
      <c r="BA173" s="91"/>
      <c r="BB173" s="91"/>
      <c r="BC173" s="91"/>
      <c r="BD173" s="91"/>
      <c r="BE173" s="91"/>
      <c r="BF173" s="91"/>
      <c r="BG173" s="91"/>
      <c r="BH173" s="91"/>
      <c r="BI173" s="91"/>
      <c r="BJ173" s="91"/>
      <c r="BK173" s="91"/>
      <c r="BL173" s="91"/>
      <c r="BM173" s="91"/>
      <c r="BN173" s="91"/>
      <c r="BO173" s="91"/>
      <c r="BP173" s="91"/>
      <c r="BQ173" s="91"/>
      <c r="BR173" s="91"/>
      <c r="BS173" s="91"/>
      <c r="BT173" s="91"/>
      <c r="BU173" s="91"/>
      <c r="BV173" s="91"/>
      <c r="BW173" s="91"/>
      <c r="BX173" s="91"/>
      <c r="BY173" s="91"/>
      <c r="BZ173" s="91"/>
      <c r="CA173" s="91"/>
      <c r="CB173" s="91"/>
      <c r="CC173" s="91"/>
      <c r="CD173" s="91"/>
      <c r="CE173" s="91"/>
      <c r="CF173" s="91"/>
      <c r="CG173" s="91"/>
      <c r="CH173" s="91"/>
      <c r="CI173" s="91"/>
      <c r="CJ173" s="91"/>
      <c r="CK173" s="91"/>
      <c r="CL173" s="91"/>
    </row>
    <row r="174" spans="1:90" s="82" customFormat="1" ht="14.25" hidden="1">
      <c r="A174" s="91"/>
      <c r="B174" s="91"/>
      <c r="C174" s="91"/>
      <c r="D174" s="91"/>
      <c r="H174" s="129"/>
      <c r="I174" s="129"/>
      <c r="J174" s="129"/>
      <c r="K174" s="304"/>
      <c r="L174" s="87"/>
      <c r="M174" s="87"/>
      <c r="N174" s="487"/>
      <c r="O174" s="305"/>
      <c r="P174" s="87"/>
      <c r="Q174" s="305"/>
      <c r="R174" s="305"/>
      <c r="S174" s="471"/>
      <c r="T174" s="471"/>
      <c r="U174" s="304"/>
      <c r="V174" s="304"/>
      <c r="W174" s="304"/>
      <c r="X174" s="304"/>
      <c r="Y174" s="304"/>
      <c r="Z174" s="304"/>
      <c r="AA174" s="304"/>
      <c r="AB174" s="304"/>
      <c r="AC174" s="304"/>
      <c r="AD174" s="304"/>
      <c r="AE174" s="171"/>
      <c r="AO174" s="91"/>
      <c r="AP174" s="91"/>
      <c r="AQ174" s="91"/>
      <c r="AR174" s="91"/>
      <c r="AS174" s="91"/>
      <c r="AT174" s="91"/>
      <c r="AU174" s="91"/>
      <c r="AV174" s="91"/>
      <c r="AW174" s="91"/>
      <c r="AX174" s="91"/>
      <c r="AY174" s="91"/>
      <c r="AZ174" s="91"/>
      <c r="BA174" s="91"/>
      <c r="BB174" s="91"/>
      <c r="BC174" s="91"/>
      <c r="BD174" s="91"/>
      <c r="BE174" s="91"/>
      <c r="BF174" s="91"/>
      <c r="BG174" s="91"/>
      <c r="BH174" s="91"/>
      <c r="BI174" s="91"/>
      <c r="BJ174" s="91"/>
      <c r="BK174" s="91"/>
      <c r="BL174" s="91"/>
      <c r="BM174" s="91"/>
      <c r="BN174" s="91"/>
      <c r="BO174" s="91"/>
      <c r="BP174" s="91"/>
      <c r="BQ174" s="91"/>
      <c r="BR174" s="91"/>
      <c r="BS174" s="91"/>
      <c r="BT174" s="91"/>
      <c r="BU174" s="91"/>
      <c r="BV174" s="91"/>
      <c r="BW174" s="91"/>
      <c r="BX174" s="91"/>
      <c r="BY174" s="91"/>
      <c r="BZ174" s="91"/>
      <c r="CA174" s="91"/>
      <c r="CB174" s="91"/>
      <c r="CC174" s="91"/>
      <c r="CD174" s="91"/>
      <c r="CE174" s="91"/>
      <c r="CF174" s="91"/>
      <c r="CG174" s="91"/>
      <c r="CH174" s="91"/>
      <c r="CI174" s="91"/>
      <c r="CJ174" s="91"/>
      <c r="CK174" s="91"/>
      <c r="CL174" s="91"/>
    </row>
    <row r="175" spans="1:90" s="82" customFormat="1" ht="14.25" hidden="1">
      <c r="A175" s="91"/>
      <c r="B175" s="91"/>
      <c r="C175" s="91"/>
      <c r="D175" s="91"/>
      <c r="H175" s="129"/>
      <c r="I175" s="129"/>
      <c r="J175" s="129"/>
      <c r="K175" s="304"/>
      <c r="L175" s="87"/>
      <c r="M175" s="87"/>
      <c r="N175" s="487"/>
      <c r="O175" s="305"/>
      <c r="P175" s="87"/>
      <c r="Q175" s="305"/>
      <c r="R175" s="305"/>
      <c r="S175" s="471"/>
      <c r="T175" s="471"/>
      <c r="U175" s="304"/>
      <c r="V175" s="304"/>
      <c r="W175" s="304"/>
      <c r="X175" s="304"/>
      <c r="Y175" s="304"/>
      <c r="Z175" s="304"/>
      <c r="AA175" s="304"/>
      <c r="AB175" s="304"/>
      <c r="AC175" s="304"/>
      <c r="AD175" s="304"/>
      <c r="AE175" s="171"/>
      <c r="AO175" s="91"/>
      <c r="AP175" s="91"/>
      <c r="AQ175" s="91"/>
      <c r="AR175" s="91"/>
      <c r="AS175" s="91"/>
      <c r="AT175" s="91"/>
      <c r="AU175" s="91"/>
      <c r="AV175" s="91"/>
      <c r="AW175" s="91"/>
      <c r="AX175" s="91"/>
      <c r="AY175" s="91"/>
      <c r="AZ175" s="91"/>
      <c r="BA175" s="91"/>
      <c r="BB175" s="91"/>
      <c r="BC175" s="91"/>
      <c r="BD175" s="91"/>
      <c r="BE175" s="91"/>
      <c r="BF175" s="91"/>
      <c r="BG175" s="91"/>
      <c r="BH175" s="91"/>
      <c r="BI175" s="91"/>
      <c r="BJ175" s="91"/>
      <c r="BK175" s="91"/>
      <c r="BL175" s="91"/>
      <c r="BM175" s="91"/>
      <c r="BN175" s="91"/>
      <c r="BO175" s="91"/>
      <c r="BP175" s="91"/>
      <c r="BQ175" s="91"/>
      <c r="BR175" s="91"/>
      <c r="BS175" s="91"/>
      <c r="BT175" s="91"/>
      <c r="BU175" s="91"/>
      <c r="BV175" s="91"/>
      <c r="BW175" s="91"/>
      <c r="BX175" s="91"/>
      <c r="BY175" s="91"/>
      <c r="BZ175" s="91"/>
      <c r="CA175" s="91"/>
      <c r="CB175" s="91"/>
      <c r="CC175" s="91"/>
      <c r="CD175" s="91"/>
      <c r="CE175" s="91"/>
      <c r="CF175" s="91"/>
      <c r="CG175" s="91"/>
      <c r="CH175" s="91"/>
      <c r="CI175" s="91"/>
      <c r="CJ175" s="91"/>
      <c r="CK175" s="91"/>
      <c r="CL175" s="91"/>
    </row>
    <row r="176" spans="1:90" s="82" customFormat="1" ht="14.25" hidden="1">
      <c r="A176" s="91"/>
      <c r="B176" s="91"/>
      <c r="C176" s="91"/>
      <c r="D176" s="91"/>
      <c r="H176" s="129"/>
      <c r="I176" s="129"/>
      <c r="J176" s="129"/>
      <c r="K176" s="304"/>
      <c r="L176" s="87"/>
      <c r="M176" s="87"/>
      <c r="N176" s="487"/>
      <c r="O176" s="305"/>
      <c r="P176" s="87"/>
      <c r="Q176" s="305"/>
      <c r="R176" s="305"/>
      <c r="S176" s="471"/>
      <c r="T176" s="471"/>
      <c r="U176" s="304"/>
      <c r="V176" s="304"/>
      <c r="W176" s="304"/>
      <c r="X176" s="304"/>
      <c r="Y176" s="304"/>
      <c r="Z176" s="304"/>
      <c r="AA176" s="304"/>
      <c r="AB176" s="304"/>
      <c r="AC176" s="304"/>
      <c r="AD176" s="304"/>
      <c r="AE176" s="171"/>
      <c r="AO176" s="91"/>
      <c r="AP176" s="91"/>
      <c r="AQ176" s="91"/>
      <c r="AR176" s="91"/>
      <c r="AS176" s="91"/>
      <c r="AT176" s="91"/>
      <c r="AU176" s="91"/>
      <c r="AV176" s="91"/>
      <c r="AW176" s="91"/>
      <c r="AX176" s="91"/>
      <c r="AY176" s="91"/>
      <c r="AZ176" s="91"/>
      <c r="BA176" s="91"/>
      <c r="BB176" s="91"/>
      <c r="BC176" s="91"/>
      <c r="BD176" s="91"/>
      <c r="BE176" s="91"/>
      <c r="BF176" s="91"/>
      <c r="BG176" s="91"/>
      <c r="BH176" s="91"/>
      <c r="BI176" s="91"/>
      <c r="BJ176" s="91"/>
      <c r="BK176" s="91"/>
      <c r="BL176" s="91"/>
      <c r="BM176" s="91"/>
      <c r="BN176" s="91"/>
      <c r="BO176" s="91"/>
      <c r="BP176" s="91"/>
      <c r="BQ176" s="91"/>
      <c r="BR176" s="91"/>
      <c r="BS176" s="91"/>
      <c r="BT176" s="91"/>
      <c r="BU176" s="91"/>
      <c r="BV176" s="91"/>
      <c r="BW176" s="91"/>
      <c r="BX176" s="91"/>
      <c r="BY176" s="91"/>
      <c r="BZ176" s="91"/>
      <c r="CA176" s="91"/>
      <c r="CB176" s="91"/>
      <c r="CC176" s="91"/>
      <c r="CD176" s="91"/>
      <c r="CE176" s="91"/>
      <c r="CF176" s="91"/>
      <c r="CG176" s="91"/>
      <c r="CH176" s="91"/>
      <c r="CI176" s="91"/>
      <c r="CJ176" s="91"/>
      <c r="CK176" s="91"/>
      <c r="CL176" s="91"/>
    </row>
    <row r="177" spans="1:90" s="82" customFormat="1" ht="14.25" hidden="1">
      <c r="A177" s="91"/>
      <c r="B177" s="91"/>
      <c r="C177" s="91"/>
      <c r="D177" s="91"/>
      <c r="H177" s="129"/>
      <c r="I177" s="129"/>
      <c r="J177" s="129"/>
      <c r="K177" s="304"/>
      <c r="L177" s="87"/>
      <c r="M177" s="87"/>
      <c r="N177" s="487"/>
      <c r="O177" s="305"/>
      <c r="P177" s="87"/>
      <c r="Q177" s="305"/>
      <c r="R177" s="305"/>
      <c r="S177" s="471"/>
      <c r="T177" s="471"/>
      <c r="U177" s="304"/>
      <c r="V177" s="304"/>
      <c r="W177" s="304"/>
      <c r="X177" s="304"/>
      <c r="Y177" s="304"/>
      <c r="Z177" s="304"/>
      <c r="AA177" s="304"/>
      <c r="AB177" s="304"/>
      <c r="AC177" s="304"/>
      <c r="AD177" s="304"/>
      <c r="AE177" s="171"/>
      <c r="AO177" s="91"/>
      <c r="AP177" s="91"/>
      <c r="AQ177" s="91"/>
      <c r="AR177" s="91"/>
      <c r="AS177" s="91"/>
      <c r="AT177" s="91"/>
      <c r="AU177" s="91"/>
      <c r="AV177" s="91"/>
      <c r="AW177" s="91"/>
      <c r="AX177" s="91"/>
      <c r="AY177" s="91"/>
      <c r="AZ177" s="91"/>
      <c r="BA177" s="91"/>
      <c r="BB177" s="91"/>
      <c r="BC177" s="91"/>
      <c r="BD177" s="91"/>
      <c r="BE177" s="91"/>
      <c r="BF177" s="91"/>
      <c r="BG177" s="91"/>
      <c r="BH177" s="91"/>
      <c r="BI177" s="91"/>
      <c r="BJ177" s="91"/>
      <c r="BK177" s="91"/>
      <c r="BL177" s="91"/>
      <c r="BM177" s="91"/>
      <c r="BN177" s="91"/>
      <c r="BO177" s="91"/>
      <c r="BP177" s="91"/>
      <c r="BQ177" s="91"/>
      <c r="BR177" s="91"/>
      <c r="BS177" s="91"/>
      <c r="BT177" s="91"/>
      <c r="BU177" s="91"/>
      <c r="BV177" s="91"/>
      <c r="BW177" s="91"/>
      <c r="BX177" s="91"/>
      <c r="BY177" s="91"/>
      <c r="BZ177" s="91"/>
      <c r="CA177" s="91"/>
      <c r="CB177" s="91"/>
      <c r="CC177" s="91"/>
      <c r="CD177" s="91"/>
      <c r="CE177" s="91"/>
      <c r="CF177" s="91"/>
      <c r="CG177" s="91"/>
      <c r="CH177" s="91"/>
      <c r="CI177" s="91"/>
      <c r="CJ177" s="91"/>
      <c r="CK177" s="91"/>
      <c r="CL177" s="91"/>
    </row>
    <row r="178" spans="1:90" s="82" customFormat="1" ht="14.25" hidden="1">
      <c r="A178" s="91"/>
      <c r="B178" s="91"/>
      <c r="C178" s="91"/>
      <c r="D178" s="91"/>
      <c r="H178" s="129"/>
      <c r="I178" s="129"/>
      <c r="J178" s="129"/>
      <c r="K178" s="304"/>
      <c r="L178" s="87"/>
      <c r="M178" s="87"/>
      <c r="N178" s="487"/>
      <c r="O178" s="305"/>
      <c r="P178" s="87"/>
      <c r="Q178" s="305"/>
      <c r="R178" s="305"/>
      <c r="S178" s="471"/>
      <c r="T178" s="471"/>
      <c r="U178" s="304"/>
      <c r="V178" s="304"/>
      <c r="W178" s="304"/>
      <c r="X178" s="304"/>
      <c r="Y178" s="304"/>
      <c r="Z178" s="304"/>
      <c r="AA178" s="304"/>
      <c r="AB178" s="304"/>
      <c r="AC178" s="304"/>
      <c r="AD178" s="304"/>
      <c r="AE178" s="171"/>
      <c r="AO178" s="91"/>
      <c r="AP178" s="91"/>
      <c r="AQ178" s="91"/>
      <c r="AR178" s="91"/>
      <c r="AS178" s="91"/>
      <c r="AT178" s="91"/>
      <c r="AU178" s="91"/>
      <c r="AV178" s="91"/>
      <c r="AW178" s="91"/>
      <c r="AX178" s="91"/>
      <c r="AY178" s="91"/>
      <c r="AZ178" s="91"/>
      <c r="BA178" s="91"/>
      <c r="BB178" s="91"/>
      <c r="BC178" s="91"/>
      <c r="BD178" s="91"/>
      <c r="BE178" s="91"/>
      <c r="BF178" s="91"/>
      <c r="BG178" s="91"/>
      <c r="BH178" s="91"/>
      <c r="BI178" s="91"/>
      <c r="BJ178" s="91"/>
      <c r="BK178" s="91"/>
      <c r="BL178" s="91"/>
      <c r="BM178" s="91"/>
      <c r="BN178" s="91"/>
      <c r="BO178" s="91"/>
      <c r="BP178" s="91"/>
      <c r="BQ178" s="91"/>
      <c r="BR178" s="91"/>
      <c r="BS178" s="91"/>
      <c r="BT178" s="91"/>
      <c r="BU178" s="91"/>
      <c r="BV178" s="91"/>
      <c r="BW178" s="91"/>
      <c r="BX178" s="91"/>
      <c r="BY178" s="91"/>
      <c r="BZ178" s="91"/>
      <c r="CA178" s="91"/>
      <c r="CB178" s="91"/>
      <c r="CC178" s="91"/>
      <c r="CD178" s="91"/>
      <c r="CE178" s="91"/>
      <c r="CF178" s="91"/>
      <c r="CG178" s="91"/>
      <c r="CH178" s="91"/>
      <c r="CI178" s="91"/>
      <c r="CJ178" s="91"/>
      <c r="CK178" s="91"/>
      <c r="CL178" s="91"/>
    </row>
    <row r="179" spans="1:90" s="82" customFormat="1" ht="14.25" hidden="1">
      <c r="A179" s="91"/>
      <c r="B179" s="91"/>
      <c r="C179" s="91"/>
      <c r="D179" s="91"/>
      <c r="H179" s="129"/>
      <c r="I179" s="129"/>
      <c r="J179" s="129"/>
      <c r="K179" s="304"/>
      <c r="L179" s="87"/>
      <c r="M179" s="87"/>
      <c r="N179" s="487"/>
      <c r="O179" s="305"/>
      <c r="P179" s="87"/>
      <c r="Q179" s="305"/>
      <c r="R179" s="305"/>
      <c r="S179" s="471"/>
      <c r="T179" s="471"/>
      <c r="U179" s="304"/>
      <c r="V179" s="304"/>
      <c r="W179" s="304"/>
      <c r="X179" s="304"/>
      <c r="Y179" s="304"/>
      <c r="Z179" s="304"/>
      <c r="AA179" s="304"/>
      <c r="AB179" s="304"/>
      <c r="AC179" s="304"/>
      <c r="AD179" s="304"/>
      <c r="AE179" s="171"/>
      <c r="AO179" s="91"/>
      <c r="AP179" s="91"/>
      <c r="AQ179" s="91"/>
      <c r="AR179" s="91"/>
      <c r="AS179" s="91"/>
      <c r="AT179" s="91"/>
      <c r="AU179" s="91"/>
      <c r="AV179" s="91"/>
      <c r="AW179" s="91"/>
      <c r="AX179" s="91"/>
      <c r="AY179" s="91"/>
      <c r="AZ179" s="91"/>
      <c r="BA179" s="91"/>
      <c r="BB179" s="91"/>
      <c r="BC179" s="91"/>
      <c r="BD179" s="91"/>
      <c r="BE179" s="91"/>
      <c r="BF179" s="91"/>
      <c r="BG179" s="91"/>
      <c r="BH179" s="91"/>
      <c r="BI179" s="91"/>
      <c r="BJ179" s="91"/>
      <c r="BK179" s="91"/>
      <c r="BL179" s="91"/>
      <c r="BM179" s="91"/>
      <c r="BN179" s="91"/>
      <c r="BO179" s="91"/>
      <c r="BP179" s="91"/>
      <c r="BQ179" s="91"/>
      <c r="BR179" s="91"/>
      <c r="BS179" s="91"/>
      <c r="BT179" s="91"/>
      <c r="BU179" s="91"/>
      <c r="BV179" s="91"/>
      <c r="BW179" s="91"/>
      <c r="BX179" s="91"/>
      <c r="BY179" s="91"/>
      <c r="BZ179" s="91"/>
      <c r="CA179" s="91"/>
      <c r="CB179" s="91"/>
      <c r="CC179" s="91"/>
      <c r="CD179" s="91"/>
      <c r="CE179" s="91"/>
      <c r="CF179" s="91"/>
      <c r="CG179" s="91"/>
      <c r="CH179" s="91"/>
      <c r="CI179" s="91"/>
      <c r="CJ179" s="91"/>
      <c r="CK179" s="91"/>
      <c r="CL179" s="91"/>
    </row>
    <row r="180" spans="1:90" s="82" customFormat="1" ht="14.25" hidden="1">
      <c r="A180" s="91"/>
      <c r="B180" s="91"/>
      <c r="C180" s="91"/>
      <c r="D180" s="91"/>
      <c r="H180" s="129"/>
      <c r="I180" s="129"/>
      <c r="J180" s="129"/>
      <c r="K180" s="304"/>
      <c r="L180" s="87"/>
      <c r="M180" s="87"/>
      <c r="N180" s="487"/>
      <c r="O180" s="305"/>
      <c r="P180" s="87"/>
      <c r="Q180" s="305"/>
      <c r="R180" s="305"/>
      <c r="S180" s="471"/>
      <c r="T180" s="471"/>
      <c r="U180" s="304"/>
      <c r="V180" s="304"/>
      <c r="W180" s="304"/>
      <c r="X180" s="304"/>
      <c r="Y180" s="304"/>
      <c r="Z180" s="304"/>
      <c r="AA180" s="304"/>
      <c r="AB180" s="304"/>
      <c r="AC180" s="304"/>
      <c r="AD180" s="304"/>
      <c r="AE180" s="171"/>
      <c r="AO180" s="91"/>
      <c r="AP180" s="91"/>
      <c r="AQ180" s="91"/>
      <c r="AR180" s="91"/>
      <c r="AS180" s="91"/>
      <c r="AT180" s="91"/>
      <c r="AU180" s="91"/>
      <c r="AV180" s="91"/>
      <c r="AW180" s="91"/>
      <c r="AX180" s="91"/>
      <c r="AY180" s="91"/>
      <c r="AZ180" s="91"/>
      <c r="BA180" s="91"/>
      <c r="BB180" s="91"/>
      <c r="BC180" s="91"/>
      <c r="BD180" s="91"/>
      <c r="BE180" s="91"/>
      <c r="BF180" s="91"/>
      <c r="BG180" s="91"/>
      <c r="BH180" s="91"/>
      <c r="BI180" s="91"/>
      <c r="BJ180" s="91"/>
      <c r="BK180" s="91"/>
      <c r="BL180" s="91"/>
      <c r="BM180" s="91"/>
      <c r="BN180" s="91"/>
      <c r="BO180" s="91"/>
      <c r="BP180" s="91"/>
      <c r="BQ180" s="91"/>
      <c r="BR180" s="91"/>
      <c r="BS180" s="91"/>
      <c r="BT180" s="91"/>
      <c r="BU180" s="91"/>
      <c r="BV180" s="91"/>
      <c r="BW180" s="91"/>
      <c r="BX180" s="91"/>
      <c r="BY180" s="91"/>
      <c r="BZ180" s="91"/>
      <c r="CA180" s="91"/>
      <c r="CB180" s="91"/>
      <c r="CC180" s="91"/>
      <c r="CD180" s="91"/>
      <c r="CE180" s="91"/>
      <c r="CF180" s="91"/>
      <c r="CG180" s="91"/>
      <c r="CH180" s="91"/>
      <c r="CI180" s="91"/>
      <c r="CJ180" s="91"/>
      <c r="CK180" s="91"/>
      <c r="CL180" s="91"/>
    </row>
    <row r="181" spans="3:31" ht="14.25" hidden="1">
      <c r="C181" s="91"/>
      <c r="D181" s="91"/>
      <c r="H181" s="129"/>
      <c r="I181" s="129"/>
      <c r="J181" s="129"/>
      <c r="K181" s="304"/>
      <c r="N181" s="487"/>
      <c r="O181" s="305"/>
      <c r="Q181" s="305"/>
      <c r="R181" s="305"/>
      <c r="S181" s="471"/>
      <c r="T181" s="471"/>
      <c r="U181" s="304"/>
      <c r="V181" s="304"/>
      <c r="W181" s="304"/>
      <c r="X181" s="304"/>
      <c r="Y181" s="304"/>
      <c r="Z181" s="304"/>
      <c r="AA181" s="304"/>
      <c r="AB181" s="304"/>
      <c r="AC181" s="304"/>
      <c r="AD181" s="304"/>
      <c r="AE181" s="171"/>
    </row>
    <row r="182" spans="3:31" ht="14.25" hidden="1">
      <c r="C182" s="91"/>
      <c r="D182" s="91"/>
      <c r="H182" s="129"/>
      <c r="I182" s="129"/>
      <c r="J182" s="129"/>
      <c r="K182" s="304"/>
      <c r="N182" s="487"/>
      <c r="O182" s="305"/>
      <c r="Q182" s="305"/>
      <c r="R182" s="305"/>
      <c r="S182" s="471"/>
      <c r="T182" s="471"/>
      <c r="U182" s="304"/>
      <c r="V182" s="304"/>
      <c r="W182" s="304"/>
      <c r="X182" s="304"/>
      <c r="Y182" s="304"/>
      <c r="Z182" s="304"/>
      <c r="AA182" s="304"/>
      <c r="AB182" s="304"/>
      <c r="AC182" s="304"/>
      <c r="AD182" s="304"/>
      <c r="AE182" s="171"/>
    </row>
    <row r="183" spans="3:31" ht="14.25" hidden="1">
      <c r="C183" s="91"/>
      <c r="D183" s="91"/>
      <c r="H183" s="129"/>
      <c r="I183" s="129"/>
      <c r="J183" s="129"/>
      <c r="K183" s="304"/>
      <c r="N183" s="487"/>
      <c r="O183" s="305"/>
      <c r="Q183" s="305"/>
      <c r="R183" s="305"/>
      <c r="S183" s="471"/>
      <c r="T183" s="471"/>
      <c r="U183" s="304"/>
      <c r="V183" s="304"/>
      <c r="W183" s="304"/>
      <c r="X183" s="304"/>
      <c r="Y183" s="304"/>
      <c r="Z183" s="304"/>
      <c r="AA183" s="304"/>
      <c r="AB183" s="304"/>
      <c r="AC183" s="304"/>
      <c r="AD183" s="304"/>
      <c r="AE183" s="171"/>
    </row>
    <row r="184" spans="3:31" ht="14.25" hidden="1">
      <c r="C184" s="91"/>
      <c r="D184" s="91"/>
      <c r="H184" s="129"/>
      <c r="I184" s="129"/>
      <c r="J184" s="129"/>
      <c r="K184" s="304"/>
      <c r="N184" s="487"/>
      <c r="O184" s="305"/>
      <c r="Q184" s="305"/>
      <c r="R184" s="305"/>
      <c r="S184" s="471"/>
      <c r="T184" s="471"/>
      <c r="U184" s="304"/>
      <c r="V184" s="304"/>
      <c r="W184" s="304"/>
      <c r="X184" s="304"/>
      <c r="Y184" s="304"/>
      <c r="Z184" s="304"/>
      <c r="AA184" s="304"/>
      <c r="AB184" s="304"/>
      <c r="AC184" s="304"/>
      <c r="AD184" s="304"/>
      <c r="AE184" s="171"/>
    </row>
    <row r="185" spans="3:31" ht="14.25" hidden="1">
      <c r="C185" s="91"/>
      <c r="D185" s="91"/>
      <c r="H185" s="129"/>
      <c r="I185" s="129"/>
      <c r="J185" s="129"/>
      <c r="K185" s="304"/>
      <c r="N185" s="487"/>
      <c r="O185" s="305"/>
      <c r="Q185" s="305"/>
      <c r="R185" s="305"/>
      <c r="S185" s="471"/>
      <c r="T185" s="471"/>
      <c r="U185" s="304"/>
      <c r="V185" s="304"/>
      <c r="W185" s="304"/>
      <c r="X185" s="304"/>
      <c r="Y185" s="304"/>
      <c r="Z185" s="304"/>
      <c r="AA185" s="304"/>
      <c r="AB185" s="304"/>
      <c r="AC185" s="304"/>
      <c r="AD185" s="304"/>
      <c r="AE185" s="171"/>
    </row>
    <row r="186" spans="3:31" ht="14.25" hidden="1">
      <c r="C186" s="91"/>
      <c r="D186" s="91"/>
      <c r="H186" s="129"/>
      <c r="I186" s="129"/>
      <c r="J186" s="129"/>
      <c r="K186" s="304"/>
      <c r="N186" s="487"/>
      <c r="O186" s="305"/>
      <c r="Q186" s="305"/>
      <c r="R186" s="305"/>
      <c r="S186" s="471"/>
      <c r="T186" s="471"/>
      <c r="U186" s="304"/>
      <c r="V186" s="304"/>
      <c r="W186" s="304"/>
      <c r="X186" s="304"/>
      <c r="Y186" s="304"/>
      <c r="Z186" s="304"/>
      <c r="AA186" s="304"/>
      <c r="AB186" s="304"/>
      <c r="AC186" s="304"/>
      <c r="AD186" s="304"/>
      <c r="AE186" s="171"/>
    </row>
    <row r="187" spans="3:31" ht="14.25" hidden="1">
      <c r="C187" s="91"/>
      <c r="D187" s="91"/>
      <c r="H187" s="129"/>
      <c r="I187" s="129"/>
      <c r="J187" s="129"/>
      <c r="K187" s="304"/>
      <c r="N187" s="487"/>
      <c r="O187" s="305"/>
      <c r="Q187" s="305"/>
      <c r="R187" s="305"/>
      <c r="S187" s="471"/>
      <c r="T187" s="471"/>
      <c r="U187" s="304"/>
      <c r="V187" s="304"/>
      <c r="W187" s="304"/>
      <c r="X187" s="304"/>
      <c r="Y187" s="304"/>
      <c r="Z187" s="304"/>
      <c r="AA187" s="304"/>
      <c r="AB187" s="304"/>
      <c r="AC187" s="304"/>
      <c r="AD187" s="304"/>
      <c r="AE187" s="171"/>
    </row>
    <row r="188" spans="3:31" ht="14.25" hidden="1">
      <c r="C188" s="91"/>
      <c r="D188" s="91"/>
      <c r="H188" s="129"/>
      <c r="I188" s="129"/>
      <c r="J188" s="129"/>
      <c r="K188" s="304"/>
      <c r="N188" s="487"/>
      <c r="O188" s="305"/>
      <c r="Q188" s="305"/>
      <c r="R188" s="305"/>
      <c r="S188" s="471"/>
      <c r="T188" s="471"/>
      <c r="U188" s="304"/>
      <c r="V188" s="304"/>
      <c r="W188" s="304"/>
      <c r="X188" s="304"/>
      <c r="Y188" s="304"/>
      <c r="Z188" s="304"/>
      <c r="AA188" s="304"/>
      <c r="AB188" s="304"/>
      <c r="AC188" s="304"/>
      <c r="AD188" s="304"/>
      <c r="AE188" s="171"/>
    </row>
    <row r="189" spans="3:31" ht="14.25" hidden="1">
      <c r="C189" s="91"/>
      <c r="D189" s="91"/>
      <c r="H189" s="129"/>
      <c r="I189" s="129"/>
      <c r="J189" s="129"/>
      <c r="K189" s="304"/>
      <c r="N189" s="487"/>
      <c r="O189" s="305"/>
      <c r="Q189" s="305"/>
      <c r="R189" s="305"/>
      <c r="S189" s="471"/>
      <c r="T189" s="471"/>
      <c r="U189" s="304"/>
      <c r="V189" s="304"/>
      <c r="W189" s="304"/>
      <c r="X189" s="304"/>
      <c r="Y189" s="304"/>
      <c r="Z189" s="304"/>
      <c r="AA189" s="304"/>
      <c r="AB189" s="304"/>
      <c r="AC189" s="304"/>
      <c r="AD189" s="304"/>
      <c r="AE189" s="171"/>
    </row>
    <row r="190" spans="3:31" ht="14.25" hidden="1">
      <c r="C190" s="91"/>
      <c r="D190" s="91"/>
      <c r="H190" s="129"/>
      <c r="I190" s="129"/>
      <c r="J190" s="129"/>
      <c r="K190" s="304"/>
      <c r="N190" s="487"/>
      <c r="O190" s="305"/>
      <c r="Q190" s="305"/>
      <c r="R190" s="305"/>
      <c r="S190" s="471"/>
      <c r="T190" s="471"/>
      <c r="U190" s="304"/>
      <c r="V190" s="304"/>
      <c r="W190" s="304"/>
      <c r="X190" s="304"/>
      <c r="Y190" s="304"/>
      <c r="Z190" s="304"/>
      <c r="AA190" s="304"/>
      <c r="AB190" s="304"/>
      <c r="AC190" s="304"/>
      <c r="AD190" s="304"/>
      <c r="AE190" s="171"/>
    </row>
    <row r="191" spans="3:31" ht="14.25" hidden="1">
      <c r="C191" s="91"/>
      <c r="D191" s="91"/>
      <c r="H191" s="129"/>
      <c r="I191" s="129"/>
      <c r="J191" s="129"/>
      <c r="K191" s="304"/>
      <c r="N191" s="487"/>
      <c r="O191" s="305"/>
      <c r="Q191" s="305"/>
      <c r="R191" s="305"/>
      <c r="S191" s="471"/>
      <c r="T191" s="471"/>
      <c r="U191" s="304"/>
      <c r="V191" s="304"/>
      <c r="W191" s="304"/>
      <c r="X191" s="304"/>
      <c r="Y191" s="304"/>
      <c r="Z191" s="304"/>
      <c r="AA191" s="304"/>
      <c r="AB191" s="304"/>
      <c r="AC191" s="304"/>
      <c r="AD191" s="304"/>
      <c r="AE191" s="171"/>
    </row>
    <row r="192" spans="3:31" ht="14.25" hidden="1">
      <c r="C192" s="91"/>
      <c r="D192" s="91"/>
      <c r="H192" s="129"/>
      <c r="I192" s="129"/>
      <c r="J192" s="129"/>
      <c r="K192" s="304"/>
      <c r="N192" s="487"/>
      <c r="O192" s="305"/>
      <c r="Q192" s="305"/>
      <c r="R192" s="305"/>
      <c r="S192" s="471"/>
      <c r="T192" s="471"/>
      <c r="U192" s="304"/>
      <c r="V192" s="304"/>
      <c r="W192" s="304"/>
      <c r="X192" s="304"/>
      <c r="Y192" s="304"/>
      <c r="Z192" s="304"/>
      <c r="AA192" s="304"/>
      <c r="AB192" s="304"/>
      <c r="AC192" s="304"/>
      <c r="AD192" s="304"/>
      <c r="AE192" s="171"/>
    </row>
    <row r="193" spans="3:31" ht="14.25" hidden="1">
      <c r="C193" s="91"/>
      <c r="D193" s="91"/>
      <c r="H193" s="129"/>
      <c r="I193" s="129"/>
      <c r="J193" s="129"/>
      <c r="K193" s="304"/>
      <c r="N193" s="487"/>
      <c r="O193" s="305"/>
      <c r="Q193" s="305"/>
      <c r="R193" s="305"/>
      <c r="S193" s="471"/>
      <c r="T193" s="471"/>
      <c r="U193" s="304"/>
      <c r="V193" s="304"/>
      <c r="W193" s="304"/>
      <c r="X193" s="304"/>
      <c r="Y193" s="304"/>
      <c r="Z193" s="304"/>
      <c r="AA193" s="304"/>
      <c r="AB193" s="304"/>
      <c r="AC193" s="304"/>
      <c r="AD193" s="304"/>
      <c r="AE193" s="171"/>
    </row>
    <row r="194" spans="3:31" ht="14.25">
      <c r="C194" s="91"/>
      <c r="D194" s="91"/>
      <c r="H194" s="129"/>
      <c r="I194" s="129"/>
      <c r="J194" s="129"/>
      <c r="K194" s="304"/>
      <c r="N194" s="487"/>
      <c r="O194" s="305">
        <f>+W152</f>
        <v>301730.21</v>
      </c>
      <c r="Q194" s="305"/>
      <c r="R194" s="305"/>
      <c r="S194" s="471"/>
      <c r="T194" s="471"/>
      <c r="U194" s="304"/>
      <c r="V194" s="304"/>
      <c r="W194" s="304"/>
      <c r="X194" s="304"/>
      <c r="Y194" s="304" t="s">
        <v>192</v>
      </c>
      <c r="Z194" s="304">
        <f>+Z148+Z100+Z98+Z96+Z94+Z92+Z90+Z55</f>
        <v>28414.799999999996</v>
      </c>
      <c r="AA194" s="304">
        <f>+AA55+AA90+AA92+AA94+AA96+AA98+AA100+AA119+AA148</f>
        <v>76841.35999999999</v>
      </c>
      <c r="AB194" s="304">
        <f>+AB42++AB104+AB136+AB137+AB139+AB144+AB145+AB146+AB147</f>
        <v>196474.05</v>
      </c>
      <c r="AC194" s="304">
        <f>+Z194+AA194+AB194</f>
        <v>301730.20999999996</v>
      </c>
      <c r="AD194" s="304"/>
      <c r="AE194" s="171"/>
    </row>
    <row r="195" spans="3:31" ht="14.25">
      <c r="C195" s="91"/>
      <c r="D195" s="91"/>
      <c r="H195" s="129"/>
      <c r="I195" s="129"/>
      <c r="J195" s="129"/>
      <c r="K195" s="304"/>
      <c r="N195" s="487"/>
      <c r="O195" s="305"/>
      <c r="Q195" s="305"/>
      <c r="R195" s="305"/>
      <c r="S195" s="471"/>
      <c r="T195" s="471"/>
      <c r="U195" s="304"/>
      <c r="V195" s="304"/>
      <c r="W195" s="304"/>
      <c r="X195" s="304"/>
      <c r="Y195" s="304"/>
      <c r="Z195" s="304"/>
      <c r="AA195" s="304"/>
      <c r="AB195" s="304"/>
      <c r="AC195" s="304"/>
      <c r="AD195" s="304"/>
      <c r="AE195" s="171"/>
    </row>
    <row r="196" spans="3:45" ht="25.5">
      <c r="C196" s="91"/>
      <c r="D196" s="91"/>
      <c r="H196" s="129"/>
      <c r="I196" s="129"/>
      <c r="J196" s="129"/>
      <c r="K196" s="304"/>
      <c r="N196" s="487"/>
      <c r="O196" s="305">
        <f>+O152+O194</f>
        <v>3140314.493751044</v>
      </c>
      <c r="Q196" s="305"/>
      <c r="R196" s="305"/>
      <c r="S196" s="471"/>
      <c r="T196" s="471"/>
      <c r="U196" s="304" t="s">
        <v>356</v>
      </c>
      <c r="V196" s="304">
        <f>+V44+V41+V43</f>
        <v>1076805.3599999999</v>
      </c>
      <c r="W196" s="304"/>
      <c r="X196" s="304"/>
      <c r="Y196" s="304" t="s">
        <v>359</v>
      </c>
      <c r="Z196" s="304">
        <f>+Z35+Z86</f>
        <v>11843.9</v>
      </c>
      <c r="AA196" s="304"/>
      <c r="AB196" s="304">
        <f>+AB49+AB50+AB51+AB52+AB87+AB88+AB48</f>
        <v>170629.5</v>
      </c>
      <c r="AC196" s="304">
        <f>+Z196+AA196+AB196</f>
        <v>182473.4</v>
      </c>
      <c r="AD196" s="304">
        <f>+AD35+AD36+AD37+AD38+AD47+AD48+AD49+AD135+AD134+AD133+AD131+AD132+AD86+AD87+AD88+AD71+AD72+AD73+AD50+AD52+AD51</f>
        <v>20661.286000000022</v>
      </c>
      <c r="AE196" s="171"/>
      <c r="AS196" s="519"/>
    </row>
    <row r="197" spans="3:45" ht="25.5">
      <c r="C197" s="91"/>
      <c r="D197" s="91"/>
      <c r="H197" s="129"/>
      <c r="I197" s="129"/>
      <c r="J197" s="129"/>
      <c r="K197" s="304"/>
      <c r="N197" s="487"/>
      <c r="O197" s="305"/>
      <c r="Q197" s="305"/>
      <c r="R197" s="305"/>
      <c r="S197" s="471"/>
      <c r="T197" s="471"/>
      <c r="U197" s="304" t="s">
        <v>355</v>
      </c>
      <c r="V197" s="304">
        <f>+V101</f>
        <v>213224.65</v>
      </c>
      <c r="W197" s="304"/>
      <c r="X197" s="304"/>
      <c r="Y197" s="304" t="s">
        <v>360</v>
      </c>
      <c r="Z197" s="304">
        <v>0</v>
      </c>
      <c r="AA197" s="304">
        <f>+AA44+AA121</f>
        <v>63776.729999999996</v>
      </c>
      <c r="AB197" s="304">
        <f>+AB22++AB32++AB53+AB54+AB56+AB57+AB58+AB59+AB62+AB63+AB74+AB75+AB76+AB79+AB89+AB91+AB93+AB95+AB97+AB99+AB120+AB122+AB125+AB126+AB130+AB138</f>
        <v>215325.71507890086</v>
      </c>
      <c r="AC197" s="304">
        <f>+Z197+AA197+AB197</f>
        <v>279102.44507890084</v>
      </c>
      <c r="AD197" s="304">
        <f>+AD12+AD15+AD18+AD21+AD28+AD29+AD30+AD31+AD32+AD41+AD42+AD43+AD44+AD53+AD58+AD59+AD60+AD61+AD62+AD63+AD64+AD65+AD66+AD67+AD68++AD74+AD75+AD76+AD79+AD80+AD81+AD82+AD83+AD84+AD85+AD89+AD90+AD91+AD92+AD93+AD94+AD95+AD96+AD97+AD98+AD99+AD100+AD103+AD105+AD121+AD125+AD126+AD128+AD130</f>
        <v>572204.9426721436</v>
      </c>
      <c r="AE197" s="171"/>
      <c r="AS197" s="519"/>
    </row>
    <row r="198" spans="3:45" ht="14.25">
      <c r="C198" s="91"/>
      <c r="D198" s="91"/>
      <c r="H198" s="129"/>
      <c r="I198" s="129"/>
      <c r="J198" s="129"/>
      <c r="K198" s="304"/>
      <c r="N198" s="487"/>
      <c r="O198" s="305"/>
      <c r="Q198" s="305"/>
      <c r="R198" s="305"/>
      <c r="S198" s="471"/>
      <c r="T198" s="471"/>
      <c r="U198" s="304"/>
      <c r="V198" s="304"/>
      <c r="W198" s="304"/>
      <c r="X198" s="304"/>
      <c r="Y198" s="520" t="s">
        <v>361</v>
      </c>
      <c r="Z198" s="520">
        <f>SUM(Z196:Z197)</f>
        <v>11843.9</v>
      </c>
      <c r="AA198" s="520">
        <f>SUM(AA196:AA197)</f>
        <v>63776.729999999996</v>
      </c>
      <c r="AB198" s="520">
        <f>SUM(AB196:AB197)</f>
        <v>385955.21507890086</v>
      </c>
      <c r="AC198" s="520">
        <f>SUM(AC196:AC197)</f>
        <v>461575.8450789008</v>
      </c>
      <c r="AD198" s="520">
        <f>SUM(AD196:AD197)</f>
        <v>592866.2286721435</v>
      </c>
      <c r="AE198" s="171"/>
      <c r="AS198" s="519"/>
    </row>
    <row r="199" spans="3:45" ht="14.25">
      <c r="C199" s="91"/>
      <c r="D199" s="91"/>
      <c r="H199" s="129"/>
      <c r="I199" s="129"/>
      <c r="J199" s="129"/>
      <c r="K199" s="304"/>
      <c r="N199" s="487"/>
      <c r="O199" s="305"/>
      <c r="Q199" s="305"/>
      <c r="R199" s="305"/>
      <c r="S199" s="471"/>
      <c r="T199" s="471"/>
      <c r="U199" s="304"/>
      <c r="V199" s="304"/>
      <c r="W199" s="304"/>
      <c r="X199" s="304"/>
      <c r="Y199" s="304">
        <f>+V201+510</f>
        <v>1421892.2099999997</v>
      </c>
      <c r="Z199" s="304"/>
      <c r="AA199" s="304"/>
      <c r="AB199" s="304"/>
      <c r="AC199" s="304"/>
      <c r="AD199" s="304"/>
      <c r="AE199" s="171"/>
      <c r="AS199" s="519"/>
    </row>
    <row r="200" spans="3:31" ht="25.5">
      <c r="C200" s="91"/>
      <c r="D200" s="91"/>
      <c r="H200" s="129"/>
      <c r="I200" s="129"/>
      <c r="J200" s="129"/>
      <c r="K200" s="304"/>
      <c r="N200" s="487"/>
      <c r="O200" s="305">
        <f>+U152+V152+AC152</f>
        <v>2547448.265078901</v>
      </c>
      <c r="Q200" s="305"/>
      <c r="R200" s="305"/>
      <c r="S200" s="471"/>
      <c r="T200" s="471"/>
      <c r="U200" s="304" t="s">
        <v>357</v>
      </c>
      <c r="V200" s="304">
        <f>+V128+V12+V15+V18+V21</f>
        <v>131352.19999999998</v>
      </c>
      <c r="W200" s="304"/>
      <c r="X200" s="304"/>
      <c r="Y200" s="304"/>
      <c r="Z200" s="304"/>
      <c r="AA200" s="304"/>
      <c r="AB200" s="304"/>
      <c r="AC200" s="304">
        <f>+'Recalend MINSAL PNUD S3  2015'!O16+'Recalend MINSAL PNUD S3  2015'!O17</f>
        <v>15634.84</v>
      </c>
      <c r="AD200" s="304"/>
      <c r="AE200" s="171"/>
    </row>
    <row r="201" spans="3:46" ht="14.25">
      <c r="C201" s="91"/>
      <c r="D201" s="91"/>
      <c r="H201" s="129"/>
      <c r="I201" s="129"/>
      <c r="J201" s="129"/>
      <c r="K201" s="304"/>
      <c r="N201" s="487"/>
      <c r="O201" s="305">
        <f>+O196-O200</f>
        <v>592866.2286721431</v>
      </c>
      <c r="Q201" s="305"/>
      <c r="R201" s="305"/>
      <c r="S201" s="471"/>
      <c r="T201" s="471"/>
      <c r="U201" s="304" t="s">
        <v>358</v>
      </c>
      <c r="V201" s="304">
        <f>SUM(V196:V200)</f>
        <v>1421382.2099999997</v>
      </c>
      <c r="W201" s="304"/>
      <c r="X201" s="304"/>
      <c r="Y201" s="304"/>
      <c r="Z201" s="304"/>
      <c r="AA201" s="304"/>
      <c r="AB201" s="304"/>
      <c r="AC201" s="304">
        <f>+AC197+AC200</f>
        <v>294737.28507890087</v>
      </c>
      <c r="AD201" s="304"/>
      <c r="AE201" s="171"/>
      <c r="AT201" s="519"/>
    </row>
    <row r="202" spans="3:31" ht="14.25">
      <c r="C202" s="91"/>
      <c r="D202" s="91"/>
      <c r="H202" s="129"/>
      <c r="I202" s="129"/>
      <c r="J202" s="129"/>
      <c r="K202" s="304"/>
      <c r="N202" s="487"/>
      <c r="O202" s="305">
        <f>+AD152</f>
        <v>592866.2286721435</v>
      </c>
      <c r="Q202" s="305"/>
      <c r="R202" s="305"/>
      <c r="S202" s="471"/>
      <c r="T202" s="471"/>
      <c r="U202" s="471"/>
      <c r="V202" s="471"/>
      <c r="W202" s="471"/>
      <c r="X202" s="471"/>
      <c r="Y202" s="471"/>
      <c r="Z202" s="305"/>
      <c r="AA202" s="305"/>
      <c r="AB202" s="305"/>
      <c r="AC202" s="305"/>
      <c r="AD202" s="305"/>
      <c r="AE202" s="131"/>
    </row>
    <row r="203" spans="3:31" ht="14.25">
      <c r="C203" s="91"/>
      <c r="D203" s="91"/>
      <c r="H203" s="129"/>
      <c r="I203" s="129"/>
      <c r="J203" s="129"/>
      <c r="K203" s="304"/>
      <c r="N203" s="487"/>
      <c r="O203" s="305">
        <f>+O201-O202</f>
        <v>0</v>
      </c>
      <c r="Q203" s="305"/>
      <c r="R203" s="305"/>
      <c r="S203" s="471"/>
      <c r="T203" s="471"/>
      <c r="U203" s="471"/>
      <c r="V203" s="471"/>
      <c r="W203" s="471"/>
      <c r="X203" s="471"/>
      <c r="Y203" s="471"/>
      <c r="Z203" s="305"/>
      <c r="AA203" s="305"/>
      <c r="AB203" s="305"/>
      <c r="AC203" s="305"/>
      <c r="AD203" s="305"/>
      <c r="AE203" s="131"/>
    </row>
    <row r="204" spans="3:31" ht="14.25">
      <c r="C204" s="91"/>
      <c r="D204" s="91"/>
      <c r="H204" s="129"/>
      <c r="I204" s="129"/>
      <c r="J204" s="129"/>
      <c r="K204" s="304"/>
      <c r="N204" s="487"/>
      <c r="O204" s="305"/>
      <c r="Q204" s="305"/>
      <c r="R204" s="305"/>
      <c r="S204" s="471"/>
      <c r="T204" s="471"/>
      <c r="U204" s="471"/>
      <c r="V204" s="471"/>
      <c r="W204" s="471"/>
      <c r="X204" s="471"/>
      <c r="Y204" s="471"/>
      <c r="Z204" s="305"/>
      <c r="AA204" s="305"/>
      <c r="AB204" s="305"/>
      <c r="AC204" s="305"/>
      <c r="AD204" s="305"/>
      <c r="AE204" s="131"/>
    </row>
    <row r="205" spans="3:31" ht="14.25">
      <c r="C205" s="91"/>
      <c r="D205" s="91"/>
      <c r="H205" s="129"/>
      <c r="I205" s="129"/>
      <c r="J205" s="129"/>
      <c r="K205" s="304"/>
      <c r="N205" s="487"/>
      <c r="O205" s="305"/>
      <c r="Q205" s="305"/>
      <c r="R205" s="305"/>
      <c r="S205" s="471"/>
      <c r="T205" s="471"/>
      <c r="U205" s="471"/>
      <c r="V205" s="471"/>
      <c r="W205" s="471"/>
      <c r="X205" s="471"/>
      <c r="Y205" s="471"/>
      <c r="Z205" s="305"/>
      <c r="AA205" s="305"/>
      <c r="AB205" s="305"/>
      <c r="AC205" s="305"/>
      <c r="AD205" s="305"/>
      <c r="AE205" s="131"/>
    </row>
    <row r="206" spans="3:31" ht="14.25">
      <c r="C206" s="91"/>
      <c r="D206" s="91"/>
      <c r="H206" s="129"/>
      <c r="I206" s="129"/>
      <c r="J206" s="129"/>
      <c r="K206" s="304"/>
      <c r="N206" s="487"/>
      <c r="O206" s="305"/>
      <c r="Q206" s="305"/>
      <c r="R206" s="305"/>
      <c r="S206" s="471"/>
      <c r="T206" s="471"/>
      <c r="U206" s="471"/>
      <c r="V206" s="471"/>
      <c r="W206" s="471"/>
      <c r="X206" s="471"/>
      <c r="Y206" s="471"/>
      <c r="Z206" s="305"/>
      <c r="AA206" s="305"/>
      <c r="AB206" s="305"/>
      <c r="AC206" s="305"/>
      <c r="AD206" s="305"/>
      <c r="AE206" s="131"/>
    </row>
    <row r="207" spans="3:31" ht="14.25">
      <c r="C207" s="91"/>
      <c r="D207" s="91"/>
      <c r="H207" s="129"/>
      <c r="I207" s="129"/>
      <c r="J207" s="129"/>
      <c r="K207" s="304"/>
      <c r="N207" s="487"/>
      <c r="O207" s="305"/>
      <c r="Q207" s="305"/>
      <c r="R207" s="305"/>
      <c r="S207" s="471"/>
      <c r="T207" s="471"/>
      <c r="U207" s="471"/>
      <c r="V207" s="471"/>
      <c r="W207" s="471"/>
      <c r="X207" s="471"/>
      <c r="Y207" s="471"/>
      <c r="Z207" s="305"/>
      <c r="AA207" s="305"/>
      <c r="AB207" s="305"/>
      <c r="AC207" s="305"/>
      <c r="AD207" s="305"/>
      <c r="AE207" s="131"/>
    </row>
    <row r="208" spans="3:31" ht="14.25">
      <c r="C208" s="91"/>
      <c r="D208" s="91"/>
      <c r="H208" s="129"/>
      <c r="I208" s="129"/>
      <c r="J208" s="129"/>
      <c r="K208" s="304"/>
      <c r="N208" s="487"/>
      <c r="O208" s="305"/>
      <c r="Q208" s="305"/>
      <c r="R208" s="305"/>
      <c r="S208" s="471"/>
      <c r="T208" s="471"/>
      <c r="U208" s="471"/>
      <c r="V208" s="471"/>
      <c r="W208" s="471"/>
      <c r="X208" s="471"/>
      <c r="Y208" s="471"/>
      <c r="Z208" s="305"/>
      <c r="AA208" s="305"/>
      <c r="AB208" s="305"/>
      <c r="AC208" s="305"/>
      <c r="AD208" s="305"/>
      <c r="AE208" s="131"/>
    </row>
    <row r="209" spans="3:31" ht="14.25">
      <c r="C209" s="91"/>
      <c r="D209" s="91"/>
      <c r="H209" s="129"/>
      <c r="I209" s="129"/>
      <c r="J209" s="129"/>
      <c r="K209" s="304"/>
      <c r="N209" s="487"/>
      <c r="O209" s="305"/>
      <c r="Q209" s="305"/>
      <c r="R209" s="305"/>
      <c r="S209" s="471"/>
      <c r="T209" s="471"/>
      <c r="U209" s="471"/>
      <c r="V209" s="471"/>
      <c r="W209" s="471"/>
      <c r="X209" s="471"/>
      <c r="Y209" s="471"/>
      <c r="Z209" s="305"/>
      <c r="AA209" s="305"/>
      <c r="AB209" s="305"/>
      <c r="AC209" s="305"/>
      <c r="AD209" s="305"/>
      <c r="AE209" s="131"/>
    </row>
    <row r="210" spans="3:31" ht="14.25">
      <c r="C210" s="91"/>
      <c r="D210" s="91"/>
      <c r="H210" s="129"/>
      <c r="I210" s="129"/>
      <c r="J210" s="129"/>
      <c r="K210" s="304"/>
      <c r="N210" s="487"/>
      <c r="O210" s="305"/>
      <c r="Q210" s="305"/>
      <c r="R210" s="305"/>
      <c r="S210" s="471"/>
      <c r="T210" s="471"/>
      <c r="U210" s="471"/>
      <c r="V210" s="471"/>
      <c r="W210" s="471"/>
      <c r="X210" s="471"/>
      <c r="Y210" s="471"/>
      <c r="Z210" s="305"/>
      <c r="AA210" s="305"/>
      <c r="AB210" s="305"/>
      <c r="AC210" s="305"/>
      <c r="AD210" s="305"/>
      <c r="AE210" s="131"/>
    </row>
    <row r="211" spans="3:31" ht="14.25">
      <c r="C211" s="91"/>
      <c r="D211" s="91"/>
      <c r="H211" s="129"/>
      <c r="I211" s="129"/>
      <c r="J211" s="129"/>
      <c r="K211" s="304"/>
      <c r="N211" s="487"/>
      <c r="O211" s="305"/>
      <c r="Q211" s="305"/>
      <c r="R211" s="305"/>
      <c r="S211" s="471"/>
      <c r="T211" s="471"/>
      <c r="U211" s="471"/>
      <c r="V211" s="471"/>
      <c r="W211" s="471"/>
      <c r="X211" s="471"/>
      <c r="Y211" s="471"/>
      <c r="Z211" s="305"/>
      <c r="AA211" s="305"/>
      <c r="AB211" s="305"/>
      <c r="AC211" s="305"/>
      <c r="AD211" s="305"/>
      <c r="AE211" s="131"/>
    </row>
    <row r="212" spans="3:31" ht="14.25">
      <c r="C212" s="91"/>
      <c r="D212" s="91"/>
      <c r="H212" s="129"/>
      <c r="I212" s="129"/>
      <c r="J212" s="129"/>
      <c r="K212" s="304"/>
      <c r="N212" s="487"/>
      <c r="O212" s="305"/>
      <c r="Q212" s="305"/>
      <c r="R212" s="305"/>
      <c r="S212" s="471"/>
      <c r="T212" s="471"/>
      <c r="U212" s="471"/>
      <c r="V212" s="471"/>
      <c r="W212" s="471"/>
      <c r="X212" s="471"/>
      <c r="Y212" s="471"/>
      <c r="Z212" s="305"/>
      <c r="AA212" s="305"/>
      <c r="AB212" s="305"/>
      <c r="AC212" s="305"/>
      <c r="AD212" s="305"/>
      <c r="AE212" s="131"/>
    </row>
    <row r="213" spans="3:31" ht="14.25">
      <c r="C213" s="91"/>
      <c r="D213" s="91"/>
      <c r="H213" s="129"/>
      <c r="I213" s="129"/>
      <c r="J213" s="129"/>
      <c r="K213" s="304"/>
      <c r="N213" s="487"/>
      <c r="O213" s="305"/>
      <c r="Q213" s="305"/>
      <c r="R213" s="305"/>
      <c r="S213" s="471"/>
      <c r="T213" s="471"/>
      <c r="U213" s="471"/>
      <c r="V213" s="471"/>
      <c r="W213" s="471"/>
      <c r="X213" s="471"/>
      <c r="Y213" s="471"/>
      <c r="Z213" s="305"/>
      <c r="AA213" s="305"/>
      <c r="AB213" s="305"/>
      <c r="AC213" s="305"/>
      <c r="AD213" s="305"/>
      <c r="AE213" s="131"/>
    </row>
    <row r="214" spans="3:31" ht="14.25">
      <c r="C214" s="91"/>
      <c r="D214" s="91"/>
      <c r="H214" s="129"/>
      <c r="I214" s="129"/>
      <c r="J214" s="129"/>
      <c r="K214" s="304"/>
      <c r="N214" s="487"/>
      <c r="O214" s="305"/>
      <c r="Q214" s="305"/>
      <c r="R214" s="305"/>
      <c r="S214" s="471"/>
      <c r="T214" s="471"/>
      <c r="U214" s="471"/>
      <c r="V214" s="471"/>
      <c r="W214" s="471"/>
      <c r="X214" s="471"/>
      <c r="Y214" s="471"/>
      <c r="Z214" s="305"/>
      <c r="AA214" s="305"/>
      <c r="AB214" s="305"/>
      <c r="AC214" s="305"/>
      <c r="AD214" s="305"/>
      <c r="AE214" s="131"/>
    </row>
    <row r="215" spans="3:31" ht="14.25">
      <c r="C215" s="91"/>
      <c r="D215" s="91"/>
      <c r="H215" s="129"/>
      <c r="I215" s="129"/>
      <c r="J215" s="129"/>
      <c r="K215" s="304"/>
      <c r="N215" s="487"/>
      <c r="O215" s="305"/>
      <c r="Q215" s="305"/>
      <c r="R215" s="305"/>
      <c r="S215" s="471"/>
      <c r="T215" s="471"/>
      <c r="U215" s="471"/>
      <c r="V215" s="471"/>
      <c r="W215" s="471"/>
      <c r="X215" s="471"/>
      <c r="Y215" s="471"/>
      <c r="Z215" s="305"/>
      <c r="AA215" s="305"/>
      <c r="AB215" s="305"/>
      <c r="AC215" s="305"/>
      <c r="AD215" s="305"/>
      <c r="AE215" s="131"/>
    </row>
    <row r="216" spans="3:31" ht="14.25">
      <c r="C216" s="91"/>
      <c r="D216" s="91"/>
      <c r="H216" s="129"/>
      <c r="I216" s="129"/>
      <c r="J216" s="129"/>
      <c r="K216" s="304"/>
      <c r="N216" s="487"/>
      <c r="O216" s="305"/>
      <c r="Q216" s="305"/>
      <c r="R216" s="305"/>
      <c r="S216" s="471"/>
      <c r="T216" s="471"/>
      <c r="U216" s="471"/>
      <c r="V216" s="471"/>
      <c r="W216" s="471"/>
      <c r="X216" s="471"/>
      <c r="Y216" s="471"/>
      <c r="Z216" s="305"/>
      <c r="AA216" s="305"/>
      <c r="AB216" s="305"/>
      <c r="AC216" s="305"/>
      <c r="AD216" s="305"/>
      <c r="AE216" s="131"/>
    </row>
    <row r="217" spans="3:31" ht="14.25">
      <c r="C217" s="91"/>
      <c r="D217" s="91"/>
      <c r="H217" s="129"/>
      <c r="I217" s="129"/>
      <c r="J217" s="129"/>
      <c r="K217" s="304"/>
      <c r="N217" s="487"/>
      <c r="O217" s="305"/>
      <c r="Q217" s="305"/>
      <c r="R217" s="305"/>
      <c r="S217" s="471"/>
      <c r="T217" s="471"/>
      <c r="U217" s="471"/>
      <c r="V217" s="471"/>
      <c r="W217" s="471"/>
      <c r="X217" s="471"/>
      <c r="Y217" s="471"/>
      <c r="Z217" s="305"/>
      <c r="AA217" s="305"/>
      <c r="AB217" s="305"/>
      <c r="AC217" s="305"/>
      <c r="AD217" s="305"/>
      <c r="AE217" s="131"/>
    </row>
    <row r="218" spans="3:31" ht="14.25">
      <c r="C218" s="91"/>
      <c r="D218" s="91"/>
      <c r="H218" s="129"/>
      <c r="I218" s="129"/>
      <c r="J218" s="129"/>
      <c r="K218" s="304"/>
      <c r="N218" s="487"/>
      <c r="O218" s="305"/>
      <c r="Q218" s="305"/>
      <c r="R218" s="305"/>
      <c r="S218" s="471"/>
      <c r="T218" s="471"/>
      <c r="U218" s="471"/>
      <c r="V218" s="471"/>
      <c r="W218" s="471"/>
      <c r="X218" s="471"/>
      <c r="Y218" s="471"/>
      <c r="Z218" s="305"/>
      <c r="AA218" s="305"/>
      <c r="AB218" s="305"/>
      <c r="AC218" s="305"/>
      <c r="AD218" s="305"/>
      <c r="AE218" s="131"/>
    </row>
    <row r="219" spans="3:31" ht="14.25">
      <c r="C219" s="91"/>
      <c r="D219" s="91"/>
      <c r="H219" s="129"/>
      <c r="I219" s="129"/>
      <c r="J219" s="129"/>
      <c r="K219" s="304"/>
      <c r="N219" s="487"/>
      <c r="O219" s="305"/>
      <c r="Q219" s="305"/>
      <c r="R219" s="305"/>
      <c r="S219" s="471"/>
      <c r="T219" s="471"/>
      <c r="U219" s="471"/>
      <c r="V219" s="471"/>
      <c r="W219" s="471"/>
      <c r="X219" s="471"/>
      <c r="Y219" s="471"/>
      <c r="Z219" s="305"/>
      <c r="AA219" s="305"/>
      <c r="AB219" s="305"/>
      <c r="AC219" s="305"/>
      <c r="AD219" s="305"/>
      <c r="AE219" s="131"/>
    </row>
    <row r="220" spans="3:31" ht="14.25">
      <c r="C220" s="91"/>
      <c r="D220" s="91"/>
      <c r="H220" s="129"/>
      <c r="I220" s="129"/>
      <c r="J220" s="129"/>
      <c r="K220" s="304"/>
      <c r="N220" s="487"/>
      <c r="O220" s="305"/>
      <c r="Q220" s="305"/>
      <c r="R220" s="305"/>
      <c r="S220" s="471"/>
      <c r="T220" s="471"/>
      <c r="U220" s="471"/>
      <c r="V220" s="471"/>
      <c r="W220" s="471"/>
      <c r="X220" s="471"/>
      <c r="Y220" s="471"/>
      <c r="Z220" s="305"/>
      <c r="AA220" s="305"/>
      <c r="AB220" s="305"/>
      <c r="AC220" s="305"/>
      <c r="AD220" s="305"/>
      <c r="AE220" s="131"/>
    </row>
    <row r="221" spans="3:31" ht="14.25">
      <c r="C221" s="91"/>
      <c r="D221" s="91"/>
      <c r="H221" s="129"/>
      <c r="I221" s="129"/>
      <c r="J221" s="129"/>
      <c r="K221" s="304"/>
      <c r="N221" s="487"/>
      <c r="O221" s="305"/>
      <c r="Q221" s="305"/>
      <c r="R221" s="305"/>
      <c r="S221" s="471"/>
      <c r="T221" s="471"/>
      <c r="U221" s="471"/>
      <c r="V221" s="471"/>
      <c r="W221" s="471"/>
      <c r="X221" s="471"/>
      <c r="Y221" s="471"/>
      <c r="Z221" s="305"/>
      <c r="AA221" s="305"/>
      <c r="AB221" s="305"/>
      <c r="AC221" s="305"/>
      <c r="AD221" s="305"/>
      <c r="AE221" s="131"/>
    </row>
    <row r="222" spans="3:31" ht="14.25">
      <c r="C222" s="91"/>
      <c r="D222" s="91"/>
      <c r="H222" s="129"/>
      <c r="I222" s="129"/>
      <c r="J222" s="129"/>
      <c r="K222" s="304"/>
      <c r="N222" s="487"/>
      <c r="O222" s="305"/>
      <c r="Q222" s="305"/>
      <c r="R222" s="305"/>
      <c r="S222" s="471"/>
      <c r="T222" s="471"/>
      <c r="U222" s="471"/>
      <c r="V222" s="471"/>
      <c r="W222" s="471"/>
      <c r="X222" s="471"/>
      <c r="Y222" s="471"/>
      <c r="Z222" s="305"/>
      <c r="AA222" s="305"/>
      <c r="AB222" s="305"/>
      <c r="AC222" s="305"/>
      <c r="AD222" s="305"/>
      <c r="AE222" s="131"/>
    </row>
    <row r="223" spans="3:31" ht="14.25">
      <c r="C223" s="91"/>
      <c r="D223" s="91"/>
      <c r="H223" s="129"/>
      <c r="I223" s="129"/>
      <c r="J223" s="129"/>
      <c r="K223" s="304"/>
      <c r="N223" s="487"/>
      <c r="O223" s="305"/>
      <c r="Q223" s="305"/>
      <c r="R223" s="305"/>
      <c r="S223" s="471"/>
      <c r="T223" s="471"/>
      <c r="U223" s="471"/>
      <c r="V223" s="471"/>
      <c r="W223" s="471"/>
      <c r="X223" s="471"/>
      <c r="Y223" s="471"/>
      <c r="Z223" s="305"/>
      <c r="AA223" s="305"/>
      <c r="AB223" s="305"/>
      <c r="AC223" s="305"/>
      <c r="AD223" s="305"/>
      <c r="AE223" s="131"/>
    </row>
    <row r="224" spans="3:31" ht="14.25">
      <c r="C224" s="91"/>
      <c r="D224" s="91"/>
      <c r="H224" s="129"/>
      <c r="I224" s="129"/>
      <c r="J224" s="129"/>
      <c r="K224" s="304"/>
      <c r="N224" s="487"/>
      <c r="O224" s="305"/>
      <c r="Q224" s="305"/>
      <c r="R224" s="305"/>
      <c r="S224" s="471"/>
      <c r="T224" s="471"/>
      <c r="U224" s="471"/>
      <c r="V224" s="471"/>
      <c r="W224" s="471"/>
      <c r="X224" s="471"/>
      <c r="Y224" s="471"/>
      <c r="Z224" s="305"/>
      <c r="AA224" s="305"/>
      <c r="AB224" s="305"/>
      <c r="AC224" s="305"/>
      <c r="AD224" s="305"/>
      <c r="AE224" s="131"/>
    </row>
    <row r="225" spans="3:31" ht="14.25">
      <c r="C225" s="91"/>
      <c r="D225" s="91"/>
      <c r="H225" s="129"/>
      <c r="I225" s="129"/>
      <c r="J225" s="129"/>
      <c r="K225" s="304"/>
      <c r="N225" s="487"/>
      <c r="O225" s="305"/>
      <c r="Q225" s="305"/>
      <c r="R225" s="305"/>
      <c r="S225" s="471"/>
      <c r="T225" s="471"/>
      <c r="U225" s="471"/>
      <c r="V225" s="471"/>
      <c r="W225" s="471"/>
      <c r="X225" s="471"/>
      <c r="Y225" s="471"/>
      <c r="Z225" s="305"/>
      <c r="AA225" s="305"/>
      <c r="AB225" s="305"/>
      <c r="AC225" s="305"/>
      <c r="AD225" s="305"/>
      <c r="AE225" s="131"/>
    </row>
    <row r="226" spans="3:31" ht="14.25">
      <c r="C226" s="91"/>
      <c r="D226" s="91"/>
      <c r="H226" s="129"/>
      <c r="I226" s="129"/>
      <c r="J226" s="129"/>
      <c r="K226" s="304"/>
      <c r="N226" s="487"/>
      <c r="O226" s="305"/>
      <c r="Q226" s="305"/>
      <c r="R226" s="305"/>
      <c r="S226" s="471"/>
      <c r="T226" s="471"/>
      <c r="U226" s="471"/>
      <c r="V226" s="471"/>
      <c r="W226" s="471"/>
      <c r="X226" s="471"/>
      <c r="Y226" s="471"/>
      <c r="Z226" s="305"/>
      <c r="AA226" s="305"/>
      <c r="AB226" s="305"/>
      <c r="AC226" s="305"/>
      <c r="AD226" s="305"/>
      <c r="AE226" s="131"/>
    </row>
    <row r="227" spans="3:31" ht="14.25">
      <c r="C227" s="91"/>
      <c r="D227" s="91"/>
      <c r="H227" s="129"/>
      <c r="I227" s="129"/>
      <c r="J227" s="129"/>
      <c r="K227" s="304"/>
      <c r="N227" s="487"/>
      <c r="O227" s="305"/>
      <c r="Q227" s="305"/>
      <c r="R227" s="305"/>
      <c r="S227" s="471"/>
      <c r="T227" s="471"/>
      <c r="U227" s="471"/>
      <c r="V227" s="471"/>
      <c r="W227" s="471"/>
      <c r="X227" s="471"/>
      <c r="Y227" s="471"/>
      <c r="Z227" s="305"/>
      <c r="AA227" s="305"/>
      <c r="AB227" s="305"/>
      <c r="AC227" s="305"/>
      <c r="AD227" s="305"/>
      <c r="AE227" s="131"/>
    </row>
    <row r="228" spans="3:31" ht="14.25">
      <c r="C228" s="91"/>
      <c r="D228" s="91"/>
      <c r="H228" s="129"/>
      <c r="I228" s="129"/>
      <c r="J228" s="129"/>
      <c r="K228" s="304"/>
      <c r="N228" s="487"/>
      <c r="O228" s="305"/>
      <c r="Q228" s="305"/>
      <c r="R228" s="305"/>
      <c r="S228" s="471"/>
      <c r="T228" s="471"/>
      <c r="U228" s="471"/>
      <c r="V228" s="471"/>
      <c r="W228" s="471"/>
      <c r="X228" s="471"/>
      <c r="Y228" s="471"/>
      <c r="Z228" s="305"/>
      <c r="AA228" s="305"/>
      <c r="AB228" s="305"/>
      <c r="AC228" s="305"/>
      <c r="AD228" s="305"/>
      <c r="AE228" s="131"/>
    </row>
    <row r="229" spans="3:31" ht="14.25">
      <c r="C229" s="91"/>
      <c r="D229" s="91"/>
      <c r="H229" s="129"/>
      <c r="I229" s="129"/>
      <c r="J229" s="129"/>
      <c r="K229" s="304"/>
      <c r="N229" s="487"/>
      <c r="O229" s="305"/>
      <c r="Q229" s="305"/>
      <c r="R229" s="305"/>
      <c r="S229" s="471"/>
      <c r="T229" s="471"/>
      <c r="U229" s="471"/>
      <c r="V229" s="471"/>
      <c r="W229" s="471"/>
      <c r="X229" s="471"/>
      <c r="Y229" s="471"/>
      <c r="Z229" s="305"/>
      <c r="AA229" s="305"/>
      <c r="AB229" s="305"/>
      <c r="AC229" s="305"/>
      <c r="AD229" s="305"/>
      <c r="AE229" s="131"/>
    </row>
    <row r="230" spans="3:31" ht="14.25">
      <c r="C230" s="91"/>
      <c r="D230" s="91"/>
      <c r="H230" s="129"/>
      <c r="I230" s="129"/>
      <c r="J230" s="129"/>
      <c r="K230" s="304"/>
      <c r="N230" s="487"/>
      <c r="O230" s="305"/>
      <c r="Q230" s="305"/>
      <c r="R230" s="305"/>
      <c r="S230" s="471"/>
      <c r="T230" s="471"/>
      <c r="U230" s="471"/>
      <c r="V230" s="471"/>
      <c r="W230" s="471"/>
      <c r="X230" s="471"/>
      <c r="Y230" s="471"/>
      <c r="Z230" s="305"/>
      <c r="AA230" s="305"/>
      <c r="AB230" s="305"/>
      <c r="AC230" s="305"/>
      <c r="AD230" s="305"/>
      <c r="AE230" s="131"/>
    </row>
    <row r="231" spans="3:31" ht="14.25">
      <c r="C231" s="91"/>
      <c r="D231" s="91"/>
      <c r="H231" s="129"/>
      <c r="I231" s="129"/>
      <c r="J231" s="129"/>
      <c r="K231" s="304"/>
      <c r="N231" s="487"/>
      <c r="O231" s="305"/>
      <c r="Q231" s="305"/>
      <c r="R231" s="305"/>
      <c r="S231" s="471"/>
      <c r="T231" s="471"/>
      <c r="U231" s="471"/>
      <c r="V231" s="471"/>
      <c r="W231" s="471"/>
      <c r="X231" s="471"/>
      <c r="Y231" s="471"/>
      <c r="Z231" s="305"/>
      <c r="AA231" s="305"/>
      <c r="AB231" s="305"/>
      <c r="AC231" s="305"/>
      <c r="AD231" s="305"/>
      <c r="AE231" s="131"/>
    </row>
    <row r="232" spans="3:31" ht="14.25">
      <c r="C232" s="91"/>
      <c r="D232" s="91"/>
      <c r="H232" s="129"/>
      <c r="I232" s="129"/>
      <c r="J232" s="129"/>
      <c r="K232" s="304"/>
      <c r="N232" s="487"/>
      <c r="O232" s="305"/>
      <c r="Q232" s="305"/>
      <c r="R232" s="305"/>
      <c r="S232" s="471"/>
      <c r="T232" s="471"/>
      <c r="U232" s="471"/>
      <c r="V232" s="471"/>
      <c r="W232" s="471"/>
      <c r="X232" s="471"/>
      <c r="Y232" s="471"/>
      <c r="Z232" s="305"/>
      <c r="AA232" s="305"/>
      <c r="AB232" s="305"/>
      <c r="AC232" s="305"/>
      <c r="AD232" s="305"/>
      <c r="AE232" s="131"/>
    </row>
    <row r="233" spans="3:31" ht="14.25">
      <c r="C233" s="91"/>
      <c r="D233" s="91"/>
      <c r="H233" s="129"/>
      <c r="I233" s="129"/>
      <c r="J233" s="129"/>
      <c r="K233" s="304"/>
      <c r="N233" s="487"/>
      <c r="O233" s="305"/>
      <c r="Q233" s="305"/>
      <c r="R233" s="305"/>
      <c r="S233" s="471"/>
      <c r="T233" s="471"/>
      <c r="U233" s="471"/>
      <c r="V233" s="471"/>
      <c r="W233" s="471"/>
      <c r="X233" s="471"/>
      <c r="Y233" s="471"/>
      <c r="Z233" s="305"/>
      <c r="AA233" s="305"/>
      <c r="AB233" s="305"/>
      <c r="AC233" s="305"/>
      <c r="AD233" s="305"/>
      <c r="AE233" s="131"/>
    </row>
    <row r="234" spans="3:31" ht="14.25">
      <c r="C234" s="91"/>
      <c r="D234" s="91"/>
      <c r="H234" s="129"/>
      <c r="I234" s="129"/>
      <c r="J234" s="129"/>
      <c r="K234" s="304"/>
      <c r="N234" s="487"/>
      <c r="O234" s="305"/>
      <c r="Q234" s="305"/>
      <c r="R234" s="305"/>
      <c r="S234" s="471"/>
      <c r="T234" s="471"/>
      <c r="U234" s="471"/>
      <c r="V234" s="471"/>
      <c r="W234" s="471"/>
      <c r="X234" s="471"/>
      <c r="Y234" s="471"/>
      <c r="Z234" s="305"/>
      <c r="AA234" s="305"/>
      <c r="AB234" s="305"/>
      <c r="AC234" s="305"/>
      <c r="AD234" s="305"/>
      <c r="AE234" s="131"/>
    </row>
    <row r="235" spans="3:31" ht="14.25">
      <c r="C235" s="91"/>
      <c r="D235" s="91"/>
      <c r="H235" s="129"/>
      <c r="I235" s="129"/>
      <c r="J235" s="129"/>
      <c r="K235" s="304"/>
      <c r="N235" s="487"/>
      <c r="O235" s="305"/>
      <c r="Q235" s="305"/>
      <c r="R235" s="305"/>
      <c r="S235" s="471"/>
      <c r="T235" s="471"/>
      <c r="U235" s="471"/>
      <c r="V235" s="471"/>
      <c r="W235" s="471"/>
      <c r="X235" s="471"/>
      <c r="Y235" s="471"/>
      <c r="Z235" s="305"/>
      <c r="AA235" s="305"/>
      <c r="AB235" s="305"/>
      <c r="AC235" s="305"/>
      <c r="AD235" s="305"/>
      <c r="AE235" s="131"/>
    </row>
    <row r="236" spans="3:31" ht="14.25">
      <c r="C236" s="91"/>
      <c r="D236" s="91"/>
      <c r="H236" s="129"/>
      <c r="I236" s="129"/>
      <c r="J236" s="129"/>
      <c r="K236" s="304"/>
      <c r="N236" s="487"/>
      <c r="O236" s="305"/>
      <c r="Q236" s="305"/>
      <c r="R236" s="305"/>
      <c r="S236" s="471"/>
      <c r="T236" s="471"/>
      <c r="U236" s="471"/>
      <c r="V236" s="471"/>
      <c r="W236" s="471"/>
      <c r="X236" s="471"/>
      <c r="Y236" s="471"/>
      <c r="Z236" s="305"/>
      <c r="AA236" s="305"/>
      <c r="AB236" s="305"/>
      <c r="AC236" s="305"/>
      <c r="AD236" s="305"/>
      <c r="AE236" s="131"/>
    </row>
    <row r="237" spans="3:31" ht="14.25">
      <c r="C237" s="91"/>
      <c r="D237" s="91"/>
      <c r="H237" s="129"/>
      <c r="I237" s="129"/>
      <c r="J237" s="129"/>
      <c r="K237" s="304"/>
      <c r="N237" s="487"/>
      <c r="O237" s="305"/>
      <c r="Q237" s="305"/>
      <c r="R237" s="305"/>
      <c r="S237" s="471"/>
      <c r="T237" s="471"/>
      <c r="U237" s="471"/>
      <c r="V237" s="471"/>
      <c r="W237" s="471"/>
      <c r="X237" s="471"/>
      <c r="Y237" s="471"/>
      <c r="Z237" s="305"/>
      <c r="AA237" s="305"/>
      <c r="AB237" s="305"/>
      <c r="AC237" s="305"/>
      <c r="AD237" s="305"/>
      <c r="AE237" s="131"/>
    </row>
    <row r="238" spans="3:31" ht="14.25">
      <c r="C238" s="91"/>
      <c r="D238" s="91"/>
      <c r="H238" s="129"/>
      <c r="I238" s="129"/>
      <c r="J238" s="129"/>
      <c r="K238" s="304"/>
      <c r="N238" s="487"/>
      <c r="O238" s="305"/>
      <c r="Q238" s="305"/>
      <c r="R238" s="305"/>
      <c r="S238" s="471"/>
      <c r="T238" s="471"/>
      <c r="U238" s="471"/>
      <c r="V238" s="471"/>
      <c r="W238" s="471"/>
      <c r="X238" s="471"/>
      <c r="Y238" s="471"/>
      <c r="Z238" s="305"/>
      <c r="AA238" s="305"/>
      <c r="AB238" s="305"/>
      <c r="AC238" s="305"/>
      <c r="AD238" s="305"/>
      <c r="AE238" s="131"/>
    </row>
    <row r="239" spans="3:31" ht="14.25">
      <c r="C239" s="91"/>
      <c r="D239" s="91"/>
      <c r="H239" s="129"/>
      <c r="I239" s="129"/>
      <c r="J239" s="129"/>
      <c r="K239" s="304"/>
      <c r="N239" s="487"/>
      <c r="O239" s="305"/>
      <c r="Q239" s="305"/>
      <c r="R239" s="305"/>
      <c r="S239" s="471"/>
      <c r="T239" s="471"/>
      <c r="U239" s="471"/>
      <c r="V239" s="471"/>
      <c r="W239" s="471"/>
      <c r="X239" s="471"/>
      <c r="Y239" s="471"/>
      <c r="Z239" s="305"/>
      <c r="AA239" s="305"/>
      <c r="AB239" s="305"/>
      <c r="AC239" s="305"/>
      <c r="AD239" s="305"/>
      <c r="AE239" s="131"/>
    </row>
    <row r="240" spans="3:31" ht="14.25">
      <c r="C240" s="91"/>
      <c r="D240" s="91"/>
      <c r="H240" s="129"/>
      <c r="I240" s="129"/>
      <c r="J240" s="129"/>
      <c r="K240" s="304"/>
      <c r="N240" s="487"/>
      <c r="O240" s="305"/>
      <c r="Q240" s="305"/>
      <c r="R240" s="305"/>
      <c r="S240" s="471"/>
      <c r="T240" s="471"/>
      <c r="U240" s="471"/>
      <c r="V240" s="471"/>
      <c r="W240" s="471"/>
      <c r="X240" s="471"/>
      <c r="Y240" s="471"/>
      <c r="Z240" s="305"/>
      <c r="AA240" s="305"/>
      <c r="AB240" s="305"/>
      <c r="AC240" s="305"/>
      <c r="AD240" s="305"/>
      <c r="AE240" s="131"/>
    </row>
    <row r="241" spans="3:31" ht="14.25">
      <c r="C241" s="91"/>
      <c r="D241" s="91"/>
      <c r="H241" s="129"/>
      <c r="I241" s="129"/>
      <c r="J241" s="129"/>
      <c r="K241" s="304"/>
      <c r="N241" s="487"/>
      <c r="O241" s="305"/>
      <c r="Q241" s="305"/>
      <c r="R241" s="305"/>
      <c r="S241" s="471"/>
      <c r="T241" s="471"/>
      <c r="U241" s="471"/>
      <c r="V241" s="471"/>
      <c r="W241" s="471"/>
      <c r="X241" s="471"/>
      <c r="Y241" s="471"/>
      <c r="Z241" s="305"/>
      <c r="AA241" s="305"/>
      <c r="AB241" s="305"/>
      <c r="AC241" s="305"/>
      <c r="AD241" s="305"/>
      <c r="AE241" s="131"/>
    </row>
    <row r="242" spans="3:31" ht="14.25">
      <c r="C242" s="91"/>
      <c r="D242" s="91"/>
      <c r="H242" s="129"/>
      <c r="I242" s="129"/>
      <c r="J242" s="129"/>
      <c r="K242" s="304"/>
      <c r="N242" s="487"/>
      <c r="O242" s="305"/>
      <c r="Q242" s="305"/>
      <c r="R242" s="305"/>
      <c r="S242" s="471"/>
      <c r="T242" s="471"/>
      <c r="U242" s="471"/>
      <c r="V242" s="471"/>
      <c r="W242" s="471"/>
      <c r="X242" s="471"/>
      <c r="Y242" s="471"/>
      <c r="Z242" s="305"/>
      <c r="AA242" s="305"/>
      <c r="AB242" s="305"/>
      <c r="AC242" s="305"/>
      <c r="AD242" s="305"/>
      <c r="AE242" s="131"/>
    </row>
    <row r="243" spans="3:31" ht="14.25">
      <c r="C243" s="91"/>
      <c r="D243" s="91"/>
      <c r="H243" s="129"/>
      <c r="I243" s="129"/>
      <c r="J243" s="129"/>
      <c r="K243" s="304"/>
      <c r="N243" s="487"/>
      <c r="O243" s="305"/>
      <c r="Q243" s="305"/>
      <c r="R243" s="305"/>
      <c r="S243" s="471"/>
      <c r="T243" s="471"/>
      <c r="U243" s="471"/>
      <c r="V243" s="471"/>
      <c r="W243" s="471"/>
      <c r="X243" s="471"/>
      <c r="Y243" s="471"/>
      <c r="Z243" s="305"/>
      <c r="AA243" s="305"/>
      <c r="AB243" s="305"/>
      <c r="AC243" s="305"/>
      <c r="AD243" s="305"/>
      <c r="AE243" s="131"/>
    </row>
    <row r="244" spans="3:31" ht="14.25">
      <c r="C244" s="91"/>
      <c r="D244" s="91"/>
      <c r="H244" s="129"/>
      <c r="I244" s="129"/>
      <c r="J244" s="129"/>
      <c r="K244" s="304"/>
      <c r="N244" s="487"/>
      <c r="O244" s="305"/>
      <c r="Q244" s="305"/>
      <c r="R244" s="305"/>
      <c r="S244" s="471"/>
      <c r="T244" s="471"/>
      <c r="U244" s="471"/>
      <c r="V244" s="471"/>
      <c r="W244" s="471"/>
      <c r="X244" s="471"/>
      <c r="Y244" s="471"/>
      <c r="Z244" s="305"/>
      <c r="AA244" s="305"/>
      <c r="AB244" s="305"/>
      <c r="AC244" s="305"/>
      <c r="AD244" s="305"/>
      <c r="AE244" s="131"/>
    </row>
    <row r="245" spans="3:31" ht="14.25">
      <c r="C245" s="91"/>
      <c r="D245" s="91"/>
      <c r="H245" s="129"/>
      <c r="I245" s="129"/>
      <c r="J245" s="129"/>
      <c r="K245" s="304"/>
      <c r="N245" s="487"/>
      <c r="O245" s="305"/>
      <c r="Q245" s="305"/>
      <c r="R245" s="305"/>
      <c r="S245" s="471"/>
      <c r="T245" s="471"/>
      <c r="U245" s="471"/>
      <c r="V245" s="471"/>
      <c r="W245" s="471"/>
      <c r="X245" s="471"/>
      <c r="Y245" s="471"/>
      <c r="Z245" s="305"/>
      <c r="AA245" s="305"/>
      <c r="AB245" s="305"/>
      <c r="AC245" s="305"/>
      <c r="AD245" s="305"/>
      <c r="AE245" s="131"/>
    </row>
    <row r="246" spans="3:31" ht="14.25">
      <c r="C246" s="91"/>
      <c r="D246" s="91"/>
      <c r="H246" s="129"/>
      <c r="I246" s="129"/>
      <c r="J246" s="129"/>
      <c r="K246" s="304"/>
      <c r="N246" s="487"/>
      <c r="O246" s="305"/>
      <c r="Q246" s="305"/>
      <c r="R246" s="305"/>
      <c r="S246" s="471"/>
      <c r="T246" s="471"/>
      <c r="U246" s="471"/>
      <c r="V246" s="471"/>
      <c r="W246" s="471"/>
      <c r="X246" s="471"/>
      <c r="Y246" s="471"/>
      <c r="Z246" s="305"/>
      <c r="AA246" s="305"/>
      <c r="AB246" s="305"/>
      <c r="AC246" s="305"/>
      <c r="AD246" s="305"/>
      <c r="AE246" s="131"/>
    </row>
    <row r="247" spans="3:31" ht="14.25">
      <c r="C247" s="91"/>
      <c r="D247" s="91"/>
      <c r="H247" s="129"/>
      <c r="I247" s="129"/>
      <c r="J247" s="129"/>
      <c r="K247" s="304"/>
      <c r="N247" s="487"/>
      <c r="O247" s="305"/>
      <c r="Q247" s="305"/>
      <c r="R247" s="305"/>
      <c r="S247" s="471"/>
      <c r="T247" s="471"/>
      <c r="U247" s="471"/>
      <c r="V247" s="471"/>
      <c r="W247" s="471"/>
      <c r="X247" s="471"/>
      <c r="Y247" s="471"/>
      <c r="Z247" s="305"/>
      <c r="AA247" s="305"/>
      <c r="AB247" s="305"/>
      <c r="AC247" s="305"/>
      <c r="AD247" s="305"/>
      <c r="AE247" s="131"/>
    </row>
    <row r="248" spans="3:31" ht="14.25">
      <c r="C248" s="91"/>
      <c r="D248" s="91"/>
      <c r="H248" s="129"/>
      <c r="I248" s="129"/>
      <c r="J248" s="129"/>
      <c r="K248" s="304"/>
      <c r="N248" s="487"/>
      <c r="O248" s="305"/>
      <c r="Q248" s="305"/>
      <c r="R248" s="305"/>
      <c r="S248" s="471"/>
      <c r="T248" s="471"/>
      <c r="U248" s="471"/>
      <c r="V248" s="471"/>
      <c r="W248" s="471"/>
      <c r="X248" s="471"/>
      <c r="Y248" s="471"/>
      <c r="Z248" s="305"/>
      <c r="AA248" s="305"/>
      <c r="AB248" s="305"/>
      <c r="AC248" s="305"/>
      <c r="AD248" s="305"/>
      <c r="AE248" s="131"/>
    </row>
    <row r="249" spans="3:31" ht="14.25">
      <c r="C249" s="91"/>
      <c r="D249" s="91"/>
      <c r="H249" s="129"/>
      <c r="I249" s="129"/>
      <c r="J249" s="129"/>
      <c r="K249" s="304"/>
      <c r="N249" s="487"/>
      <c r="O249" s="305"/>
      <c r="Q249" s="305"/>
      <c r="R249" s="305"/>
      <c r="S249" s="471"/>
      <c r="T249" s="471"/>
      <c r="U249" s="471"/>
      <c r="V249" s="471"/>
      <c r="W249" s="471"/>
      <c r="X249" s="471"/>
      <c r="Y249" s="471"/>
      <c r="Z249" s="305"/>
      <c r="AA249" s="305"/>
      <c r="AB249" s="305"/>
      <c r="AC249" s="305"/>
      <c r="AD249" s="305"/>
      <c r="AE249" s="131"/>
    </row>
    <row r="250" spans="3:31" ht="14.25">
      <c r="C250" s="91"/>
      <c r="D250" s="91"/>
      <c r="H250" s="129"/>
      <c r="I250" s="129"/>
      <c r="J250" s="129"/>
      <c r="K250" s="304"/>
      <c r="N250" s="487"/>
      <c r="O250" s="305"/>
      <c r="Q250" s="305"/>
      <c r="R250" s="305"/>
      <c r="S250" s="471"/>
      <c r="T250" s="471"/>
      <c r="U250" s="471"/>
      <c r="V250" s="471"/>
      <c r="W250" s="471"/>
      <c r="X250" s="471"/>
      <c r="Y250" s="471"/>
      <c r="Z250" s="305"/>
      <c r="AA250" s="305"/>
      <c r="AB250" s="305"/>
      <c r="AC250" s="305"/>
      <c r="AD250" s="305"/>
      <c r="AE250" s="131"/>
    </row>
    <row r="251" spans="3:31" ht="14.25">
      <c r="C251" s="91"/>
      <c r="D251" s="91"/>
      <c r="H251" s="129"/>
      <c r="I251" s="129"/>
      <c r="J251" s="129"/>
      <c r="K251" s="304"/>
      <c r="N251" s="487"/>
      <c r="O251" s="305"/>
      <c r="Q251" s="305"/>
      <c r="R251" s="305"/>
      <c r="S251" s="471"/>
      <c r="T251" s="471"/>
      <c r="U251" s="471"/>
      <c r="V251" s="471"/>
      <c r="W251" s="471"/>
      <c r="X251" s="471"/>
      <c r="Y251" s="471"/>
      <c r="Z251" s="305"/>
      <c r="AA251" s="305"/>
      <c r="AB251" s="305"/>
      <c r="AC251" s="305"/>
      <c r="AD251" s="305"/>
      <c r="AE251" s="131"/>
    </row>
    <row r="252" spans="3:31" ht="14.25">
      <c r="C252" s="91"/>
      <c r="D252" s="91"/>
      <c r="H252" s="129"/>
      <c r="I252" s="129"/>
      <c r="J252" s="129"/>
      <c r="K252" s="304"/>
      <c r="N252" s="487"/>
      <c r="O252" s="305"/>
      <c r="Q252" s="305"/>
      <c r="R252" s="305"/>
      <c r="S252" s="471"/>
      <c r="T252" s="471"/>
      <c r="U252" s="471"/>
      <c r="V252" s="471"/>
      <c r="W252" s="471"/>
      <c r="X252" s="471"/>
      <c r="Y252" s="471"/>
      <c r="Z252" s="305"/>
      <c r="AA252" s="305"/>
      <c r="AB252" s="305"/>
      <c r="AC252" s="305"/>
      <c r="AD252" s="305"/>
      <c r="AE252" s="131"/>
    </row>
    <row r="253" spans="3:31" ht="14.25">
      <c r="C253" s="91"/>
      <c r="D253" s="91"/>
      <c r="H253" s="129"/>
      <c r="I253" s="129"/>
      <c r="J253" s="129"/>
      <c r="K253" s="304"/>
      <c r="N253" s="487"/>
      <c r="O253" s="305"/>
      <c r="Q253" s="305"/>
      <c r="R253" s="305"/>
      <c r="S253" s="471"/>
      <c r="T253" s="471"/>
      <c r="U253" s="471"/>
      <c r="V253" s="471"/>
      <c r="W253" s="471"/>
      <c r="X253" s="471"/>
      <c r="Y253" s="471"/>
      <c r="Z253" s="305"/>
      <c r="AA253" s="305"/>
      <c r="AB253" s="305"/>
      <c r="AC253" s="305"/>
      <c r="AD253" s="305"/>
      <c r="AE253" s="131"/>
    </row>
    <row r="254" spans="3:31" ht="14.25">
      <c r="C254" s="91"/>
      <c r="D254" s="91"/>
      <c r="H254" s="129"/>
      <c r="I254" s="129"/>
      <c r="J254" s="129"/>
      <c r="K254" s="304"/>
      <c r="N254" s="487"/>
      <c r="O254" s="305"/>
      <c r="Q254" s="305"/>
      <c r="R254" s="305"/>
      <c r="S254" s="471"/>
      <c r="T254" s="471"/>
      <c r="U254" s="471"/>
      <c r="V254" s="471"/>
      <c r="W254" s="471"/>
      <c r="X254" s="471"/>
      <c r="Y254" s="471"/>
      <c r="Z254" s="305"/>
      <c r="AA254" s="305"/>
      <c r="AB254" s="305"/>
      <c r="AC254" s="305"/>
      <c r="AD254" s="305"/>
      <c r="AE254" s="131"/>
    </row>
    <row r="255" spans="3:31" ht="14.25">
      <c r="C255" s="91"/>
      <c r="D255" s="91"/>
      <c r="H255" s="129"/>
      <c r="I255" s="129"/>
      <c r="J255" s="129"/>
      <c r="K255" s="304"/>
      <c r="N255" s="487"/>
      <c r="O255" s="305"/>
      <c r="Q255" s="305"/>
      <c r="R255" s="305"/>
      <c r="S255" s="471"/>
      <c r="T255" s="471"/>
      <c r="U255" s="471"/>
      <c r="V255" s="471"/>
      <c r="W255" s="471"/>
      <c r="X255" s="471"/>
      <c r="Y255" s="471"/>
      <c r="Z255" s="305"/>
      <c r="AA255" s="305"/>
      <c r="AB255" s="305"/>
      <c r="AC255" s="305"/>
      <c r="AD255" s="305"/>
      <c r="AE255" s="131"/>
    </row>
    <row r="256" spans="3:31" ht="14.25">
      <c r="C256" s="91"/>
      <c r="D256" s="91"/>
      <c r="H256" s="129"/>
      <c r="I256" s="129"/>
      <c r="J256" s="129"/>
      <c r="K256" s="304"/>
      <c r="N256" s="487"/>
      <c r="O256" s="305"/>
      <c r="Q256" s="305"/>
      <c r="R256" s="305"/>
      <c r="S256" s="471"/>
      <c r="T256" s="471"/>
      <c r="U256" s="471"/>
      <c r="V256" s="471"/>
      <c r="W256" s="471"/>
      <c r="X256" s="471"/>
      <c r="Y256" s="471"/>
      <c r="Z256" s="305"/>
      <c r="AA256" s="305"/>
      <c r="AB256" s="305"/>
      <c r="AC256" s="305"/>
      <c r="AD256" s="305"/>
      <c r="AE256" s="131"/>
    </row>
    <row r="257" spans="3:31" ht="14.25">
      <c r="C257" s="91"/>
      <c r="D257" s="91"/>
      <c r="H257" s="129"/>
      <c r="I257" s="129"/>
      <c r="J257" s="129"/>
      <c r="K257" s="304"/>
      <c r="N257" s="487"/>
      <c r="O257" s="305"/>
      <c r="Q257" s="305"/>
      <c r="R257" s="305"/>
      <c r="S257" s="471"/>
      <c r="T257" s="471"/>
      <c r="U257" s="471"/>
      <c r="V257" s="471"/>
      <c r="W257" s="471"/>
      <c r="X257" s="471"/>
      <c r="Y257" s="471"/>
      <c r="Z257" s="305"/>
      <c r="AA257" s="305"/>
      <c r="AB257" s="305"/>
      <c r="AC257" s="305"/>
      <c r="AD257" s="305"/>
      <c r="AE257" s="131"/>
    </row>
    <row r="258" spans="3:31" ht="14.25">
      <c r="C258" s="91"/>
      <c r="D258" s="91"/>
      <c r="H258" s="129"/>
      <c r="I258" s="129"/>
      <c r="J258" s="129"/>
      <c r="K258" s="304"/>
      <c r="N258" s="487"/>
      <c r="O258" s="305"/>
      <c r="Q258" s="305"/>
      <c r="R258" s="305"/>
      <c r="S258" s="471"/>
      <c r="T258" s="471"/>
      <c r="U258" s="471"/>
      <c r="V258" s="471"/>
      <c r="W258" s="471"/>
      <c r="X258" s="471"/>
      <c r="Y258" s="471"/>
      <c r="Z258" s="305"/>
      <c r="AA258" s="305"/>
      <c r="AB258" s="305"/>
      <c r="AC258" s="305"/>
      <c r="AD258" s="305"/>
      <c r="AE258" s="131"/>
    </row>
    <row r="259" spans="3:31" ht="14.25">
      <c r="C259" s="91"/>
      <c r="D259" s="91"/>
      <c r="H259" s="129"/>
      <c r="I259" s="129"/>
      <c r="J259" s="129"/>
      <c r="K259" s="304"/>
      <c r="N259" s="487"/>
      <c r="O259" s="305"/>
      <c r="Q259" s="305"/>
      <c r="R259" s="305"/>
      <c r="S259" s="471"/>
      <c r="T259" s="471"/>
      <c r="U259" s="471"/>
      <c r="V259" s="471"/>
      <c r="W259" s="471"/>
      <c r="X259" s="471"/>
      <c r="Y259" s="471"/>
      <c r="Z259" s="305"/>
      <c r="AA259" s="305"/>
      <c r="AB259" s="305"/>
      <c r="AC259" s="305"/>
      <c r="AD259" s="305"/>
      <c r="AE259" s="131"/>
    </row>
    <row r="260" spans="3:31" ht="14.25">
      <c r="C260" s="91"/>
      <c r="D260" s="91"/>
      <c r="H260" s="129"/>
      <c r="I260" s="129"/>
      <c r="J260" s="129"/>
      <c r="K260" s="304"/>
      <c r="N260" s="487"/>
      <c r="O260" s="305"/>
      <c r="Q260" s="305"/>
      <c r="R260" s="305"/>
      <c r="S260" s="471"/>
      <c r="T260" s="471"/>
      <c r="U260" s="471"/>
      <c r="V260" s="471"/>
      <c r="W260" s="471"/>
      <c r="X260" s="471"/>
      <c r="Y260" s="471"/>
      <c r="Z260" s="305"/>
      <c r="AA260" s="305"/>
      <c r="AB260" s="305"/>
      <c r="AC260" s="305"/>
      <c r="AD260" s="305"/>
      <c r="AE260" s="131"/>
    </row>
    <row r="261" spans="3:31" ht="14.25">
      <c r="C261" s="91"/>
      <c r="D261" s="91"/>
      <c r="H261" s="129"/>
      <c r="I261" s="129"/>
      <c r="J261" s="129"/>
      <c r="K261" s="304"/>
      <c r="N261" s="487"/>
      <c r="O261" s="305"/>
      <c r="Q261" s="305"/>
      <c r="R261" s="305"/>
      <c r="S261" s="471"/>
      <c r="T261" s="471"/>
      <c r="U261" s="471"/>
      <c r="V261" s="471"/>
      <c r="W261" s="471"/>
      <c r="X261" s="471"/>
      <c r="Y261" s="471"/>
      <c r="Z261" s="305"/>
      <c r="AA261" s="305"/>
      <c r="AB261" s="305"/>
      <c r="AC261" s="305"/>
      <c r="AD261" s="305"/>
      <c r="AE261" s="131"/>
    </row>
    <row r="262" spans="3:31" ht="14.25">
      <c r="C262" s="91"/>
      <c r="D262" s="91"/>
      <c r="H262" s="129"/>
      <c r="I262" s="129"/>
      <c r="J262" s="129"/>
      <c r="K262" s="304"/>
      <c r="N262" s="487"/>
      <c r="O262" s="305"/>
      <c r="Q262" s="305"/>
      <c r="R262" s="305"/>
      <c r="S262" s="471"/>
      <c r="T262" s="471"/>
      <c r="U262" s="471"/>
      <c r="V262" s="471"/>
      <c r="W262" s="471"/>
      <c r="X262" s="471"/>
      <c r="Y262" s="471"/>
      <c r="Z262" s="305"/>
      <c r="AA262" s="305"/>
      <c r="AB262" s="305"/>
      <c r="AC262" s="305"/>
      <c r="AD262" s="305"/>
      <c r="AE262" s="131"/>
    </row>
    <row r="263" spans="3:31" ht="14.25">
      <c r="C263" s="91"/>
      <c r="D263" s="91"/>
      <c r="H263" s="129"/>
      <c r="I263" s="129"/>
      <c r="J263" s="129"/>
      <c r="K263" s="304"/>
      <c r="N263" s="487"/>
      <c r="O263" s="305"/>
      <c r="Q263" s="305"/>
      <c r="R263" s="305"/>
      <c r="S263" s="471"/>
      <c r="T263" s="471"/>
      <c r="U263" s="471"/>
      <c r="V263" s="471"/>
      <c r="W263" s="471"/>
      <c r="X263" s="471"/>
      <c r="Y263" s="471"/>
      <c r="Z263" s="305"/>
      <c r="AA263" s="305"/>
      <c r="AB263" s="305"/>
      <c r="AC263" s="305"/>
      <c r="AD263" s="305"/>
      <c r="AE263" s="131"/>
    </row>
    <row r="264" spans="3:31" ht="14.25">
      <c r="C264" s="91"/>
      <c r="D264" s="91"/>
      <c r="H264" s="129"/>
      <c r="I264" s="129"/>
      <c r="J264" s="129"/>
      <c r="K264" s="304"/>
      <c r="N264" s="487"/>
      <c r="O264" s="305"/>
      <c r="Q264" s="305"/>
      <c r="R264" s="305"/>
      <c r="S264" s="471"/>
      <c r="T264" s="471"/>
      <c r="U264" s="471"/>
      <c r="V264" s="471"/>
      <c r="W264" s="471"/>
      <c r="X264" s="471"/>
      <c r="Y264" s="471"/>
      <c r="Z264" s="305"/>
      <c r="AA264" s="305"/>
      <c r="AB264" s="305"/>
      <c r="AC264" s="305"/>
      <c r="AD264" s="305"/>
      <c r="AE264" s="131"/>
    </row>
    <row r="265" spans="3:31" ht="14.25">
      <c r="C265" s="91"/>
      <c r="D265" s="91"/>
      <c r="H265" s="129"/>
      <c r="I265" s="129"/>
      <c r="J265" s="129"/>
      <c r="K265" s="304"/>
      <c r="N265" s="487"/>
      <c r="O265" s="305"/>
      <c r="Q265" s="305"/>
      <c r="R265" s="305"/>
      <c r="S265" s="471"/>
      <c r="T265" s="471"/>
      <c r="U265" s="471"/>
      <c r="V265" s="471"/>
      <c r="W265" s="471"/>
      <c r="X265" s="471"/>
      <c r="Y265" s="471"/>
      <c r="Z265" s="305"/>
      <c r="AA265" s="305"/>
      <c r="AB265" s="305"/>
      <c r="AC265" s="305"/>
      <c r="AD265" s="305"/>
      <c r="AE265" s="131"/>
    </row>
    <row r="266" spans="3:31" ht="14.25">
      <c r="C266" s="91"/>
      <c r="D266" s="91"/>
      <c r="H266" s="129"/>
      <c r="I266" s="129"/>
      <c r="J266" s="129"/>
      <c r="K266" s="304"/>
      <c r="N266" s="487"/>
      <c r="O266" s="305"/>
      <c r="Q266" s="305"/>
      <c r="R266" s="305"/>
      <c r="S266" s="471"/>
      <c r="T266" s="471"/>
      <c r="U266" s="471"/>
      <c r="V266" s="471"/>
      <c r="W266" s="471"/>
      <c r="X266" s="471"/>
      <c r="Y266" s="471"/>
      <c r="Z266" s="305"/>
      <c r="AA266" s="305"/>
      <c r="AB266" s="305"/>
      <c r="AC266" s="305"/>
      <c r="AD266" s="305"/>
      <c r="AE266" s="131"/>
    </row>
    <row r="267" spans="3:31" ht="14.25">
      <c r="C267" s="91"/>
      <c r="D267" s="91"/>
      <c r="H267" s="129"/>
      <c r="I267" s="129"/>
      <c r="J267" s="129"/>
      <c r="K267" s="304"/>
      <c r="N267" s="487"/>
      <c r="O267" s="305"/>
      <c r="Q267" s="305"/>
      <c r="R267" s="305"/>
      <c r="S267" s="471"/>
      <c r="T267" s="471"/>
      <c r="U267" s="471"/>
      <c r="V267" s="471"/>
      <c r="W267" s="471"/>
      <c r="X267" s="471"/>
      <c r="Y267" s="471"/>
      <c r="Z267" s="305"/>
      <c r="AA267" s="305"/>
      <c r="AB267" s="305"/>
      <c r="AC267" s="305"/>
      <c r="AD267" s="305"/>
      <c r="AE267" s="131"/>
    </row>
    <row r="268" spans="3:31" ht="14.25">
      <c r="C268" s="91"/>
      <c r="D268" s="91"/>
      <c r="H268" s="129"/>
      <c r="I268" s="129"/>
      <c r="J268" s="129"/>
      <c r="K268" s="304"/>
      <c r="N268" s="487"/>
      <c r="O268" s="305"/>
      <c r="Q268" s="305"/>
      <c r="R268" s="305"/>
      <c r="S268" s="471"/>
      <c r="T268" s="471"/>
      <c r="U268" s="471"/>
      <c r="V268" s="471"/>
      <c r="W268" s="471"/>
      <c r="X268" s="471"/>
      <c r="Y268" s="471"/>
      <c r="Z268" s="305"/>
      <c r="AA268" s="305"/>
      <c r="AB268" s="305"/>
      <c r="AC268" s="305"/>
      <c r="AD268" s="305"/>
      <c r="AE268" s="131"/>
    </row>
    <row r="269" spans="3:31" ht="14.25">
      <c r="C269" s="91"/>
      <c r="D269" s="91"/>
      <c r="H269" s="129"/>
      <c r="I269" s="129"/>
      <c r="J269" s="129"/>
      <c r="K269" s="304"/>
      <c r="N269" s="487"/>
      <c r="O269" s="305"/>
      <c r="Q269" s="305"/>
      <c r="R269" s="305"/>
      <c r="S269" s="471"/>
      <c r="T269" s="471"/>
      <c r="U269" s="471"/>
      <c r="V269" s="471"/>
      <c r="W269" s="471"/>
      <c r="X269" s="471"/>
      <c r="Y269" s="471"/>
      <c r="Z269" s="305"/>
      <c r="AA269" s="305"/>
      <c r="AB269" s="305"/>
      <c r="AC269" s="305"/>
      <c r="AD269" s="305"/>
      <c r="AE269" s="131"/>
    </row>
    <row r="270" spans="3:31" ht="14.25">
      <c r="C270" s="91"/>
      <c r="D270" s="91"/>
      <c r="H270" s="129"/>
      <c r="I270" s="129"/>
      <c r="J270" s="129"/>
      <c r="K270" s="304"/>
      <c r="N270" s="487"/>
      <c r="O270" s="305"/>
      <c r="Q270" s="305"/>
      <c r="R270" s="305"/>
      <c r="S270" s="471"/>
      <c r="T270" s="471"/>
      <c r="U270" s="471"/>
      <c r="V270" s="471"/>
      <c r="W270" s="471"/>
      <c r="X270" s="471"/>
      <c r="Y270" s="471"/>
      <c r="Z270" s="305"/>
      <c r="AA270" s="305"/>
      <c r="AB270" s="305"/>
      <c r="AC270" s="305"/>
      <c r="AD270" s="305"/>
      <c r="AE270" s="131"/>
    </row>
    <row r="271" spans="3:31" ht="14.25">
      <c r="C271" s="91"/>
      <c r="D271" s="91"/>
      <c r="H271" s="129"/>
      <c r="I271" s="129"/>
      <c r="J271" s="129"/>
      <c r="K271" s="304"/>
      <c r="N271" s="487"/>
      <c r="O271" s="305"/>
      <c r="Q271" s="305"/>
      <c r="R271" s="305"/>
      <c r="S271" s="471"/>
      <c r="T271" s="471"/>
      <c r="U271" s="471"/>
      <c r="V271" s="471"/>
      <c r="W271" s="471"/>
      <c r="X271" s="471"/>
      <c r="Y271" s="471"/>
      <c r="Z271" s="305"/>
      <c r="AA271" s="305"/>
      <c r="AB271" s="305"/>
      <c r="AC271" s="305"/>
      <c r="AD271" s="305"/>
      <c r="AE271" s="131"/>
    </row>
    <row r="272" spans="3:31" ht="14.25">
      <c r="C272" s="91"/>
      <c r="D272" s="91"/>
      <c r="H272" s="129"/>
      <c r="I272" s="129"/>
      <c r="J272" s="129"/>
      <c r="K272" s="304"/>
      <c r="N272" s="487"/>
      <c r="O272" s="305"/>
      <c r="Q272" s="305"/>
      <c r="R272" s="305"/>
      <c r="S272" s="471"/>
      <c r="T272" s="471"/>
      <c r="U272" s="471"/>
      <c r="V272" s="471"/>
      <c r="W272" s="471"/>
      <c r="X272" s="471"/>
      <c r="Y272" s="471"/>
      <c r="Z272" s="305"/>
      <c r="AA272" s="305"/>
      <c r="AB272" s="305"/>
      <c r="AC272" s="305"/>
      <c r="AD272" s="305"/>
      <c r="AE272" s="131"/>
    </row>
    <row r="273" spans="3:31" ht="14.25">
      <c r="C273" s="91"/>
      <c r="D273" s="91"/>
      <c r="H273" s="129"/>
      <c r="I273" s="129"/>
      <c r="J273" s="129"/>
      <c r="K273" s="304"/>
      <c r="N273" s="487"/>
      <c r="O273" s="305"/>
      <c r="Q273" s="305"/>
      <c r="R273" s="305"/>
      <c r="S273" s="471"/>
      <c r="T273" s="471"/>
      <c r="U273" s="471"/>
      <c r="V273" s="471"/>
      <c r="W273" s="471"/>
      <c r="X273" s="471"/>
      <c r="Y273" s="471"/>
      <c r="Z273" s="305"/>
      <c r="AA273" s="305"/>
      <c r="AB273" s="305"/>
      <c r="AC273" s="305"/>
      <c r="AD273" s="305"/>
      <c r="AE273" s="131"/>
    </row>
    <row r="274" spans="3:31" ht="14.25">
      <c r="C274" s="91"/>
      <c r="D274" s="91"/>
      <c r="H274" s="129"/>
      <c r="I274" s="129"/>
      <c r="J274" s="129"/>
      <c r="K274" s="304"/>
      <c r="N274" s="487"/>
      <c r="O274" s="305"/>
      <c r="Q274" s="305"/>
      <c r="R274" s="305"/>
      <c r="S274" s="471"/>
      <c r="T274" s="471"/>
      <c r="U274" s="471"/>
      <c r="V274" s="471"/>
      <c r="W274" s="471"/>
      <c r="X274" s="471"/>
      <c r="Y274" s="471"/>
      <c r="Z274" s="305"/>
      <c r="AA274" s="305"/>
      <c r="AB274" s="305"/>
      <c r="AC274" s="305"/>
      <c r="AD274" s="305"/>
      <c r="AE274" s="131"/>
    </row>
    <row r="275" spans="3:31" ht="14.25">
      <c r="C275" s="91"/>
      <c r="D275" s="91"/>
      <c r="H275" s="129"/>
      <c r="I275" s="129"/>
      <c r="J275" s="129"/>
      <c r="K275" s="304"/>
      <c r="N275" s="487"/>
      <c r="O275" s="305"/>
      <c r="Q275" s="305"/>
      <c r="R275" s="305"/>
      <c r="S275" s="471"/>
      <c r="T275" s="471"/>
      <c r="U275" s="471"/>
      <c r="V275" s="471"/>
      <c r="W275" s="471"/>
      <c r="X275" s="471"/>
      <c r="Y275" s="471"/>
      <c r="Z275" s="305"/>
      <c r="AA275" s="305"/>
      <c r="AB275" s="305"/>
      <c r="AC275" s="305"/>
      <c r="AD275" s="305"/>
      <c r="AE275" s="131"/>
    </row>
    <row r="276" spans="3:31" ht="14.25">
      <c r="C276" s="91"/>
      <c r="D276" s="91"/>
      <c r="H276" s="129"/>
      <c r="I276" s="129"/>
      <c r="J276" s="129"/>
      <c r="K276" s="304"/>
      <c r="N276" s="487"/>
      <c r="O276" s="305"/>
      <c r="Q276" s="305"/>
      <c r="R276" s="305"/>
      <c r="S276" s="471"/>
      <c r="T276" s="471"/>
      <c r="U276" s="471"/>
      <c r="V276" s="471"/>
      <c r="W276" s="471"/>
      <c r="X276" s="471"/>
      <c r="Y276" s="471"/>
      <c r="Z276" s="305"/>
      <c r="AA276" s="305"/>
      <c r="AB276" s="305"/>
      <c r="AC276" s="305"/>
      <c r="AD276" s="305"/>
      <c r="AE276" s="131"/>
    </row>
    <row r="277" spans="3:31" ht="14.25">
      <c r="C277" s="91"/>
      <c r="D277" s="91"/>
      <c r="H277" s="129"/>
      <c r="I277" s="129"/>
      <c r="J277" s="129"/>
      <c r="K277" s="304"/>
      <c r="N277" s="487"/>
      <c r="O277" s="305"/>
      <c r="Q277" s="305"/>
      <c r="R277" s="305"/>
      <c r="S277" s="471"/>
      <c r="T277" s="471"/>
      <c r="U277" s="471"/>
      <c r="V277" s="471"/>
      <c r="W277" s="471"/>
      <c r="X277" s="471"/>
      <c r="Y277" s="471"/>
      <c r="Z277" s="305"/>
      <c r="AA277" s="305"/>
      <c r="AB277" s="305"/>
      <c r="AC277" s="305"/>
      <c r="AD277" s="305"/>
      <c r="AE277" s="131"/>
    </row>
    <row r="278" spans="3:31" ht="14.25">
      <c r="C278" s="91"/>
      <c r="D278" s="91"/>
      <c r="H278" s="129"/>
      <c r="I278" s="129"/>
      <c r="J278" s="129"/>
      <c r="K278" s="304"/>
      <c r="N278" s="487"/>
      <c r="O278" s="305"/>
      <c r="Q278" s="305"/>
      <c r="R278" s="305"/>
      <c r="S278" s="471"/>
      <c r="T278" s="471"/>
      <c r="U278" s="471"/>
      <c r="V278" s="471"/>
      <c r="W278" s="471"/>
      <c r="X278" s="471"/>
      <c r="Y278" s="471"/>
      <c r="Z278" s="305"/>
      <c r="AA278" s="305"/>
      <c r="AB278" s="305"/>
      <c r="AC278" s="305"/>
      <c r="AD278" s="305"/>
      <c r="AE278" s="131"/>
    </row>
    <row r="279" spans="3:31" ht="14.25">
      <c r="C279" s="91"/>
      <c r="D279" s="91"/>
      <c r="H279" s="129"/>
      <c r="I279" s="129"/>
      <c r="J279" s="129"/>
      <c r="K279" s="304"/>
      <c r="N279" s="487"/>
      <c r="O279" s="305"/>
      <c r="Q279" s="305"/>
      <c r="R279" s="305"/>
      <c r="S279" s="471"/>
      <c r="T279" s="471"/>
      <c r="U279" s="471"/>
      <c r="V279" s="471"/>
      <c r="W279" s="471"/>
      <c r="X279" s="471"/>
      <c r="Y279" s="471"/>
      <c r="Z279" s="305"/>
      <c r="AA279" s="305"/>
      <c r="AB279" s="305"/>
      <c r="AC279" s="305"/>
      <c r="AD279" s="305"/>
      <c r="AE279" s="131"/>
    </row>
    <row r="280" spans="3:31" ht="14.25">
      <c r="C280" s="91"/>
      <c r="D280" s="91"/>
      <c r="H280" s="129"/>
      <c r="I280" s="129"/>
      <c r="J280" s="129"/>
      <c r="K280" s="304"/>
      <c r="N280" s="487"/>
      <c r="O280" s="305"/>
      <c r="Q280" s="305"/>
      <c r="R280" s="305"/>
      <c r="S280" s="471"/>
      <c r="T280" s="471"/>
      <c r="U280" s="471"/>
      <c r="V280" s="471"/>
      <c r="W280" s="471"/>
      <c r="X280" s="471"/>
      <c r="Y280" s="471"/>
      <c r="Z280" s="305"/>
      <c r="AA280" s="305"/>
      <c r="AB280" s="305"/>
      <c r="AC280" s="305"/>
      <c r="AD280" s="305"/>
      <c r="AE280" s="131"/>
    </row>
    <row r="281" spans="3:31" ht="14.25">
      <c r="C281" s="91"/>
      <c r="D281" s="91"/>
      <c r="H281" s="129"/>
      <c r="I281" s="129"/>
      <c r="J281" s="129"/>
      <c r="K281" s="304"/>
      <c r="N281" s="487"/>
      <c r="O281" s="305"/>
      <c r="Q281" s="305"/>
      <c r="R281" s="305"/>
      <c r="S281" s="471"/>
      <c r="T281" s="471"/>
      <c r="U281" s="471"/>
      <c r="V281" s="471"/>
      <c r="W281" s="471"/>
      <c r="X281" s="471"/>
      <c r="Y281" s="471"/>
      <c r="Z281" s="305"/>
      <c r="AA281" s="305"/>
      <c r="AB281" s="305"/>
      <c r="AC281" s="305"/>
      <c r="AD281" s="305"/>
      <c r="AE281" s="131"/>
    </row>
    <row r="282" spans="3:31" ht="14.25">
      <c r="C282" s="91"/>
      <c r="D282" s="91"/>
      <c r="H282" s="129"/>
      <c r="I282" s="129"/>
      <c r="J282" s="129"/>
      <c r="K282" s="304"/>
      <c r="N282" s="487"/>
      <c r="O282" s="305"/>
      <c r="Q282" s="305"/>
      <c r="R282" s="305"/>
      <c r="S282" s="471"/>
      <c r="T282" s="471"/>
      <c r="U282" s="471"/>
      <c r="V282" s="471"/>
      <c r="W282" s="471"/>
      <c r="X282" s="471"/>
      <c r="Y282" s="471"/>
      <c r="Z282" s="305"/>
      <c r="AA282" s="305"/>
      <c r="AB282" s="305"/>
      <c r="AC282" s="305"/>
      <c r="AD282" s="305"/>
      <c r="AE282" s="131"/>
    </row>
    <row r="283" spans="3:31" ht="14.25">
      <c r="C283" s="91"/>
      <c r="D283" s="91"/>
      <c r="H283" s="129"/>
      <c r="I283" s="129"/>
      <c r="J283" s="129"/>
      <c r="K283" s="304"/>
      <c r="N283" s="487"/>
      <c r="O283" s="305"/>
      <c r="Q283" s="305"/>
      <c r="R283" s="305"/>
      <c r="S283" s="471"/>
      <c r="T283" s="471"/>
      <c r="U283" s="471"/>
      <c r="V283" s="471"/>
      <c r="W283" s="471"/>
      <c r="X283" s="471"/>
      <c r="Y283" s="471"/>
      <c r="Z283" s="305"/>
      <c r="AA283" s="305"/>
      <c r="AB283" s="305"/>
      <c r="AC283" s="305"/>
      <c r="AD283" s="305"/>
      <c r="AE283" s="131"/>
    </row>
    <row r="284" spans="3:31" ht="14.25">
      <c r="C284" s="91"/>
      <c r="D284" s="91"/>
      <c r="H284" s="129"/>
      <c r="I284" s="129"/>
      <c r="J284" s="129"/>
      <c r="K284" s="304"/>
      <c r="N284" s="487"/>
      <c r="O284" s="305"/>
      <c r="Q284" s="305"/>
      <c r="R284" s="305"/>
      <c r="S284" s="471"/>
      <c r="T284" s="471"/>
      <c r="U284" s="471"/>
      <c r="V284" s="471"/>
      <c r="W284" s="471"/>
      <c r="X284" s="471"/>
      <c r="Y284" s="471"/>
      <c r="Z284" s="305"/>
      <c r="AA284" s="305"/>
      <c r="AB284" s="305"/>
      <c r="AC284" s="305"/>
      <c r="AD284" s="305"/>
      <c r="AE284" s="131"/>
    </row>
    <row r="285" spans="3:31" ht="14.25">
      <c r="C285" s="91"/>
      <c r="D285" s="91"/>
      <c r="H285" s="129"/>
      <c r="I285" s="129"/>
      <c r="J285" s="129"/>
      <c r="K285" s="304"/>
      <c r="N285" s="487"/>
      <c r="O285" s="305"/>
      <c r="Q285" s="305"/>
      <c r="R285" s="305"/>
      <c r="S285" s="471"/>
      <c r="T285" s="471"/>
      <c r="U285" s="471"/>
      <c r="V285" s="471"/>
      <c r="W285" s="471"/>
      <c r="X285" s="471"/>
      <c r="Y285" s="471"/>
      <c r="Z285" s="305"/>
      <c r="AA285" s="305"/>
      <c r="AB285" s="305"/>
      <c r="AC285" s="305"/>
      <c r="AD285" s="305"/>
      <c r="AE285" s="131"/>
    </row>
    <row r="286" spans="3:31" ht="14.25">
      <c r="C286" s="91"/>
      <c r="D286" s="91"/>
      <c r="H286" s="129"/>
      <c r="I286" s="129"/>
      <c r="J286" s="129"/>
      <c r="K286" s="304"/>
      <c r="N286" s="487"/>
      <c r="O286" s="305"/>
      <c r="Q286" s="305"/>
      <c r="R286" s="305"/>
      <c r="S286" s="471"/>
      <c r="T286" s="471"/>
      <c r="U286" s="471"/>
      <c r="V286" s="471"/>
      <c r="W286" s="471"/>
      <c r="X286" s="471"/>
      <c r="Y286" s="471"/>
      <c r="Z286" s="305"/>
      <c r="AA286" s="305"/>
      <c r="AB286" s="305"/>
      <c r="AC286" s="305"/>
      <c r="AD286" s="305"/>
      <c r="AE286" s="131"/>
    </row>
    <row r="287" spans="3:31" ht="14.25">
      <c r="C287" s="91"/>
      <c r="D287" s="91"/>
      <c r="H287" s="129"/>
      <c r="I287" s="129"/>
      <c r="J287" s="129"/>
      <c r="K287" s="304"/>
      <c r="N287" s="487"/>
      <c r="O287" s="305"/>
      <c r="Q287" s="305"/>
      <c r="R287" s="305"/>
      <c r="S287" s="471"/>
      <c r="T287" s="471"/>
      <c r="U287" s="471"/>
      <c r="V287" s="471"/>
      <c r="W287" s="471"/>
      <c r="X287" s="471"/>
      <c r="Y287" s="471"/>
      <c r="Z287" s="305"/>
      <c r="AA287" s="305"/>
      <c r="AB287" s="305"/>
      <c r="AC287" s="305"/>
      <c r="AD287" s="305"/>
      <c r="AE287" s="131"/>
    </row>
    <row r="288" spans="3:31" ht="14.25">
      <c r="C288" s="91"/>
      <c r="D288" s="91"/>
      <c r="H288" s="129"/>
      <c r="I288" s="129"/>
      <c r="J288" s="129"/>
      <c r="K288" s="304"/>
      <c r="N288" s="487"/>
      <c r="O288" s="305"/>
      <c r="Q288" s="305"/>
      <c r="R288" s="305"/>
      <c r="S288" s="471"/>
      <c r="T288" s="471"/>
      <c r="U288" s="471"/>
      <c r="V288" s="471"/>
      <c r="W288" s="471"/>
      <c r="X288" s="471"/>
      <c r="Y288" s="471"/>
      <c r="Z288" s="305"/>
      <c r="AA288" s="305"/>
      <c r="AB288" s="305"/>
      <c r="AC288" s="305"/>
      <c r="AD288" s="305"/>
      <c r="AE288" s="131"/>
    </row>
    <row r="289" spans="3:31" ht="14.25">
      <c r="C289" s="91"/>
      <c r="D289" s="91"/>
      <c r="H289" s="129"/>
      <c r="I289" s="129"/>
      <c r="J289" s="129"/>
      <c r="K289" s="304"/>
      <c r="N289" s="487"/>
      <c r="O289" s="305"/>
      <c r="Q289" s="305"/>
      <c r="R289" s="305"/>
      <c r="S289" s="471"/>
      <c r="T289" s="471"/>
      <c r="U289" s="471"/>
      <c r="V289" s="471"/>
      <c r="W289" s="471"/>
      <c r="X289" s="471"/>
      <c r="Y289" s="471"/>
      <c r="Z289" s="305"/>
      <c r="AA289" s="305"/>
      <c r="AB289" s="305"/>
      <c r="AC289" s="305"/>
      <c r="AD289" s="305"/>
      <c r="AE289" s="131"/>
    </row>
    <row r="290" spans="3:31" ht="14.25">
      <c r="C290" s="91"/>
      <c r="D290" s="91"/>
      <c r="H290" s="129"/>
      <c r="I290" s="129"/>
      <c r="J290" s="129"/>
      <c r="K290" s="304"/>
      <c r="N290" s="487"/>
      <c r="O290" s="305"/>
      <c r="Q290" s="305"/>
      <c r="R290" s="305"/>
      <c r="S290" s="471"/>
      <c r="T290" s="471"/>
      <c r="U290" s="471"/>
      <c r="V290" s="471"/>
      <c r="W290" s="471"/>
      <c r="X290" s="471"/>
      <c r="Y290" s="471"/>
      <c r="Z290" s="305"/>
      <c r="AA290" s="305"/>
      <c r="AB290" s="305"/>
      <c r="AC290" s="305"/>
      <c r="AD290" s="305"/>
      <c r="AE290" s="131"/>
    </row>
    <row r="291" spans="3:31" ht="14.25">
      <c r="C291" s="91"/>
      <c r="D291" s="91"/>
      <c r="H291" s="129"/>
      <c r="I291" s="129"/>
      <c r="J291" s="129"/>
      <c r="K291" s="304"/>
      <c r="N291" s="487"/>
      <c r="O291" s="305"/>
      <c r="Q291" s="305"/>
      <c r="R291" s="305"/>
      <c r="S291" s="471"/>
      <c r="T291" s="471"/>
      <c r="U291" s="471"/>
      <c r="V291" s="471"/>
      <c r="W291" s="471"/>
      <c r="X291" s="471"/>
      <c r="Y291" s="471"/>
      <c r="Z291" s="305"/>
      <c r="AA291" s="305"/>
      <c r="AB291" s="305"/>
      <c r="AC291" s="305"/>
      <c r="AD291" s="305"/>
      <c r="AE291" s="131"/>
    </row>
    <row r="292" spans="3:31" ht="14.25">
      <c r="C292" s="91"/>
      <c r="D292" s="91"/>
      <c r="H292" s="129"/>
      <c r="I292" s="129"/>
      <c r="J292" s="129"/>
      <c r="K292" s="304"/>
      <c r="N292" s="487"/>
      <c r="O292" s="305"/>
      <c r="Q292" s="305"/>
      <c r="R292" s="305"/>
      <c r="S292" s="471"/>
      <c r="T292" s="471"/>
      <c r="U292" s="471"/>
      <c r="V292" s="471"/>
      <c r="W292" s="471"/>
      <c r="X292" s="471"/>
      <c r="Y292" s="471"/>
      <c r="Z292" s="305"/>
      <c r="AA292" s="305"/>
      <c r="AB292" s="305"/>
      <c r="AC292" s="305"/>
      <c r="AD292" s="305"/>
      <c r="AE292" s="131"/>
    </row>
    <row r="293" spans="3:31" ht="14.25">
      <c r="C293" s="91"/>
      <c r="D293" s="91"/>
      <c r="H293" s="129"/>
      <c r="I293" s="129"/>
      <c r="J293" s="129"/>
      <c r="K293" s="304"/>
      <c r="N293" s="487"/>
      <c r="O293" s="305"/>
      <c r="Q293" s="305"/>
      <c r="R293" s="305"/>
      <c r="S293" s="471"/>
      <c r="T293" s="471"/>
      <c r="U293" s="471"/>
      <c r="V293" s="471"/>
      <c r="W293" s="471"/>
      <c r="X293" s="471"/>
      <c r="Y293" s="471"/>
      <c r="Z293" s="305"/>
      <c r="AA293" s="305"/>
      <c r="AB293" s="305"/>
      <c r="AC293" s="305"/>
      <c r="AD293" s="305"/>
      <c r="AE293" s="131"/>
    </row>
    <row r="294" spans="3:31" ht="14.25">
      <c r="C294" s="91"/>
      <c r="D294" s="91"/>
      <c r="H294" s="129"/>
      <c r="I294" s="129"/>
      <c r="J294" s="129"/>
      <c r="K294" s="304"/>
      <c r="N294" s="487"/>
      <c r="O294" s="305"/>
      <c r="Q294" s="305"/>
      <c r="R294" s="305"/>
      <c r="S294" s="471"/>
      <c r="T294" s="471"/>
      <c r="U294" s="471"/>
      <c r="V294" s="471"/>
      <c r="W294" s="471"/>
      <c r="X294" s="471"/>
      <c r="Y294" s="471"/>
      <c r="Z294" s="305"/>
      <c r="AA294" s="305"/>
      <c r="AB294" s="305"/>
      <c r="AC294" s="305"/>
      <c r="AD294" s="305"/>
      <c r="AE294" s="131"/>
    </row>
    <row r="295" spans="3:31" ht="14.25">
      <c r="C295" s="91"/>
      <c r="D295" s="91"/>
      <c r="H295" s="129"/>
      <c r="I295" s="129"/>
      <c r="J295" s="129"/>
      <c r="K295" s="304"/>
      <c r="N295" s="487"/>
      <c r="O295" s="305"/>
      <c r="Q295" s="305"/>
      <c r="R295" s="305"/>
      <c r="S295" s="471"/>
      <c r="T295" s="471"/>
      <c r="U295" s="471"/>
      <c r="V295" s="471"/>
      <c r="W295" s="471"/>
      <c r="X295" s="471"/>
      <c r="Y295" s="471"/>
      <c r="Z295" s="305"/>
      <c r="AA295" s="305"/>
      <c r="AB295" s="305"/>
      <c r="AC295" s="305"/>
      <c r="AD295" s="305"/>
      <c r="AE295" s="131"/>
    </row>
    <row r="296" spans="3:31" ht="14.25">
      <c r="C296" s="91"/>
      <c r="D296" s="91"/>
      <c r="H296" s="129"/>
      <c r="I296" s="129"/>
      <c r="J296" s="129"/>
      <c r="K296" s="304"/>
      <c r="N296" s="487"/>
      <c r="O296" s="305"/>
      <c r="Q296" s="305"/>
      <c r="R296" s="305"/>
      <c r="S296" s="471"/>
      <c r="T296" s="471"/>
      <c r="U296" s="471"/>
      <c r="V296" s="471"/>
      <c r="W296" s="471"/>
      <c r="X296" s="471"/>
      <c r="Y296" s="471"/>
      <c r="Z296" s="305"/>
      <c r="AA296" s="305"/>
      <c r="AB296" s="305"/>
      <c r="AC296" s="305"/>
      <c r="AD296" s="305"/>
      <c r="AE296" s="131"/>
    </row>
    <row r="297" spans="3:31" ht="14.25">
      <c r="C297" s="91"/>
      <c r="D297" s="91"/>
      <c r="H297" s="129"/>
      <c r="I297" s="129"/>
      <c r="J297" s="129"/>
      <c r="K297" s="304"/>
      <c r="N297" s="487"/>
      <c r="O297" s="305"/>
      <c r="Q297" s="305"/>
      <c r="R297" s="305"/>
      <c r="S297" s="471"/>
      <c r="T297" s="471"/>
      <c r="U297" s="471"/>
      <c r="V297" s="471"/>
      <c r="W297" s="471"/>
      <c r="X297" s="471"/>
      <c r="Y297" s="471"/>
      <c r="Z297" s="305"/>
      <c r="AA297" s="305"/>
      <c r="AB297" s="305"/>
      <c r="AC297" s="305"/>
      <c r="AD297" s="305"/>
      <c r="AE297" s="131"/>
    </row>
    <row r="298" spans="3:31" ht="14.25">
      <c r="C298" s="91"/>
      <c r="D298" s="91"/>
      <c r="H298" s="129"/>
      <c r="I298" s="129"/>
      <c r="J298" s="129"/>
      <c r="K298" s="304"/>
      <c r="N298" s="487"/>
      <c r="O298" s="305"/>
      <c r="Q298" s="305"/>
      <c r="R298" s="305"/>
      <c r="S298" s="471"/>
      <c r="T298" s="471"/>
      <c r="U298" s="471"/>
      <c r="V298" s="471"/>
      <c r="W298" s="471"/>
      <c r="X298" s="471"/>
      <c r="Y298" s="471"/>
      <c r="Z298" s="305"/>
      <c r="AA298" s="305"/>
      <c r="AB298" s="305"/>
      <c r="AC298" s="305"/>
      <c r="AD298" s="305"/>
      <c r="AE298" s="131"/>
    </row>
    <row r="299" spans="3:31" ht="14.25">
      <c r="C299" s="91"/>
      <c r="D299" s="91"/>
      <c r="H299" s="129"/>
      <c r="I299" s="129"/>
      <c r="J299" s="129"/>
      <c r="K299" s="304"/>
      <c r="N299" s="487"/>
      <c r="O299" s="305"/>
      <c r="Q299" s="305"/>
      <c r="R299" s="305"/>
      <c r="S299" s="471"/>
      <c r="T299" s="471"/>
      <c r="U299" s="471"/>
      <c r="V299" s="471"/>
      <c r="W299" s="471"/>
      <c r="X299" s="471"/>
      <c r="Y299" s="471"/>
      <c r="Z299" s="305"/>
      <c r="AA299" s="305"/>
      <c r="AB299" s="305"/>
      <c r="AC299" s="305"/>
      <c r="AD299" s="305"/>
      <c r="AE299" s="131"/>
    </row>
    <row r="300" spans="3:31" ht="14.25">
      <c r="C300" s="91"/>
      <c r="D300" s="91"/>
      <c r="H300" s="129"/>
      <c r="I300" s="129"/>
      <c r="J300" s="129"/>
      <c r="K300" s="304"/>
      <c r="N300" s="487"/>
      <c r="O300" s="305"/>
      <c r="Q300" s="305"/>
      <c r="R300" s="305"/>
      <c r="S300" s="471"/>
      <c r="T300" s="471"/>
      <c r="U300" s="471"/>
      <c r="V300" s="471"/>
      <c r="W300" s="471"/>
      <c r="X300" s="471"/>
      <c r="Y300" s="471"/>
      <c r="Z300" s="305"/>
      <c r="AA300" s="305"/>
      <c r="AB300" s="305"/>
      <c r="AC300" s="305"/>
      <c r="AD300" s="305"/>
      <c r="AE300" s="131"/>
    </row>
    <row r="301" spans="3:31" ht="14.25">
      <c r="C301" s="91"/>
      <c r="D301" s="91"/>
      <c r="H301" s="129"/>
      <c r="I301" s="129"/>
      <c r="J301" s="129"/>
      <c r="K301" s="304"/>
      <c r="N301" s="487"/>
      <c r="O301" s="305"/>
      <c r="Q301" s="305"/>
      <c r="R301" s="305"/>
      <c r="S301" s="471"/>
      <c r="T301" s="471"/>
      <c r="U301" s="471"/>
      <c r="V301" s="471"/>
      <c r="W301" s="471"/>
      <c r="X301" s="471"/>
      <c r="Y301" s="471"/>
      <c r="Z301" s="305"/>
      <c r="AA301" s="305"/>
      <c r="AB301" s="305"/>
      <c r="AC301" s="305"/>
      <c r="AD301" s="305"/>
      <c r="AE301" s="131"/>
    </row>
    <row r="302" spans="3:31" ht="14.25">
      <c r="C302" s="91"/>
      <c r="D302" s="91"/>
      <c r="H302" s="129"/>
      <c r="I302" s="129"/>
      <c r="J302" s="129"/>
      <c r="K302" s="304"/>
      <c r="N302" s="487"/>
      <c r="O302" s="305"/>
      <c r="Q302" s="305"/>
      <c r="R302" s="305"/>
      <c r="S302" s="471"/>
      <c r="T302" s="471"/>
      <c r="U302" s="471"/>
      <c r="V302" s="471"/>
      <c r="W302" s="471"/>
      <c r="X302" s="471"/>
      <c r="Y302" s="471"/>
      <c r="Z302" s="305"/>
      <c r="AA302" s="305"/>
      <c r="AB302" s="305"/>
      <c r="AC302" s="305"/>
      <c r="AD302" s="305"/>
      <c r="AE302" s="131"/>
    </row>
    <row r="303" spans="3:31" ht="14.25">
      <c r="C303" s="91"/>
      <c r="D303" s="91"/>
      <c r="H303" s="129"/>
      <c r="I303" s="129"/>
      <c r="J303" s="129"/>
      <c r="K303" s="304"/>
      <c r="N303" s="487"/>
      <c r="O303" s="305"/>
      <c r="Q303" s="305"/>
      <c r="R303" s="305"/>
      <c r="S303" s="471"/>
      <c r="T303" s="471"/>
      <c r="U303" s="471"/>
      <c r="V303" s="471"/>
      <c r="W303" s="471"/>
      <c r="X303" s="471"/>
      <c r="Y303" s="471"/>
      <c r="Z303" s="305"/>
      <c r="AA303" s="305"/>
      <c r="AB303" s="305"/>
      <c r="AC303" s="305"/>
      <c r="AD303" s="305"/>
      <c r="AE303" s="131"/>
    </row>
    <row r="304" spans="3:31" ht="14.25">
      <c r="C304" s="91"/>
      <c r="D304" s="91"/>
      <c r="H304" s="129"/>
      <c r="I304" s="129"/>
      <c r="J304" s="129"/>
      <c r="K304" s="304"/>
      <c r="N304" s="487"/>
      <c r="O304" s="305"/>
      <c r="Q304" s="305"/>
      <c r="R304" s="305"/>
      <c r="S304" s="471"/>
      <c r="T304" s="471"/>
      <c r="U304" s="471"/>
      <c r="V304" s="471"/>
      <c r="W304" s="471"/>
      <c r="X304" s="471"/>
      <c r="Y304" s="471"/>
      <c r="Z304" s="305"/>
      <c r="AA304" s="305"/>
      <c r="AB304" s="305"/>
      <c r="AC304" s="305"/>
      <c r="AD304" s="305"/>
      <c r="AE304" s="131"/>
    </row>
    <row r="305" spans="3:31" ht="14.25">
      <c r="C305" s="91"/>
      <c r="D305" s="91"/>
      <c r="H305" s="129"/>
      <c r="I305" s="129"/>
      <c r="J305" s="129"/>
      <c r="K305" s="304"/>
      <c r="N305" s="487"/>
      <c r="O305" s="305"/>
      <c r="Q305" s="305"/>
      <c r="R305" s="305"/>
      <c r="S305" s="471"/>
      <c r="T305" s="471"/>
      <c r="U305" s="471"/>
      <c r="V305" s="471"/>
      <c r="W305" s="471"/>
      <c r="X305" s="471"/>
      <c r="Y305" s="471"/>
      <c r="Z305" s="305"/>
      <c r="AA305" s="305"/>
      <c r="AB305" s="305"/>
      <c r="AC305" s="305"/>
      <c r="AD305" s="305"/>
      <c r="AE305" s="131"/>
    </row>
    <row r="306" spans="3:31" ht="14.25">
      <c r="C306" s="91"/>
      <c r="D306" s="91"/>
      <c r="H306" s="129"/>
      <c r="I306" s="129"/>
      <c r="J306" s="129"/>
      <c r="K306" s="304"/>
      <c r="N306" s="487"/>
      <c r="O306" s="305"/>
      <c r="Q306" s="305"/>
      <c r="R306" s="305"/>
      <c r="S306" s="471"/>
      <c r="T306" s="471"/>
      <c r="U306" s="471"/>
      <c r="V306" s="471"/>
      <c r="W306" s="471"/>
      <c r="X306" s="471"/>
      <c r="Y306" s="471"/>
      <c r="Z306" s="305"/>
      <c r="AA306" s="305"/>
      <c r="AB306" s="305"/>
      <c r="AC306" s="305"/>
      <c r="AD306" s="305"/>
      <c r="AE306" s="131"/>
    </row>
    <row r="307" spans="3:31" ht="14.25">
      <c r="C307" s="91"/>
      <c r="D307" s="91"/>
      <c r="H307" s="129"/>
      <c r="I307" s="129"/>
      <c r="J307" s="129"/>
      <c r="K307" s="304"/>
      <c r="N307" s="487"/>
      <c r="O307" s="305"/>
      <c r="Q307" s="305"/>
      <c r="R307" s="305"/>
      <c r="S307" s="471"/>
      <c r="T307" s="471"/>
      <c r="U307" s="471"/>
      <c r="V307" s="471"/>
      <c r="W307" s="471"/>
      <c r="X307" s="471"/>
      <c r="Y307" s="471"/>
      <c r="Z307" s="305"/>
      <c r="AA307" s="305"/>
      <c r="AB307" s="305"/>
      <c r="AC307" s="305"/>
      <c r="AD307" s="305"/>
      <c r="AE307" s="131"/>
    </row>
    <row r="308" spans="3:31" ht="14.25">
      <c r="C308" s="91"/>
      <c r="D308" s="91"/>
      <c r="H308" s="129"/>
      <c r="I308" s="129"/>
      <c r="J308" s="129"/>
      <c r="K308" s="304"/>
      <c r="N308" s="487"/>
      <c r="O308" s="305"/>
      <c r="Q308" s="305"/>
      <c r="R308" s="305"/>
      <c r="S308" s="471"/>
      <c r="T308" s="471"/>
      <c r="U308" s="471"/>
      <c r="V308" s="471"/>
      <c r="W308" s="471"/>
      <c r="X308" s="471"/>
      <c r="Y308" s="471"/>
      <c r="Z308" s="305"/>
      <c r="AA308" s="305"/>
      <c r="AB308" s="305"/>
      <c r="AC308" s="305"/>
      <c r="AD308" s="305"/>
      <c r="AE308" s="131"/>
    </row>
    <row r="309" spans="3:31" ht="14.25">
      <c r="C309" s="91"/>
      <c r="D309" s="91"/>
      <c r="H309" s="129"/>
      <c r="I309" s="129"/>
      <c r="J309" s="129"/>
      <c r="K309" s="304"/>
      <c r="N309" s="487"/>
      <c r="O309" s="305"/>
      <c r="Q309" s="305"/>
      <c r="R309" s="305"/>
      <c r="S309" s="471"/>
      <c r="T309" s="471"/>
      <c r="U309" s="471"/>
      <c r="V309" s="471"/>
      <c r="W309" s="471"/>
      <c r="X309" s="471"/>
      <c r="Y309" s="471"/>
      <c r="Z309" s="305"/>
      <c r="AA309" s="305"/>
      <c r="AB309" s="305"/>
      <c r="AC309" s="305"/>
      <c r="AD309" s="305"/>
      <c r="AE309" s="131"/>
    </row>
    <row r="310" spans="8:31" ht="14.25">
      <c r="H310" s="129"/>
      <c r="I310" s="129"/>
      <c r="J310" s="129"/>
      <c r="K310" s="304"/>
      <c r="N310" s="487"/>
      <c r="O310" s="305"/>
      <c r="Q310" s="305"/>
      <c r="R310" s="305"/>
      <c r="S310" s="471"/>
      <c r="T310" s="471"/>
      <c r="U310" s="471"/>
      <c r="V310" s="471"/>
      <c r="W310" s="471"/>
      <c r="X310" s="471"/>
      <c r="Y310" s="471"/>
      <c r="Z310" s="305"/>
      <c r="AA310" s="305"/>
      <c r="AB310" s="305"/>
      <c r="AC310" s="305"/>
      <c r="AD310" s="305"/>
      <c r="AE310" s="131"/>
    </row>
    <row r="311" spans="8:31" ht="14.25">
      <c r="H311" s="129"/>
      <c r="I311" s="129"/>
      <c r="J311" s="129"/>
      <c r="K311" s="304"/>
      <c r="N311" s="487"/>
      <c r="O311" s="305"/>
      <c r="Q311" s="305"/>
      <c r="R311" s="305"/>
      <c r="S311" s="471"/>
      <c r="T311" s="471"/>
      <c r="U311" s="471"/>
      <c r="V311" s="471"/>
      <c r="W311" s="471"/>
      <c r="X311" s="471"/>
      <c r="Y311" s="471"/>
      <c r="Z311" s="305"/>
      <c r="AA311" s="305"/>
      <c r="AB311" s="305"/>
      <c r="AC311" s="305"/>
      <c r="AD311" s="305"/>
      <c r="AE311" s="131"/>
    </row>
    <row r="312" spans="8:31" ht="14.25">
      <c r="H312" s="129"/>
      <c r="I312" s="129"/>
      <c r="J312" s="129"/>
      <c r="K312" s="304"/>
      <c r="N312" s="487"/>
      <c r="O312" s="305"/>
      <c r="Q312" s="305"/>
      <c r="R312" s="305"/>
      <c r="S312" s="471"/>
      <c r="T312" s="471"/>
      <c r="U312" s="471"/>
      <c r="V312" s="471"/>
      <c r="W312" s="471"/>
      <c r="X312" s="471"/>
      <c r="Y312" s="471"/>
      <c r="Z312" s="305"/>
      <c r="AA312" s="305"/>
      <c r="AB312" s="305"/>
      <c r="AC312" s="305"/>
      <c r="AD312" s="305"/>
      <c r="AE312" s="131"/>
    </row>
    <row r="313" spans="8:31" ht="14.25">
      <c r="H313" s="129"/>
      <c r="I313" s="129"/>
      <c r="J313" s="129"/>
      <c r="K313" s="304"/>
      <c r="N313" s="487"/>
      <c r="O313" s="305"/>
      <c r="Q313" s="305"/>
      <c r="R313" s="305"/>
      <c r="S313" s="471"/>
      <c r="T313" s="471"/>
      <c r="U313" s="471"/>
      <c r="V313" s="471"/>
      <c r="W313" s="471"/>
      <c r="X313" s="471"/>
      <c r="Y313" s="471"/>
      <c r="Z313" s="305"/>
      <c r="AA313" s="305"/>
      <c r="AB313" s="305"/>
      <c r="AC313" s="305"/>
      <c r="AD313" s="305"/>
      <c r="AE313" s="131"/>
    </row>
    <row r="314" spans="8:31" ht="14.25">
      <c r="H314" s="129"/>
      <c r="I314" s="129"/>
      <c r="J314" s="129"/>
      <c r="K314" s="304"/>
      <c r="N314" s="487"/>
      <c r="O314" s="305"/>
      <c r="Q314" s="305"/>
      <c r="R314" s="305"/>
      <c r="S314" s="471"/>
      <c r="T314" s="471"/>
      <c r="U314" s="471"/>
      <c r="V314" s="471"/>
      <c r="W314" s="471"/>
      <c r="X314" s="471"/>
      <c r="Y314" s="471"/>
      <c r="Z314" s="305"/>
      <c r="AA314" s="305"/>
      <c r="AB314" s="305"/>
      <c r="AC314" s="305"/>
      <c r="AD314" s="305"/>
      <c r="AE314" s="131"/>
    </row>
    <row r="315" spans="8:31" ht="14.25">
      <c r="H315" s="129"/>
      <c r="I315" s="129"/>
      <c r="J315" s="129"/>
      <c r="K315" s="304"/>
      <c r="N315" s="487"/>
      <c r="O315" s="305"/>
      <c r="Q315" s="305"/>
      <c r="R315" s="305"/>
      <c r="S315" s="471"/>
      <c r="T315" s="471"/>
      <c r="U315" s="471"/>
      <c r="V315" s="471"/>
      <c r="W315" s="471"/>
      <c r="X315" s="471"/>
      <c r="Y315" s="471"/>
      <c r="Z315" s="305"/>
      <c r="AA315" s="305"/>
      <c r="AB315" s="305"/>
      <c r="AC315" s="305"/>
      <c r="AD315" s="305"/>
      <c r="AE315" s="131"/>
    </row>
    <row r="316" spans="8:31" ht="14.25">
      <c r="H316" s="129"/>
      <c r="I316" s="129"/>
      <c r="J316" s="129"/>
      <c r="K316" s="304"/>
      <c r="N316" s="487"/>
      <c r="O316" s="305"/>
      <c r="Q316" s="305"/>
      <c r="R316" s="305"/>
      <c r="S316" s="471"/>
      <c r="T316" s="471"/>
      <c r="U316" s="471"/>
      <c r="V316" s="471"/>
      <c r="W316" s="471"/>
      <c r="X316" s="471"/>
      <c r="Y316" s="471"/>
      <c r="Z316" s="305"/>
      <c r="AA316" s="305"/>
      <c r="AB316" s="305"/>
      <c r="AC316" s="305"/>
      <c r="AD316" s="305"/>
      <c r="AE316" s="131"/>
    </row>
    <row r="317" spans="8:31" ht="14.25">
      <c r="H317" s="129"/>
      <c r="I317" s="129"/>
      <c r="J317" s="129"/>
      <c r="K317" s="304"/>
      <c r="N317" s="487"/>
      <c r="O317" s="305"/>
      <c r="Q317" s="305"/>
      <c r="R317" s="305"/>
      <c r="S317" s="471"/>
      <c r="T317" s="471"/>
      <c r="U317" s="471"/>
      <c r="V317" s="471"/>
      <c r="W317" s="471"/>
      <c r="X317" s="471"/>
      <c r="Y317" s="471"/>
      <c r="Z317" s="305"/>
      <c r="AA317" s="305"/>
      <c r="AB317" s="305"/>
      <c r="AC317" s="305"/>
      <c r="AD317" s="305"/>
      <c r="AE317" s="131"/>
    </row>
    <row r="318" spans="8:31" ht="14.25">
      <c r="H318" s="129"/>
      <c r="I318" s="129"/>
      <c r="J318" s="129"/>
      <c r="K318" s="304"/>
      <c r="N318" s="487"/>
      <c r="O318" s="305"/>
      <c r="Q318" s="305"/>
      <c r="R318" s="305"/>
      <c r="S318" s="471"/>
      <c r="T318" s="471"/>
      <c r="U318" s="471"/>
      <c r="V318" s="471"/>
      <c r="W318" s="471"/>
      <c r="X318" s="471"/>
      <c r="Y318" s="471"/>
      <c r="Z318" s="305"/>
      <c r="AA318" s="305"/>
      <c r="AB318" s="305"/>
      <c r="AC318" s="305"/>
      <c r="AD318" s="305"/>
      <c r="AE318" s="131"/>
    </row>
    <row r="319" spans="8:31" ht="14.25">
      <c r="H319" s="129"/>
      <c r="I319" s="129"/>
      <c r="J319" s="129"/>
      <c r="K319" s="304"/>
      <c r="N319" s="487"/>
      <c r="O319" s="305"/>
      <c r="Q319" s="305"/>
      <c r="R319" s="305"/>
      <c r="S319" s="471"/>
      <c r="T319" s="471"/>
      <c r="U319" s="471"/>
      <c r="V319" s="471"/>
      <c r="W319" s="471"/>
      <c r="X319" s="471"/>
      <c r="Y319" s="471"/>
      <c r="Z319" s="305"/>
      <c r="AA319" s="305"/>
      <c r="AB319" s="305"/>
      <c r="AC319" s="305"/>
      <c r="AD319" s="305"/>
      <c r="AE319" s="131"/>
    </row>
    <row r="320" spans="8:31" ht="14.25">
      <c r="H320" s="129"/>
      <c r="I320" s="129"/>
      <c r="J320" s="129"/>
      <c r="K320" s="304"/>
      <c r="N320" s="487"/>
      <c r="O320" s="305"/>
      <c r="Q320" s="305"/>
      <c r="R320" s="305"/>
      <c r="S320" s="471"/>
      <c r="T320" s="471"/>
      <c r="U320" s="471"/>
      <c r="V320" s="471"/>
      <c r="W320" s="471"/>
      <c r="X320" s="471"/>
      <c r="Y320" s="471"/>
      <c r="Z320" s="305"/>
      <c r="AA320" s="305"/>
      <c r="AB320" s="305"/>
      <c r="AC320" s="305"/>
      <c r="AD320" s="305"/>
      <c r="AE320" s="131"/>
    </row>
    <row r="321" spans="8:31" ht="14.25">
      <c r="H321" s="129"/>
      <c r="I321" s="129"/>
      <c r="J321" s="129"/>
      <c r="K321" s="304"/>
      <c r="N321" s="487"/>
      <c r="O321" s="305"/>
      <c r="Q321" s="305"/>
      <c r="R321" s="305"/>
      <c r="S321" s="471"/>
      <c r="T321" s="471"/>
      <c r="U321" s="471"/>
      <c r="V321" s="471"/>
      <c r="W321" s="471"/>
      <c r="X321" s="471"/>
      <c r="Y321" s="471"/>
      <c r="Z321" s="305"/>
      <c r="AA321" s="305"/>
      <c r="AB321" s="305"/>
      <c r="AC321" s="305"/>
      <c r="AD321" s="305"/>
      <c r="AE321" s="131"/>
    </row>
    <row r="322" spans="8:31" ht="14.25">
      <c r="H322" s="129"/>
      <c r="I322" s="129"/>
      <c r="J322" s="129"/>
      <c r="K322" s="304"/>
      <c r="N322" s="487"/>
      <c r="O322" s="305"/>
      <c r="Q322" s="305"/>
      <c r="R322" s="305"/>
      <c r="S322" s="471"/>
      <c r="T322" s="471"/>
      <c r="U322" s="471"/>
      <c r="V322" s="471"/>
      <c r="W322" s="471"/>
      <c r="X322" s="471"/>
      <c r="Y322" s="471"/>
      <c r="Z322" s="305"/>
      <c r="AA322" s="305"/>
      <c r="AB322" s="305"/>
      <c r="AC322" s="305"/>
      <c r="AD322" s="305"/>
      <c r="AE322" s="131"/>
    </row>
    <row r="323" spans="8:31" ht="14.25">
      <c r="H323" s="129"/>
      <c r="I323" s="129"/>
      <c r="J323" s="129"/>
      <c r="K323" s="304"/>
      <c r="N323" s="487"/>
      <c r="O323" s="305"/>
      <c r="Q323" s="305"/>
      <c r="R323" s="305"/>
      <c r="S323" s="471"/>
      <c r="T323" s="471"/>
      <c r="U323" s="471"/>
      <c r="V323" s="471"/>
      <c r="W323" s="471"/>
      <c r="X323" s="471"/>
      <c r="Y323" s="471"/>
      <c r="Z323" s="305"/>
      <c r="AA323" s="305"/>
      <c r="AB323" s="305"/>
      <c r="AC323" s="305"/>
      <c r="AD323" s="305"/>
      <c r="AE323" s="131"/>
    </row>
    <row r="324" spans="8:31" ht="14.25">
      <c r="H324" s="129"/>
      <c r="I324" s="129"/>
      <c r="J324" s="129"/>
      <c r="K324" s="304"/>
      <c r="N324" s="487"/>
      <c r="O324" s="305"/>
      <c r="Q324" s="305"/>
      <c r="R324" s="305"/>
      <c r="S324" s="471"/>
      <c r="T324" s="471"/>
      <c r="U324" s="471"/>
      <c r="V324" s="471"/>
      <c r="W324" s="471"/>
      <c r="X324" s="471"/>
      <c r="Y324" s="471"/>
      <c r="Z324" s="305"/>
      <c r="AA324" s="305"/>
      <c r="AB324" s="305"/>
      <c r="AC324" s="305"/>
      <c r="AD324" s="305"/>
      <c r="AE324" s="131"/>
    </row>
    <row r="325" spans="8:31" ht="14.25">
      <c r="H325" s="129"/>
      <c r="I325" s="129"/>
      <c r="J325" s="129"/>
      <c r="K325" s="304"/>
      <c r="N325" s="487"/>
      <c r="O325" s="305"/>
      <c r="Q325" s="305"/>
      <c r="R325" s="305"/>
      <c r="S325" s="471"/>
      <c r="T325" s="471"/>
      <c r="U325" s="471"/>
      <c r="V325" s="471"/>
      <c r="W325" s="471"/>
      <c r="X325" s="471"/>
      <c r="Y325" s="471"/>
      <c r="Z325" s="305"/>
      <c r="AA325" s="305"/>
      <c r="AB325" s="305"/>
      <c r="AC325" s="305"/>
      <c r="AD325" s="305"/>
      <c r="AE325" s="131"/>
    </row>
    <row r="326" spans="8:31" ht="14.25">
      <c r="H326" s="129"/>
      <c r="I326" s="129"/>
      <c r="J326" s="129"/>
      <c r="K326" s="304"/>
      <c r="N326" s="487"/>
      <c r="O326" s="305"/>
      <c r="Q326" s="305"/>
      <c r="R326" s="305"/>
      <c r="S326" s="471"/>
      <c r="T326" s="471"/>
      <c r="U326" s="471"/>
      <c r="V326" s="471"/>
      <c r="W326" s="471"/>
      <c r="X326" s="471"/>
      <c r="Y326" s="471"/>
      <c r="Z326" s="305"/>
      <c r="AA326" s="305"/>
      <c r="AB326" s="305"/>
      <c r="AC326" s="305"/>
      <c r="AD326" s="305"/>
      <c r="AE326" s="131"/>
    </row>
    <row r="327" spans="8:31" ht="14.25">
      <c r="H327" s="129"/>
      <c r="I327" s="129"/>
      <c r="J327" s="129"/>
      <c r="K327" s="304"/>
      <c r="N327" s="487"/>
      <c r="O327" s="305"/>
      <c r="Q327" s="305"/>
      <c r="R327" s="305"/>
      <c r="S327" s="471"/>
      <c r="T327" s="471"/>
      <c r="U327" s="471"/>
      <c r="V327" s="471"/>
      <c r="W327" s="471"/>
      <c r="X327" s="471"/>
      <c r="Y327" s="471"/>
      <c r="Z327" s="305"/>
      <c r="AA327" s="305"/>
      <c r="AB327" s="305"/>
      <c r="AC327" s="305"/>
      <c r="AD327" s="305"/>
      <c r="AE327" s="131"/>
    </row>
    <row r="328" spans="8:31" ht="14.25">
      <c r="H328" s="129"/>
      <c r="I328" s="129"/>
      <c r="J328" s="129"/>
      <c r="K328" s="304"/>
      <c r="N328" s="487"/>
      <c r="O328" s="305"/>
      <c r="Q328" s="305"/>
      <c r="R328" s="305"/>
      <c r="S328" s="471"/>
      <c r="T328" s="471"/>
      <c r="U328" s="471"/>
      <c r="V328" s="471"/>
      <c r="W328" s="471"/>
      <c r="X328" s="471"/>
      <c r="Y328" s="471"/>
      <c r="Z328" s="305"/>
      <c r="AA328" s="305"/>
      <c r="AB328" s="305"/>
      <c r="AC328" s="305"/>
      <c r="AD328" s="305"/>
      <c r="AE328" s="131"/>
    </row>
    <row r="329" spans="8:31" ht="14.25">
      <c r="H329" s="129"/>
      <c r="I329" s="129"/>
      <c r="J329" s="129"/>
      <c r="K329" s="304"/>
      <c r="N329" s="487"/>
      <c r="O329" s="305"/>
      <c r="Q329" s="305"/>
      <c r="R329" s="305"/>
      <c r="S329" s="471"/>
      <c r="T329" s="471"/>
      <c r="U329" s="471"/>
      <c r="V329" s="471"/>
      <c r="W329" s="471"/>
      <c r="X329" s="471"/>
      <c r="Y329" s="471"/>
      <c r="Z329" s="305"/>
      <c r="AA329" s="305"/>
      <c r="AB329" s="305"/>
      <c r="AC329" s="305"/>
      <c r="AD329" s="305"/>
      <c r="AE329" s="131"/>
    </row>
    <row r="330" spans="8:31" ht="14.25">
      <c r="H330" s="129"/>
      <c r="I330" s="129"/>
      <c r="J330" s="129"/>
      <c r="K330" s="304"/>
      <c r="N330" s="487"/>
      <c r="O330" s="305"/>
      <c r="Q330" s="305"/>
      <c r="R330" s="305"/>
      <c r="S330" s="471"/>
      <c r="T330" s="471"/>
      <c r="U330" s="471"/>
      <c r="V330" s="471"/>
      <c r="W330" s="471"/>
      <c r="X330" s="471"/>
      <c r="Y330" s="471"/>
      <c r="Z330" s="305"/>
      <c r="AA330" s="305"/>
      <c r="AB330" s="305"/>
      <c r="AC330" s="305"/>
      <c r="AD330" s="305"/>
      <c r="AE330" s="131"/>
    </row>
    <row r="331" spans="8:31" ht="14.25">
      <c r="H331" s="129"/>
      <c r="I331" s="129"/>
      <c r="J331" s="129"/>
      <c r="K331" s="304"/>
      <c r="N331" s="487"/>
      <c r="O331" s="305"/>
      <c r="Q331" s="305"/>
      <c r="R331" s="305"/>
      <c r="S331" s="471"/>
      <c r="T331" s="471"/>
      <c r="U331" s="471"/>
      <c r="V331" s="471"/>
      <c r="W331" s="471"/>
      <c r="X331" s="471"/>
      <c r="Y331" s="471"/>
      <c r="Z331" s="305"/>
      <c r="AA331" s="305"/>
      <c r="AB331" s="305"/>
      <c r="AC331" s="305"/>
      <c r="AD331" s="305"/>
      <c r="AE331" s="131"/>
    </row>
    <row r="332" spans="8:31" ht="14.25">
      <c r="H332" s="129"/>
      <c r="I332" s="129"/>
      <c r="J332" s="129"/>
      <c r="K332" s="304"/>
      <c r="N332" s="487"/>
      <c r="O332" s="305"/>
      <c r="Q332" s="305"/>
      <c r="R332" s="305"/>
      <c r="S332" s="471"/>
      <c r="T332" s="471"/>
      <c r="U332" s="471"/>
      <c r="V332" s="471"/>
      <c r="W332" s="471"/>
      <c r="X332" s="471"/>
      <c r="Y332" s="471"/>
      <c r="Z332" s="305"/>
      <c r="AA332" s="305"/>
      <c r="AB332" s="305"/>
      <c r="AC332" s="305"/>
      <c r="AD332" s="305"/>
      <c r="AE332" s="131"/>
    </row>
    <row r="333" spans="8:31" ht="14.25">
      <c r="H333" s="129"/>
      <c r="I333" s="129"/>
      <c r="J333" s="129"/>
      <c r="K333" s="304"/>
      <c r="N333" s="487"/>
      <c r="O333" s="305"/>
      <c r="Q333" s="305"/>
      <c r="R333" s="305"/>
      <c r="S333" s="471"/>
      <c r="T333" s="471"/>
      <c r="U333" s="471"/>
      <c r="V333" s="471"/>
      <c r="W333" s="471"/>
      <c r="X333" s="471"/>
      <c r="Y333" s="471"/>
      <c r="Z333" s="305"/>
      <c r="AA333" s="305"/>
      <c r="AB333" s="305"/>
      <c r="AC333" s="305"/>
      <c r="AD333" s="305"/>
      <c r="AE333" s="131"/>
    </row>
    <row r="334" spans="8:31" ht="14.25">
      <c r="H334" s="129"/>
      <c r="I334" s="129"/>
      <c r="J334" s="129"/>
      <c r="K334" s="304"/>
      <c r="N334" s="487"/>
      <c r="O334" s="305"/>
      <c r="Q334" s="305"/>
      <c r="R334" s="305"/>
      <c r="S334" s="471"/>
      <c r="T334" s="471"/>
      <c r="U334" s="471"/>
      <c r="V334" s="471"/>
      <c r="W334" s="471"/>
      <c r="X334" s="471"/>
      <c r="Y334" s="471"/>
      <c r="Z334" s="305"/>
      <c r="AA334" s="305"/>
      <c r="AB334" s="305"/>
      <c r="AC334" s="305"/>
      <c r="AD334" s="305"/>
      <c r="AE334" s="131"/>
    </row>
    <row r="335" spans="8:31" ht="14.25">
      <c r="H335" s="129"/>
      <c r="I335" s="129"/>
      <c r="J335" s="129"/>
      <c r="K335" s="304"/>
      <c r="N335" s="487"/>
      <c r="O335" s="305"/>
      <c r="Q335" s="305"/>
      <c r="R335" s="305"/>
      <c r="S335" s="471"/>
      <c r="T335" s="471"/>
      <c r="U335" s="471"/>
      <c r="V335" s="471"/>
      <c r="W335" s="471"/>
      <c r="X335" s="471"/>
      <c r="Y335" s="471"/>
      <c r="Z335" s="305"/>
      <c r="AA335" s="305"/>
      <c r="AB335" s="305"/>
      <c r="AC335" s="305"/>
      <c r="AD335" s="305"/>
      <c r="AE335" s="131"/>
    </row>
    <row r="336" spans="8:31" ht="14.25">
      <c r="H336" s="129"/>
      <c r="I336" s="129"/>
      <c r="J336" s="129"/>
      <c r="K336" s="304"/>
      <c r="N336" s="487"/>
      <c r="O336" s="305"/>
      <c r="Q336" s="305"/>
      <c r="R336" s="305"/>
      <c r="S336" s="471"/>
      <c r="T336" s="471"/>
      <c r="U336" s="471"/>
      <c r="V336" s="471"/>
      <c r="W336" s="471"/>
      <c r="X336" s="471"/>
      <c r="Y336" s="471"/>
      <c r="Z336" s="305"/>
      <c r="AA336" s="305"/>
      <c r="AB336" s="305"/>
      <c r="AC336" s="305"/>
      <c r="AD336" s="305"/>
      <c r="AE336" s="131"/>
    </row>
    <row r="337" spans="8:31" ht="14.25">
      <c r="H337" s="129"/>
      <c r="I337" s="129"/>
      <c r="J337" s="129"/>
      <c r="K337" s="304"/>
      <c r="N337" s="487"/>
      <c r="O337" s="305"/>
      <c r="Q337" s="305"/>
      <c r="R337" s="305"/>
      <c r="S337" s="471"/>
      <c r="T337" s="471"/>
      <c r="U337" s="471"/>
      <c r="V337" s="471"/>
      <c r="W337" s="471"/>
      <c r="X337" s="471"/>
      <c r="Y337" s="471"/>
      <c r="Z337" s="305"/>
      <c r="AA337" s="305"/>
      <c r="AB337" s="305"/>
      <c r="AC337" s="305"/>
      <c r="AD337" s="305"/>
      <c r="AE337" s="131"/>
    </row>
    <row r="338" spans="8:31" ht="14.25">
      <c r="H338" s="129"/>
      <c r="I338" s="129"/>
      <c r="J338" s="129"/>
      <c r="K338" s="304"/>
      <c r="N338" s="487"/>
      <c r="O338" s="305"/>
      <c r="Q338" s="305"/>
      <c r="R338" s="305"/>
      <c r="S338" s="471"/>
      <c r="T338" s="471"/>
      <c r="U338" s="471"/>
      <c r="V338" s="471"/>
      <c r="W338" s="471"/>
      <c r="X338" s="471"/>
      <c r="Y338" s="471"/>
      <c r="Z338" s="305"/>
      <c r="AA338" s="305"/>
      <c r="AB338" s="305"/>
      <c r="AC338" s="305"/>
      <c r="AD338" s="305"/>
      <c r="AE338" s="131"/>
    </row>
    <row r="339" spans="8:31" ht="14.25">
      <c r="H339" s="129"/>
      <c r="I339" s="129"/>
      <c r="J339" s="129"/>
      <c r="K339" s="304"/>
      <c r="N339" s="487"/>
      <c r="O339" s="305"/>
      <c r="Q339" s="305"/>
      <c r="R339" s="305"/>
      <c r="S339" s="471"/>
      <c r="T339" s="471"/>
      <c r="U339" s="471"/>
      <c r="V339" s="471"/>
      <c r="W339" s="471"/>
      <c r="X339" s="471"/>
      <c r="Y339" s="471"/>
      <c r="Z339" s="305"/>
      <c r="AA339" s="305"/>
      <c r="AB339" s="305"/>
      <c r="AC339" s="305"/>
      <c r="AD339" s="305"/>
      <c r="AE339" s="131"/>
    </row>
    <row r="340" spans="8:31" ht="14.25">
      <c r="H340" s="129"/>
      <c r="I340" s="129"/>
      <c r="J340" s="129"/>
      <c r="K340" s="304"/>
      <c r="N340" s="487"/>
      <c r="O340" s="305"/>
      <c r="Q340" s="305"/>
      <c r="R340" s="305"/>
      <c r="S340" s="471"/>
      <c r="T340" s="471"/>
      <c r="U340" s="471"/>
      <c r="V340" s="471"/>
      <c r="W340" s="471"/>
      <c r="X340" s="471"/>
      <c r="Y340" s="471"/>
      <c r="Z340" s="305"/>
      <c r="AA340" s="305"/>
      <c r="AB340" s="305"/>
      <c r="AC340" s="305"/>
      <c r="AD340" s="305"/>
      <c r="AE340" s="131"/>
    </row>
    <row r="341" spans="8:31" ht="14.25">
      <c r="H341" s="129"/>
      <c r="I341" s="129"/>
      <c r="J341" s="129"/>
      <c r="K341" s="304"/>
      <c r="N341" s="487"/>
      <c r="O341" s="305"/>
      <c r="Q341" s="305"/>
      <c r="R341" s="305"/>
      <c r="S341" s="471"/>
      <c r="T341" s="471"/>
      <c r="U341" s="471"/>
      <c r="V341" s="471"/>
      <c r="W341" s="471"/>
      <c r="X341" s="471"/>
      <c r="Y341" s="471"/>
      <c r="Z341" s="305"/>
      <c r="AA341" s="305"/>
      <c r="AB341" s="305"/>
      <c r="AC341" s="305"/>
      <c r="AD341" s="305"/>
      <c r="AE341" s="131"/>
    </row>
    <row r="342" spans="8:31" ht="14.25">
      <c r="H342" s="129"/>
      <c r="I342" s="129"/>
      <c r="J342" s="129"/>
      <c r="K342" s="304"/>
      <c r="N342" s="487"/>
      <c r="O342" s="305"/>
      <c r="Q342" s="305"/>
      <c r="R342" s="305"/>
      <c r="S342" s="471"/>
      <c r="T342" s="471"/>
      <c r="U342" s="471"/>
      <c r="V342" s="471"/>
      <c r="W342" s="471"/>
      <c r="X342" s="471"/>
      <c r="Y342" s="471"/>
      <c r="Z342" s="305"/>
      <c r="AA342" s="305"/>
      <c r="AB342" s="305"/>
      <c r="AC342" s="305"/>
      <c r="AD342" s="305"/>
      <c r="AE342" s="131"/>
    </row>
    <row r="343" spans="8:31" ht="14.25">
      <c r="H343" s="129"/>
      <c r="I343" s="129"/>
      <c r="J343" s="129"/>
      <c r="K343" s="304"/>
      <c r="N343" s="487"/>
      <c r="O343" s="305"/>
      <c r="Q343" s="305"/>
      <c r="R343" s="305"/>
      <c r="S343" s="471"/>
      <c r="T343" s="471"/>
      <c r="U343" s="471"/>
      <c r="V343" s="471"/>
      <c r="W343" s="471"/>
      <c r="X343" s="471"/>
      <c r="Y343" s="471"/>
      <c r="Z343" s="305"/>
      <c r="AA343" s="305"/>
      <c r="AB343" s="305"/>
      <c r="AC343" s="305"/>
      <c r="AD343" s="305"/>
      <c r="AE343" s="131"/>
    </row>
    <row r="344" spans="8:31" ht="14.25">
      <c r="H344" s="129"/>
      <c r="I344" s="129"/>
      <c r="J344" s="129"/>
      <c r="K344" s="304"/>
      <c r="N344" s="487"/>
      <c r="O344" s="305"/>
      <c r="Q344" s="305"/>
      <c r="R344" s="305"/>
      <c r="S344" s="471"/>
      <c r="T344" s="471"/>
      <c r="U344" s="471"/>
      <c r="V344" s="471"/>
      <c r="W344" s="471"/>
      <c r="X344" s="471"/>
      <c r="Y344" s="471"/>
      <c r="Z344" s="305"/>
      <c r="AA344" s="305"/>
      <c r="AB344" s="305"/>
      <c r="AC344" s="305"/>
      <c r="AD344" s="305"/>
      <c r="AE344" s="131"/>
    </row>
    <row r="345" spans="8:31" ht="14.25">
      <c r="H345" s="129"/>
      <c r="I345" s="129"/>
      <c r="J345" s="129"/>
      <c r="K345" s="304"/>
      <c r="N345" s="487"/>
      <c r="O345" s="305"/>
      <c r="Q345" s="305"/>
      <c r="R345" s="305"/>
      <c r="S345" s="471"/>
      <c r="T345" s="471"/>
      <c r="U345" s="471"/>
      <c r="V345" s="471"/>
      <c r="W345" s="471"/>
      <c r="X345" s="471"/>
      <c r="Y345" s="471"/>
      <c r="Z345" s="305"/>
      <c r="AA345" s="305"/>
      <c r="AB345" s="305"/>
      <c r="AC345" s="305"/>
      <c r="AD345" s="305"/>
      <c r="AE345" s="131"/>
    </row>
    <row r="346" spans="8:31" ht="14.25">
      <c r="H346" s="129"/>
      <c r="I346" s="129"/>
      <c r="J346" s="129"/>
      <c r="K346" s="304"/>
      <c r="N346" s="487"/>
      <c r="O346" s="305"/>
      <c r="Q346" s="305"/>
      <c r="R346" s="305"/>
      <c r="S346" s="471"/>
      <c r="T346" s="471"/>
      <c r="U346" s="471"/>
      <c r="V346" s="471"/>
      <c r="W346" s="471"/>
      <c r="X346" s="471"/>
      <c r="Y346" s="471"/>
      <c r="Z346" s="305"/>
      <c r="AA346" s="305"/>
      <c r="AB346" s="305"/>
      <c r="AC346" s="305"/>
      <c r="AD346" s="305"/>
      <c r="AE346" s="131"/>
    </row>
    <row r="347" spans="8:31" ht="14.25">
      <c r="H347" s="129"/>
      <c r="I347" s="129"/>
      <c r="J347" s="129"/>
      <c r="K347" s="304"/>
      <c r="N347" s="487"/>
      <c r="O347" s="305"/>
      <c r="Q347" s="305"/>
      <c r="R347" s="305"/>
      <c r="S347" s="471"/>
      <c r="T347" s="471"/>
      <c r="U347" s="471"/>
      <c r="V347" s="471"/>
      <c r="W347" s="471"/>
      <c r="X347" s="471"/>
      <c r="Y347" s="471"/>
      <c r="Z347" s="305"/>
      <c r="AA347" s="305"/>
      <c r="AB347" s="305"/>
      <c r="AC347" s="305"/>
      <c r="AD347" s="305"/>
      <c r="AE347" s="131"/>
    </row>
    <row r="348" spans="8:31" ht="14.25">
      <c r="H348" s="129"/>
      <c r="I348" s="129"/>
      <c r="J348" s="129"/>
      <c r="K348" s="304"/>
      <c r="N348" s="487"/>
      <c r="O348" s="305"/>
      <c r="Q348" s="305"/>
      <c r="R348" s="305"/>
      <c r="S348" s="471"/>
      <c r="T348" s="471"/>
      <c r="U348" s="471"/>
      <c r="V348" s="471"/>
      <c r="W348" s="471"/>
      <c r="X348" s="471"/>
      <c r="Y348" s="471"/>
      <c r="Z348" s="305"/>
      <c r="AA348" s="305"/>
      <c r="AB348" s="305"/>
      <c r="AC348" s="305"/>
      <c r="AD348" s="305"/>
      <c r="AE348" s="131"/>
    </row>
    <row r="349" spans="8:31" ht="14.25">
      <c r="H349" s="129"/>
      <c r="I349" s="129"/>
      <c r="J349" s="129"/>
      <c r="K349" s="304"/>
      <c r="N349" s="487"/>
      <c r="O349" s="305"/>
      <c r="Q349" s="305"/>
      <c r="R349" s="305"/>
      <c r="S349" s="471"/>
      <c r="T349" s="471"/>
      <c r="U349" s="471"/>
      <c r="V349" s="471"/>
      <c r="W349" s="471"/>
      <c r="X349" s="471"/>
      <c r="Y349" s="471"/>
      <c r="Z349" s="305"/>
      <c r="AA349" s="305"/>
      <c r="AB349" s="305"/>
      <c r="AC349" s="305"/>
      <c r="AD349" s="305"/>
      <c r="AE349" s="131"/>
    </row>
    <row r="350" spans="8:31" ht="14.25">
      <c r="H350" s="129"/>
      <c r="I350" s="129"/>
      <c r="J350" s="129"/>
      <c r="K350" s="304"/>
      <c r="N350" s="487"/>
      <c r="O350" s="305"/>
      <c r="Q350" s="305"/>
      <c r="R350" s="305"/>
      <c r="S350" s="471"/>
      <c r="T350" s="471"/>
      <c r="U350" s="471"/>
      <c r="V350" s="471"/>
      <c r="W350" s="471"/>
      <c r="X350" s="471"/>
      <c r="Y350" s="471"/>
      <c r="Z350" s="305"/>
      <c r="AA350" s="305"/>
      <c r="AB350" s="305"/>
      <c r="AC350" s="305"/>
      <c r="AD350" s="305"/>
      <c r="AE350" s="131"/>
    </row>
    <row r="351" spans="8:31" ht="14.25">
      <c r="H351" s="129"/>
      <c r="I351" s="129"/>
      <c r="J351" s="129"/>
      <c r="K351" s="304"/>
      <c r="N351" s="487"/>
      <c r="O351" s="305"/>
      <c r="Q351" s="305"/>
      <c r="R351" s="305"/>
      <c r="S351" s="471"/>
      <c r="T351" s="471"/>
      <c r="U351" s="471"/>
      <c r="V351" s="471"/>
      <c r="W351" s="471"/>
      <c r="X351" s="471"/>
      <c r="Y351" s="471"/>
      <c r="Z351" s="305"/>
      <c r="AA351" s="305"/>
      <c r="AB351" s="305"/>
      <c r="AC351" s="305"/>
      <c r="AD351" s="305"/>
      <c r="AE351" s="131"/>
    </row>
    <row r="352" spans="8:31" ht="14.25">
      <c r="H352" s="129"/>
      <c r="I352" s="129"/>
      <c r="J352" s="129"/>
      <c r="K352" s="304"/>
      <c r="N352" s="487"/>
      <c r="O352" s="305"/>
      <c r="Q352" s="305"/>
      <c r="R352" s="305"/>
      <c r="S352" s="471"/>
      <c r="T352" s="471"/>
      <c r="U352" s="471"/>
      <c r="V352" s="471"/>
      <c r="W352" s="471"/>
      <c r="X352" s="471"/>
      <c r="Y352" s="471"/>
      <c r="Z352" s="305"/>
      <c r="AA352" s="305"/>
      <c r="AB352" s="305"/>
      <c r="AC352" s="305"/>
      <c r="AD352" s="305"/>
      <c r="AE352" s="131"/>
    </row>
    <row r="353" spans="8:31" ht="14.25">
      <c r="H353" s="129"/>
      <c r="I353" s="129"/>
      <c r="J353" s="129"/>
      <c r="K353" s="304"/>
      <c r="N353" s="487"/>
      <c r="O353" s="305"/>
      <c r="Q353" s="305"/>
      <c r="R353" s="305"/>
      <c r="S353" s="471"/>
      <c r="T353" s="471"/>
      <c r="U353" s="471"/>
      <c r="V353" s="471"/>
      <c r="W353" s="471"/>
      <c r="X353" s="471"/>
      <c r="Y353" s="471"/>
      <c r="Z353" s="305"/>
      <c r="AA353" s="305"/>
      <c r="AB353" s="305"/>
      <c r="AC353" s="305"/>
      <c r="AD353" s="305"/>
      <c r="AE353" s="131"/>
    </row>
    <row r="354" spans="8:31" ht="14.25">
      <c r="H354" s="129"/>
      <c r="I354" s="129"/>
      <c r="J354" s="129"/>
      <c r="K354" s="304"/>
      <c r="N354" s="487"/>
      <c r="O354" s="305"/>
      <c r="Q354" s="305"/>
      <c r="R354" s="305"/>
      <c r="S354" s="471"/>
      <c r="T354" s="471"/>
      <c r="U354" s="471"/>
      <c r="V354" s="471"/>
      <c r="W354" s="471"/>
      <c r="X354" s="471"/>
      <c r="Y354" s="471"/>
      <c r="Z354" s="305"/>
      <c r="AA354" s="305"/>
      <c r="AB354" s="305"/>
      <c r="AC354" s="305"/>
      <c r="AD354" s="305"/>
      <c r="AE354" s="131"/>
    </row>
    <row r="355" spans="8:31" ht="14.25">
      <c r="H355" s="129"/>
      <c r="I355" s="129"/>
      <c r="J355" s="129"/>
      <c r="K355" s="304"/>
      <c r="N355" s="487"/>
      <c r="O355" s="305"/>
      <c r="Q355" s="305"/>
      <c r="R355" s="305"/>
      <c r="S355" s="471"/>
      <c r="T355" s="471"/>
      <c r="U355" s="471"/>
      <c r="V355" s="471"/>
      <c r="W355" s="471"/>
      <c r="X355" s="471"/>
      <c r="Y355" s="471"/>
      <c r="Z355" s="305"/>
      <c r="AA355" s="305"/>
      <c r="AB355" s="305"/>
      <c r="AC355" s="305"/>
      <c r="AD355" s="305"/>
      <c r="AE355" s="131"/>
    </row>
    <row r="356" spans="8:31" ht="14.25">
      <c r="H356" s="129"/>
      <c r="I356" s="129"/>
      <c r="J356" s="129"/>
      <c r="K356" s="304"/>
      <c r="N356" s="487"/>
      <c r="O356" s="305"/>
      <c r="Q356" s="305"/>
      <c r="R356" s="305"/>
      <c r="S356" s="471"/>
      <c r="T356" s="471"/>
      <c r="U356" s="471"/>
      <c r="V356" s="471"/>
      <c r="W356" s="471"/>
      <c r="X356" s="471"/>
      <c r="Y356" s="471"/>
      <c r="Z356" s="305"/>
      <c r="AA356" s="305"/>
      <c r="AB356" s="305"/>
      <c r="AC356" s="305"/>
      <c r="AD356" s="305"/>
      <c r="AE356" s="131"/>
    </row>
    <row r="357" spans="8:31" ht="14.25">
      <c r="H357" s="129"/>
      <c r="I357" s="129"/>
      <c r="J357" s="129"/>
      <c r="K357" s="304"/>
      <c r="N357" s="487"/>
      <c r="O357" s="305"/>
      <c r="Q357" s="305"/>
      <c r="R357" s="305"/>
      <c r="S357" s="471"/>
      <c r="T357" s="471"/>
      <c r="U357" s="471"/>
      <c r="V357" s="471"/>
      <c r="W357" s="471"/>
      <c r="X357" s="471"/>
      <c r="Y357" s="471"/>
      <c r="Z357" s="305"/>
      <c r="AA357" s="305"/>
      <c r="AB357" s="305"/>
      <c r="AC357" s="305"/>
      <c r="AD357" s="305"/>
      <c r="AE357" s="131"/>
    </row>
    <row r="358" spans="8:31" ht="14.25">
      <c r="H358" s="129"/>
      <c r="I358" s="129"/>
      <c r="J358" s="129"/>
      <c r="K358" s="304"/>
      <c r="N358" s="487"/>
      <c r="O358" s="305"/>
      <c r="Q358" s="305"/>
      <c r="R358" s="305"/>
      <c r="S358" s="471"/>
      <c r="T358" s="471"/>
      <c r="U358" s="471"/>
      <c r="V358" s="471"/>
      <c r="W358" s="471"/>
      <c r="X358" s="471"/>
      <c r="Y358" s="471"/>
      <c r="Z358" s="305"/>
      <c r="AA358" s="305"/>
      <c r="AB358" s="305"/>
      <c r="AC358" s="305"/>
      <c r="AD358" s="305"/>
      <c r="AE358" s="131"/>
    </row>
    <row r="359" spans="8:31" ht="14.25">
      <c r="H359" s="129"/>
      <c r="I359" s="129"/>
      <c r="J359" s="129"/>
      <c r="K359" s="304"/>
      <c r="N359" s="487"/>
      <c r="O359" s="305"/>
      <c r="Q359" s="305"/>
      <c r="R359" s="305"/>
      <c r="S359" s="471"/>
      <c r="T359" s="471"/>
      <c r="U359" s="471"/>
      <c r="V359" s="471"/>
      <c r="W359" s="471"/>
      <c r="X359" s="471"/>
      <c r="Y359" s="471"/>
      <c r="Z359" s="305"/>
      <c r="AA359" s="305"/>
      <c r="AB359" s="305"/>
      <c r="AC359" s="305"/>
      <c r="AD359" s="305"/>
      <c r="AE359" s="131"/>
    </row>
    <row r="360" spans="8:31" ht="14.25">
      <c r="H360" s="129"/>
      <c r="I360" s="129"/>
      <c r="J360" s="129"/>
      <c r="K360" s="304"/>
      <c r="N360" s="487"/>
      <c r="O360" s="305"/>
      <c r="Q360" s="305"/>
      <c r="R360" s="305"/>
      <c r="S360" s="471"/>
      <c r="T360" s="471"/>
      <c r="U360" s="471"/>
      <c r="V360" s="471"/>
      <c r="W360" s="471"/>
      <c r="X360" s="471"/>
      <c r="Y360" s="471"/>
      <c r="Z360" s="305"/>
      <c r="AA360" s="305"/>
      <c r="AB360" s="305"/>
      <c r="AC360" s="305"/>
      <c r="AD360" s="305"/>
      <c r="AE360" s="131"/>
    </row>
    <row r="361" spans="8:31" ht="14.25">
      <c r="H361" s="129"/>
      <c r="I361" s="129"/>
      <c r="J361" s="129"/>
      <c r="K361" s="304"/>
      <c r="N361" s="487"/>
      <c r="O361" s="305"/>
      <c r="Q361" s="305"/>
      <c r="R361" s="305"/>
      <c r="S361" s="471"/>
      <c r="T361" s="471"/>
      <c r="U361" s="471"/>
      <c r="V361" s="471"/>
      <c r="W361" s="471"/>
      <c r="X361" s="471"/>
      <c r="Y361" s="471"/>
      <c r="Z361" s="305"/>
      <c r="AA361" s="305"/>
      <c r="AB361" s="305"/>
      <c r="AC361" s="305"/>
      <c r="AD361" s="305"/>
      <c r="AE361" s="131"/>
    </row>
    <row r="362" spans="8:31" ht="14.25">
      <c r="H362" s="129"/>
      <c r="I362" s="129"/>
      <c r="J362" s="129"/>
      <c r="K362" s="304"/>
      <c r="N362" s="487"/>
      <c r="O362" s="305"/>
      <c r="Q362" s="305"/>
      <c r="R362" s="305"/>
      <c r="S362" s="471"/>
      <c r="T362" s="471"/>
      <c r="U362" s="471"/>
      <c r="V362" s="471"/>
      <c r="W362" s="471"/>
      <c r="X362" s="471"/>
      <c r="Y362" s="471"/>
      <c r="Z362" s="305"/>
      <c r="AA362" s="305"/>
      <c r="AB362" s="305"/>
      <c r="AC362" s="305"/>
      <c r="AD362" s="305"/>
      <c r="AE362" s="131"/>
    </row>
    <row r="363" spans="8:31" ht="14.25">
      <c r="H363" s="129"/>
      <c r="I363" s="129"/>
      <c r="J363" s="129"/>
      <c r="K363" s="304"/>
      <c r="N363" s="487"/>
      <c r="O363" s="305"/>
      <c r="Q363" s="305"/>
      <c r="R363" s="305"/>
      <c r="S363" s="471"/>
      <c r="T363" s="471"/>
      <c r="U363" s="471"/>
      <c r="V363" s="471"/>
      <c r="W363" s="471"/>
      <c r="X363" s="471"/>
      <c r="Y363" s="471"/>
      <c r="Z363" s="305"/>
      <c r="AA363" s="305"/>
      <c r="AB363" s="305"/>
      <c r="AC363" s="305"/>
      <c r="AD363" s="305"/>
      <c r="AE363" s="131"/>
    </row>
    <row r="364" spans="8:31" ht="14.25">
      <c r="H364" s="129"/>
      <c r="I364" s="129"/>
      <c r="J364" s="129"/>
      <c r="K364" s="304"/>
      <c r="N364" s="487"/>
      <c r="O364" s="305"/>
      <c r="Q364" s="305"/>
      <c r="R364" s="305"/>
      <c r="S364" s="471"/>
      <c r="T364" s="471"/>
      <c r="U364" s="471"/>
      <c r="V364" s="471"/>
      <c r="W364" s="471"/>
      <c r="X364" s="471"/>
      <c r="Y364" s="471"/>
      <c r="Z364" s="305"/>
      <c r="AA364" s="305"/>
      <c r="AB364" s="305"/>
      <c r="AC364" s="305"/>
      <c r="AD364" s="305"/>
      <c r="AE364" s="131"/>
    </row>
    <row r="365" spans="8:31" ht="14.25">
      <c r="H365" s="129"/>
      <c r="I365" s="129"/>
      <c r="J365" s="129"/>
      <c r="K365" s="304"/>
      <c r="N365" s="487"/>
      <c r="O365" s="305"/>
      <c r="Q365" s="305"/>
      <c r="R365" s="305"/>
      <c r="S365" s="471"/>
      <c r="T365" s="471"/>
      <c r="U365" s="471"/>
      <c r="V365" s="471"/>
      <c r="W365" s="471"/>
      <c r="X365" s="471"/>
      <c r="Y365" s="471"/>
      <c r="Z365" s="305"/>
      <c r="AA365" s="305"/>
      <c r="AB365" s="305"/>
      <c r="AC365" s="305"/>
      <c r="AD365" s="305"/>
      <c r="AE365" s="131"/>
    </row>
    <row r="366" spans="8:31" ht="14.25">
      <c r="H366" s="129"/>
      <c r="I366" s="129"/>
      <c r="J366" s="129"/>
      <c r="K366" s="304"/>
      <c r="N366" s="487"/>
      <c r="O366" s="305"/>
      <c r="Q366" s="305"/>
      <c r="R366" s="305"/>
      <c r="S366" s="471"/>
      <c r="T366" s="471"/>
      <c r="U366" s="471"/>
      <c r="V366" s="471"/>
      <c r="W366" s="471"/>
      <c r="X366" s="471"/>
      <c r="Y366" s="471"/>
      <c r="Z366" s="305"/>
      <c r="AA366" s="305"/>
      <c r="AB366" s="305"/>
      <c r="AC366" s="305"/>
      <c r="AD366" s="305"/>
      <c r="AE366" s="131"/>
    </row>
    <row r="367" spans="8:31" ht="14.25">
      <c r="H367" s="129"/>
      <c r="I367" s="129"/>
      <c r="J367" s="129"/>
      <c r="K367" s="304"/>
      <c r="N367" s="487"/>
      <c r="O367" s="305"/>
      <c r="Q367" s="305"/>
      <c r="R367" s="305"/>
      <c r="S367" s="471"/>
      <c r="T367" s="471"/>
      <c r="U367" s="471"/>
      <c r="V367" s="471"/>
      <c r="W367" s="471"/>
      <c r="X367" s="471"/>
      <c r="Y367" s="471"/>
      <c r="Z367" s="305"/>
      <c r="AA367" s="305"/>
      <c r="AB367" s="305"/>
      <c r="AC367" s="305"/>
      <c r="AD367" s="305"/>
      <c r="AE367" s="131"/>
    </row>
    <row r="368" spans="8:31" ht="14.25">
      <c r="H368" s="129"/>
      <c r="I368" s="129"/>
      <c r="J368" s="129"/>
      <c r="K368" s="304"/>
      <c r="N368" s="487"/>
      <c r="O368" s="305"/>
      <c r="Q368" s="305"/>
      <c r="R368" s="305"/>
      <c r="S368" s="471"/>
      <c r="T368" s="471"/>
      <c r="U368" s="471"/>
      <c r="V368" s="471"/>
      <c r="W368" s="471"/>
      <c r="X368" s="471"/>
      <c r="Y368" s="471"/>
      <c r="Z368" s="305"/>
      <c r="AA368" s="305"/>
      <c r="AB368" s="305"/>
      <c r="AC368" s="305"/>
      <c r="AD368" s="305"/>
      <c r="AE368" s="131"/>
    </row>
    <row r="369" spans="8:31" ht="14.25">
      <c r="H369" s="129"/>
      <c r="I369" s="129"/>
      <c r="J369" s="129"/>
      <c r="K369" s="304"/>
      <c r="N369" s="487"/>
      <c r="O369" s="305"/>
      <c r="Q369" s="305"/>
      <c r="R369" s="305"/>
      <c r="S369" s="471"/>
      <c r="T369" s="471"/>
      <c r="U369" s="471"/>
      <c r="V369" s="471"/>
      <c r="W369" s="471"/>
      <c r="X369" s="471"/>
      <c r="Y369" s="471"/>
      <c r="Z369" s="305"/>
      <c r="AA369" s="305"/>
      <c r="AB369" s="305"/>
      <c r="AC369" s="305"/>
      <c r="AD369" s="305"/>
      <c r="AE369" s="131"/>
    </row>
    <row r="370" spans="8:31" ht="14.25">
      <c r="H370" s="129"/>
      <c r="I370" s="129"/>
      <c r="J370" s="129"/>
      <c r="K370" s="304"/>
      <c r="N370" s="487"/>
      <c r="O370" s="305"/>
      <c r="Q370" s="305"/>
      <c r="R370" s="305"/>
      <c r="S370" s="471"/>
      <c r="T370" s="471"/>
      <c r="U370" s="471"/>
      <c r="V370" s="471"/>
      <c r="W370" s="471"/>
      <c r="X370" s="471"/>
      <c r="Y370" s="471"/>
      <c r="Z370" s="305"/>
      <c r="AA370" s="305"/>
      <c r="AB370" s="305"/>
      <c r="AC370" s="305"/>
      <c r="AD370" s="305"/>
      <c r="AE370" s="131"/>
    </row>
    <row r="371" spans="8:31" ht="14.25">
      <c r="H371" s="129"/>
      <c r="I371" s="129"/>
      <c r="J371" s="129"/>
      <c r="K371" s="304"/>
      <c r="N371" s="487"/>
      <c r="O371" s="305"/>
      <c r="Q371" s="305"/>
      <c r="R371" s="305"/>
      <c r="S371" s="471"/>
      <c r="T371" s="471"/>
      <c r="U371" s="471"/>
      <c r="V371" s="471"/>
      <c r="W371" s="471"/>
      <c r="X371" s="471"/>
      <c r="Y371" s="471"/>
      <c r="Z371" s="305"/>
      <c r="AA371" s="305"/>
      <c r="AB371" s="305"/>
      <c r="AC371" s="305"/>
      <c r="AD371" s="305"/>
      <c r="AE371" s="131"/>
    </row>
    <row r="372" spans="8:31" ht="14.25">
      <c r="H372" s="129"/>
      <c r="I372" s="129"/>
      <c r="J372" s="129"/>
      <c r="K372" s="304"/>
      <c r="N372" s="487"/>
      <c r="O372" s="305"/>
      <c r="Q372" s="305"/>
      <c r="R372" s="305"/>
      <c r="S372" s="471"/>
      <c r="T372" s="471"/>
      <c r="U372" s="471"/>
      <c r="V372" s="471"/>
      <c r="W372" s="471"/>
      <c r="X372" s="471"/>
      <c r="Y372" s="471"/>
      <c r="Z372" s="305"/>
      <c r="AA372" s="305"/>
      <c r="AB372" s="305"/>
      <c r="AC372" s="305"/>
      <c r="AD372" s="305"/>
      <c r="AE372" s="131"/>
    </row>
    <row r="373" spans="8:31" ht="14.25">
      <c r="H373" s="129"/>
      <c r="I373" s="129"/>
      <c r="J373" s="129"/>
      <c r="K373" s="304"/>
      <c r="N373" s="487"/>
      <c r="O373" s="305"/>
      <c r="Q373" s="305"/>
      <c r="R373" s="305"/>
      <c r="S373" s="471"/>
      <c r="T373" s="471"/>
      <c r="U373" s="471"/>
      <c r="V373" s="471"/>
      <c r="W373" s="471"/>
      <c r="X373" s="471"/>
      <c r="Y373" s="471"/>
      <c r="Z373" s="305"/>
      <c r="AA373" s="305"/>
      <c r="AB373" s="305"/>
      <c r="AC373" s="305"/>
      <c r="AD373" s="305"/>
      <c r="AE373" s="131"/>
    </row>
    <row r="374" spans="8:31" ht="14.25">
      <c r="H374" s="129"/>
      <c r="I374" s="129"/>
      <c r="J374" s="129"/>
      <c r="K374" s="304"/>
      <c r="N374" s="487"/>
      <c r="O374" s="305"/>
      <c r="Q374" s="305"/>
      <c r="R374" s="305"/>
      <c r="S374" s="471"/>
      <c r="T374" s="471"/>
      <c r="U374" s="471"/>
      <c r="V374" s="471"/>
      <c r="W374" s="471"/>
      <c r="X374" s="471"/>
      <c r="Y374" s="471"/>
      <c r="Z374" s="305"/>
      <c r="AA374" s="305"/>
      <c r="AB374" s="305"/>
      <c r="AC374" s="305"/>
      <c r="AD374" s="305"/>
      <c r="AE374" s="131"/>
    </row>
    <row r="375" spans="8:31" ht="14.25">
      <c r="H375" s="129"/>
      <c r="I375" s="129"/>
      <c r="J375" s="129"/>
      <c r="K375" s="304"/>
      <c r="N375" s="487"/>
      <c r="O375" s="305"/>
      <c r="Q375" s="305"/>
      <c r="R375" s="305"/>
      <c r="S375" s="471"/>
      <c r="T375" s="471"/>
      <c r="U375" s="471"/>
      <c r="V375" s="471"/>
      <c r="W375" s="471"/>
      <c r="X375" s="471"/>
      <c r="Y375" s="471"/>
      <c r="Z375" s="305"/>
      <c r="AA375" s="305"/>
      <c r="AB375" s="305"/>
      <c r="AC375" s="305"/>
      <c r="AD375" s="305"/>
      <c r="AE375" s="131"/>
    </row>
    <row r="376" spans="8:31" ht="14.25">
      <c r="H376" s="129"/>
      <c r="I376" s="129"/>
      <c r="J376" s="129"/>
      <c r="K376" s="304"/>
      <c r="N376" s="487"/>
      <c r="O376" s="305"/>
      <c r="Q376" s="305"/>
      <c r="R376" s="305"/>
      <c r="S376" s="471"/>
      <c r="T376" s="471"/>
      <c r="U376" s="471"/>
      <c r="V376" s="471"/>
      <c r="W376" s="471"/>
      <c r="X376" s="471"/>
      <c r="Y376" s="471"/>
      <c r="Z376" s="305"/>
      <c r="AA376" s="305"/>
      <c r="AB376" s="305"/>
      <c r="AC376" s="305"/>
      <c r="AD376" s="305"/>
      <c r="AE376" s="131"/>
    </row>
    <row r="377" spans="8:31" ht="14.25">
      <c r="H377" s="129"/>
      <c r="I377" s="129"/>
      <c r="J377" s="129"/>
      <c r="K377" s="304"/>
      <c r="N377" s="487"/>
      <c r="O377" s="305"/>
      <c r="Q377" s="305"/>
      <c r="R377" s="305"/>
      <c r="S377" s="471"/>
      <c r="T377" s="471"/>
      <c r="U377" s="471"/>
      <c r="V377" s="471"/>
      <c r="W377" s="471"/>
      <c r="X377" s="471"/>
      <c r="Y377" s="471"/>
      <c r="Z377" s="305"/>
      <c r="AA377" s="305"/>
      <c r="AB377" s="305"/>
      <c r="AC377" s="305"/>
      <c r="AD377" s="305"/>
      <c r="AE377" s="131"/>
    </row>
    <row r="378" spans="8:31" ht="14.25">
      <c r="H378" s="129"/>
      <c r="I378" s="129"/>
      <c r="J378" s="129"/>
      <c r="K378" s="304"/>
      <c r="N378" s="487"/>
      <c r="O378" s="305"/>
      <c r="Q378" s="305"/>
      <c r="R378" s="305"/>
      <c r="S378" s="471"/>
      <c r="T378" s="471"/>
      <c r="U378" s="471"/>
      <c r="V378" s="471"/>
      <c r="W378" s="471"/>
      <c r="X378" s="471"/>
      <c r="Y378" s="471"/>
      <c r="Z378" s="305"/>
      <c r="AA378" s="305"/>
      <c r="AB378" s="305"/>
      <c r="AC378" s="305"/>
      <c r="AD378" s="305"/>
      <c r="AE378" s="131"/>
    </row>
    <row r="379" spans="8:31" ht="14.25">
      <c r="H379" s="129"/>
      <c r="I379" s="129"/>
      <c r="J379" s="129"/>
      <c r="K379" s="304"/>
      <c r="N379" s="487"/>
      <c r="O379" s="305"/>
      <c r="Q379" s="305"/>
      <c r="R379" s="305"/>
      <c r="S379" s="471"/>
      <c r="T379" s="471"/>
      <c r="U379" s="471"/>
      <c r="V379" s="471"/>
      <c r="W379" s="471"/>
      <c r="X379" s="471"/>
      <c r="Y379" s="471"/>
      <c r="Z379" s="305"/>
      <c r="AA379" s="305"/>
      <c r="AB379" s="305"/>
      <c r="AC379" s="305"/>
      <c r="AD379" s="305"/>
      <c r="AE379" s="131"/>
    </row>
    <row r="380" spans="8:31" ht="14.25">
      <c r="H380" s="129"/>
      <c r="I380" s="129"/>
      <c r="J380" s="129"/>
      <c r="K380" s="304"/>
      <c r="N380" s="487"/>
      <c r="O380" s="305"/>
      <c r="Q380" s="305"/>
      <c r="R380" s="305"/>
      <c r="S380" s="471"/>
      <c r="T380" s="471"/>
      <c r="U380" s="471"/>
      <c r="V380" s="471"/>
      <c r="W380" s="471"/>
      <c r="X380" s="471"/>
      <c r="Y380" s="471"/>
      <c r="Z380" s="305"/>
      <c r="AA380" s="305"/>
      <c r="AB380" s="305"/>
      <c r="AC380" s="305"/>
      <c r="AD380" s="305"/>
      <c r="AE380" s="131"/>
    </row>
    <row r="381" spans="8:31" ht="14.25">
      <c r="H381" s="129"/>
      <c r="I381" s="129"/>
      <c r="J381" s="129"/>
      <c r="K381" s="304"/>
      <c r="N381" s="487"/>
      <c r="O381" s="305"/>
      <c r="Q381" s="305"/>
      <c r="R381" s="305"/>
      <c r="S381" s="471"/>
      <c r="T381" s="471"/>
      <c r="U381" s="471"/>
      <c r="V381" s="471"/>
      <c r="W381" s="471"/>
      <c r="X381" s="471"/>
      <c r="Y381" s="471"/>
      <c r="Z381" s="305"/>
      <c r="AA381" s="305"/>
      <c r="AB381" s="305"/>
      <c r="AC381" s="305"/>
      <c r="AD381" s="305"/>
      <c r="AE381" s="131"/>
    </row>
    <row r="382" spans="8:31" ht="14.25">
      <c r="H382" s="129"/>
      <c r="I382" s="129"/>
      <c r="J382" s="129"/>
      <c r="K382" s="304"/>
      <c r="N382" s="487"/>
      <c r="O382" s="305"/>
      <c r="Q382" s="305"/>
      <c r="R382" s="305"/>
      <c r="S382" s="471"/>
      <c r="T382" s="471"/>
      <c r="U382" s="471"/>
      <c r="V382" s="471"/>
      <c r="W382" s="471"/>
      <c r="X382" s="471"/>
      <c r="Y382" s="471"/>
      <c r="Z382" s="305"/>
      <c r="AA382" s="305"/>
      <c r="AB382" s="305"/>
      <c r="AC382" s="305"/>
      <c r="AD382" s="305"/>
      <c r="AE382" s="131"/>
    </row>
    <row r="383" spans="8:31" ht="14.25">
      <c r="H383" s="129"/>
      <c r="I383" s="129"/>
      <c r="J383" s="129"/>
      <c r="K383" s="304"/>
      <c r="N383" s="487"/>
      <c r="O383" s="305"/>
      <c r="Q383" s="305"/>
      <c r="R383" s="305"/>
      <c r="S383" s="471"/>
      <c r="T383" s="471"/>
      <c r="U383" s="471"/>
      <c r="V383" s="471"/>
      <c r="W383" s="471"/>
      <c r="X383" s="471"/>
      <c r="Y383" s="471"/>
      <c r="Z383" s="305"/>
      <c r="AA383" s="305"/>
      <c r="AB383" s="305"/>
      <c r="AC383" s="305"/>
      <c r="AD383" s="305"/>
      <c r="AE383" s="131"/>
    </row>
    <row r="384" spans="8:31" ht="14.25">
      <c r="H384" s="129"/>
      <c r="I384" s="129"/>
      <c r="J384" s="129"/>
      <c r="K384" s="304"/>
      <c r="N384" s="487"/>
      <c r="O384" s="305"/>
      <c r="Q384" s="305"/>
      <c r="R384" s="305"/>
      <c r="S384" s="471"/>
      <c r="T384" s="471"/>
      <c r="U384" s="471"/>
      <c r="V384" s="471"/>
      <c r="W384" s="471"/>
      <c r="X384" s="471"/>
      <c r="Y384" s="471"/>
      <c r="Z384" s="305"/>
      <c r="AA384" s="305"/>
      <c r="AB384" s="305"/>
      <c r="AC384" s="305"/>
      <c r="AD384" s="305"/>
      <c r="AE384" s="131"/>
    </row>
    <row r="385" spans="8:31" ht="14.25">
      <c r="H385" s="129"/>
      <c r="I385" s="129"/>
      <c r="J385" s="129"/>
      <c r="K385" s="304"/>
      <c r="N385" s="487"/>
      <c r="O385" s="305"/>
      <c r="Q385" s="305"/>
      <c r="R385" s="305"/>
      <c r="S385" s="471"/>
      <c r="T385" s="471"/>
      <c r="U385" s="471"/>
      <c r="V385" s="471"/>
      <c r="W385" s="471"/>
      <c r="X385" s="471"/>
      <c r="Y385" s="471"/>
      <c r="Z385" s="305"/>
      <c r="AA385" s="305"/>
      <c r="AB385" s="305"/>
      <c r="AC385" s="305"/>
      <c r="AD385" s="305"/>
      <c r="AE385" s="131"/>
    </row>
    <row r="386" spans="8:31" ht="14.25">
      <c r="H386" s="129"/>
      <c r="I386" s="129"/>
      <c r="J386" s="129"/>
      <c r="K386" s="304"/>
      <c r="N386" s="487"/>
      <c r="O386" s="305"/>
      <c r="Q386" s="305"/>
      <c r="R386" s="305"/>
      <c r="S386" s="471"/>
      <c r="T386" s="471"/>
      <c r="U386" s="471"/>
      <c r="V386" s="471"/>
      <c r="W386" s="471"/>
      <c r="X386" s="471"/>
      <c r="Y386" s="471"/>
      <c r="Z386" s="305"/>
      <c r="AA386" s="305"/>
      <c r="AB386" s="305"/>
      <c r="AC386" s="305"/>
      <c r="AD386" s="305"/>
      <c r="AE386" s="131"/>
    </row>
    <row r="387" spans="8:31" ht="14.25">
      <c r="H387" s="129"/>
      <c r="I387" s="129"/>
      <c r="J387" s="129"/>
      <c r="K387" s="304"/>
      <c r="N387" s="487"/>
      <c r="O387" s="305"/>
      <c r="Q387" s="305"/>
      <c r="R387" s="305"/>
      <c r="S387" s="471"/>
      <c r="T387" s="471"/>
      <c r="U387" s="471"/>
      <c r="V387" s="471"/>
      <c r="W387" s="471"/>
      <c r="X387" s="471"/>
      <c r="Y387" s="471"/>
      <c r="Z387" s="305"/>
      <c r="AA387" s="305"/>
      <c r="AB387" s="305"/>
      <c r="AC387" s="305"/>
      <c r="AD387" s="305"/>
      <c r="AE387" s="131"/>
    </row>
    <row r="388" spans="8:31" ht="14.25">
      <c r="H388" s="129"/>
      <c r="I388" s="129"/>
      <c r="J388" s="129"/>
      <c r="K388" s="304"/>
      <c r="N388" s="487"/>
      <c r="O388" s="305"/>
      <c r="Q388" s="305"/>
      <c r="R388" s="305"/>
      <c r="S388" s="471"/>
      <c r="T388" s="471"/>
      <c r="U388" s="471"/>
      <c r="V388" s="471"/>
      <c r="W388" s="471"/>
      <c r="X388" s="471"/>
      <c r="Y388" s="471"/>
      <c r="Z388" s="305"/>
      <c r="AA388" s="305"/>
      <c r="AB388" s="305"/>
      <c r="AC388" s="305"/>
      <c r="AD388" s="305"/>
      <c r="AE388" s="131"/>
    </row>
    <row r="389" spans="8:31" ht="14.25">
      <c r="H389" s="129"/>
      <c r="I389" s="129"/>
      <c r="J389" s="129"/>
      <c r="K389" s="304"/>
      <c r="N389" s="487"/>
      <c r="O389" s="305"/>
      <c r="Q389" s="305"/>
      <c r="R389" s="305"/>
      <c r="S389" s="471"/>
      <c r="T389" s="471"/>
      <c r="U389" s="471"/>
      <c r="V389" s="471"/>
      <c r="W389" s="471"/>
      <c r="X389" s="471"/>
      <c r="Y389" s="471"/>
      <c r="Z389" s="305"/>
      <c r="AA389" s="305"/>
      <c r="AB389" s="305"/>
      <c r="AC389" s="305"/>
      <c r="AD389" s="305"/>
      <c r="AE389" s="131"/>
    </row>
    <row r="390" spans="8:31" ht="14.25">
      <c r="H390" s="129"/>
      <c r="I390" s="129"/>
      <c r="J390" s="129"/>
      <c r="K390" s="304"/>
      <c r="N390" s="487"/>
      <c r="O390" s="305"/>
      <c r="Q390" s="305"/>
      <c r="R390" s="305"/>
      <c r="S390" s="471"/>
      <c r="T390" s="471"/>
      <c r="U390" s="471"/>
      <c r="V390" s="471"/>
      <c r="W390" s="471"/>
      <c r="X390" s="471"/>
      <c r="Y390" s="471"/>
      <c r="Z390" s="305"/>
      <c r="AA390" s="305"/>
      <c r="AB390" s="305"/>
      <c r="AC390" s="305"/>
      <c r="AD390" s="305"/>
      <c r="AE390" s="131"/>
    </row>
    <row r="391" spans="8:31" ht="14.25">
      <c r="H391" s="129"/>
      <c r="I391" s="129"/>
      <c r="J391" s="129"/>
      <c r="K391" s="304"/>
      <c r="N391" s="487"/>
      <c r="O391" s="305"/>
      <c r="Q391" s="305"/>
      <c r="R391" s="305"/>
      <c r="S391" s="471"/>
      <c r="T391" s="471"/>
      <c r="U391" s="471"/>
      <c r="V391" s="471"/>
      <c r="W391" s="471"/>
      <c r="X391" s="471"/>
      <c r="Y391" s="471"/>
      <c r="Z391" s="305"/>
      <c r="AA391" s="305"/>
      <c r="AB391" s="305"/>
      <c r="AC391" s="305"/>
      <c r="AD391" s="305"/>
      <c r="AE391" s="131"/>
    </row>
    <row r="392" spans="8:31" ht="14.25">
      <c r="H392" s="129"/>
      <c r="I392" s="129"/>
      <c r="J392" s="129"/>
      <c r="K392" s="304"/>
      <c r="N392" s="487"/>
      <c r="O392" s="305"/>
      <c r="Q392" s="305"/>
      <c r="R392" s="305"/>
      <c r="S392" s="471"/>
      <c r="T392" s="471"/>
      <c r="U392" s="471"/>
      <c r="V392" s="471"/>
      <c r="W392" s="471"/>
      <c r="X392" s="471"/>
      <c r="Y392" s="471"/>
      <c r="Z392" s="305"/>
      <c r="AA392" s="305"/>
      <c r="AB392" s="305"/>
      <c r="AC392" s="305"/>
      <c r="AD392" s="305"/>
      <c r="AE392" s="131"/>
    </row>
    <row r="393" spans="8:31" ht="14.25">
      <c r="H393" s="129"/>
      <c r="I393" s="129"/>
      <c r="J393" s="129"/>
      <c r="K393" s="304"/>
      <c r="N393" s="487"/>
      <c r="O393" s="305"/>
      <c r="Q393" s="305"/>
      <c r="R393" s="305"/>
      <c r="S393" s="471"/>
      <c r="T393" s="471"/>
      <c r="U393" s="471"/>
      <c r="V393" s="471"/>
      <c r="W393" s="471"/>
      <c r="X393" s="471"/>
      <c r="Y393" s="471"/>
      <c r="Z393" s="305"/>
      <c r="AA393" s="305"/>
      <c r="AB393" s="305"/>
      <c r="AC393" s="305"/>
      <c r="AD393" s="305"/>
      <c r="AE393" s="131"/>
    </row>
    <row r="394" spans="8:31" ht="14.25">
      <c r="H394" s="129"/>
      <c r="I394" s="129"/>
      <c r="J394" s="129"/>
      <c r="K394" s="304"/>
      <c r="N394" s="487"/>
      <c r="O394" s="305"/>
      <c r="Q394" s="305"/>
      <c r="R394" s="305"/>
      <c r="S394" s="471"/>
      <c r="T394" s="471"/>
      <c r="U394" s="471"/>
      <c r="V394" s="471"/>
      <c r="W394" s="471"/>
      <c r="X394" s="471"/>
      <c r="Y394" s="471"/>
      <c r="Z394" s="305"/>
      <c r="AA394" s="305"/>
      <c r="AB394" s="305"/>
      <c r="AC394" s="305"/>
      <c r="AD394" s="305"/>
      <c r="AE394" s="131"/>
    </row>
    <row r="395" spans="8:31" ht="14.25">
      <c r="H395" s="129"/>
      <c r="I395" s="129"/>
      <c r="J395" s="129"/>
      <c r="K395" s="304"/>
      <c r="N395" s="487"/>
      <c r="O395" s="305"/>
      <c r="Q395" s="305"/>
      <c r="R395" s="305"/>
      <c r="S395" s="471"/>
      <c r="T395" s="471"/>
      <c r="U395" s="471"/>
      <c r="V395" s="471"/>
      <c r="W395" s="471"/>
      <c r="X395" s="471"/>
      <c r="Y395" s="471"/>
      <c r="Z395" s="305"/>
      <c r="AA395" s="305"/>
      <c r="AB395" s="305"/>
      <c r="AC395" s="305"/>
      <c r="AD395" s="305"/>
      <c r="AE395" s="131"/>
    </row>
    <row r="396" spans="8:31" ht="14.25">
      <c r="H396" s="129"/>
      <c r="I396" s="129"/>
      <c r="J396" s="129"/>
      <c r="K396" s="304"/>
      <c r="N396" s="487"/>
      <c r="O396" s="305"/>
      <c r="Q396" s="305"/>
      <c r="R396" s="305"/>
      <c r="S396" s="471"/>
      <c r="T396" s="471"/>
      <c r="U396" s="471"/>
      <c r="V396" s="471"/>
      <c r="W396" s="471"/>
      <c r="X396" s="471"/>
      <c r="Y396" s="471"/>
      <c r="Z396" s="305"/>
      <c r="AA396" s="305"/>
      <c r="AB396" s="305"/>
      <c r="AC396" s="305"/>
      <c r="AD396" s="305"/>
      <c r="AE396" s="131"/>
    </row>
    <row r="397" spans="8:31" ht="14.25">
      <c r="H397" s="129"/>
      <c r="I397" s="129"/>
      <c r="J397" s="129"/>
      <c r="K397" s="304"/>
      <c r="N397" s="487"/>
      <c r="O397" s="305"/>
      <c r="Q397" s="305"/>
      <c r="R397" s="305"/>
      <c r="S397" s="471"/>
      <c r="T397" s="471"/>
      <c r="U397" s="471"/>
      <c r="V397" s="471"/>
      <c r="W397" s="471"/>
      <c r="X397" s="471"/>
      <c r="Y397" s="471"/>
      <c r="Z397" s="305"/>
      <c r="AA397" s="305"/>
      <c r="AB397" s="305"/>
      <c r="AC397" s="305"/>
      <c r="AD397" s="305"/>
      <c r="AE397" s="131"/>
    </row>
    <row r="398" spans="8:31" ht="14.25">
      <c r="H398" s="129"/>
      <c r="I398" s="129"/>
      <c r="J398" s="129"/>
      <c r="K398" s="304"/>
      <c r="N398" s="487"/>
      <c r="O398" s="305"/>
      <c r="Q398" s="305"/>
      <c r="R398" s="305"/>
      <c r="S398" s="471"/>
      <c r="T398" s="471"/>
      <c r="U398" s="471"/>
      <c r="V398" s="471"/>
      <c r="W398" s="471"/>
      <c r="X398" s="471"/>
      <c r="Y398" s="471"/>
      <c r="Z398" s="305"/>
      <c r="AA398" s="305"/>
      <c r="AB398" s="305"/>
      <c r="AC398" s="305"/>
      <c r="AD398" s="305"/>
      <c r="AE398" s="131"/>
    </row>
    <row r="399" spans="8:31" ht="14.25">
      <c r="H399" s="129"/>
      <c r="I399" s="129"/>
      <c r="J399" s="129"/>
      <c r="K399" s="304"/>
      <c r="N399" s="487"/>
      <c r="O399" s="305"/>
      <c r="Q399" s="305"/>
      <c r="R399" s="305"/>
      <c r="S399" s="471"/>
      <c r="T399" s="471"/>
      <c r="U399" s="471"/>
      <c r="V399" s="471"/>
      <c r="W399" s="471"/>
      <c r="X399" s="471"/>
      <c r="Y399" s="471"/>
      <c r="Z399" s="305"/>
      <c r="AA399" s="305"/>
      <c r="AB399" s="305"/>
      <c r="AC399" s="305"/>
      <c r="AD399" s="305"/>
      <c r="AE399" s="131"/>
    </row>
    <row r="400" spans="8:31" ht="14.25">
      <c r="H400" s="129"/>
      <c r="I400" s="129"/>
      <c r="J400" s="129"/>
      <c r="K400" s="304"/>
      <c r="N400" s="487"/>
      <c r="O400" s="305"/>
      <c r="Q400" s="305"/>
      <c r="R400" s="305"/>
      <c r="S400" s="471"/>
      <c r="T400" s="471"/>
      <c r="U400" s="471"/>
      <c r="V400" s="471"/>
      <c r="W400" s="471"/>
      <c r="X400" s="471"/>
      <c r="Y400" s="471"/>
      <c r="Z400" s="305"/>
      <c r="AA400" s="305"/>
      <c r="AB400" s="305"/>
      <c r="AC400" s="305"/>
      <c r="AD400" s="305"/>
      <c r="AE400" s="131"/>
    </row>
    <row r="401" spans="8:31" ht="14.25">
      <c r="H401" s="129"/>
      <c r="I401" s="129"/>
      <c r="J401" s="129"/>
      <c r="K401" s="304"/>
      <c r="N401" s="487"/>
      <c r="O401" s="305"/>
      <c r="Q401" s="305"/>
      <c r="R401" s="305"/>
      <c r="S401" s="471"/>
      <c r="T401" s="471"/>
      <c r="U401" s="471"/>
      <c r="V401" s="471"/>
      <c r="W401" s="471"/>
      <c r="X401" s="471"/>
      <c r="Y401" s="471"/>
      <c r="Z401" s="305"/>
      <c r="AA401" s="305"/>
      <c r="AB401" s="305"/>
      <c r="AC401" s="305"/>
      <c r="AD401" s="305"/>
      <c r="AE401" s="131"/>
    </row>
    <row r="402" spans="8:31" ht="14.25">
      <c r="H402" s="129"/>
      <c r="I402" s="129"/>
      <c r="J402" s="129"/>
      <c r="K402" s="304"/>
      <c r="N402" s="487"/>
      <c r="O402" s="305"/>
      <c r="Q402" s="305"/>
      <c r="R402" s="305"/>
      <c r="S402" s="471"/>
      <c r="T402" s="471"/>
      <c r="U402" s="471"/>
      <c r="V402" s="471"/>
      <c r="W402" s="471"/>
      <c r="X402" s="471"/>
      <c r="Y402" s="471"/>
      <c r="Z402" s="305"/>
      <c r="AA402" s="305"/>
      <c r="AB402" s="305"/>
      <c r="AC402" s="305"/>
      <c r="AD402" s="305"/>
      <c r="AE402" s="131"/>
    </row>
    <row r="403" spans="8:31" ht="14.25">
      <c r="H403" s="129"/>
      <c r="I403" s="129"/>
      <c r="J403" s="129"/>
      <c r="K403" s="304"/>
      <c r="N403" s="487"/>
      <c r="O403" s="305"/>
      <c r="Q403" s="305"/>
      <c r="R403" s="305"/>
      <c r="S403" s="471"/>
      <c r="T403" s="471"/>
      <c r="U403" s="471"/>
      <c r="V403" s="471"/>
      <c r="W403" s="471"/>
      <c r="X403" s="471"/>
      <c r="Y403" s="471"/>
      <c r="Z403" s="305"/>
      <c r="AA403" s="305"/>
      <c r="AB403" s="305"/>
      <c r="AC403" s="305"/>
      <c r="AD403" s="305"/>
      <c r="AE403" s="131"/>
    </row>
    <row r="404" spans="8:31" ht="14.25">
      <c r="H404" s="129"/>
      <c r="I404" s="129"/>
      <c r="J404" s="129"/>
      <c r="K404" s="304"/>
      <c r="N404" s="487"/>
      <c r="O404" s="305"/>
      <c r="Q404" s="305"/>
      <c r="R404" s="305"/>
      <c r="S404" s="471"/>
      <c r="T404" s="471"/>
      <c r="U404" s="471"/>
      <c r="V404" s="471"/>
      <c r="W404" s="471"/>
      <c r="X404" s="471"/>
      <c r="Y404" s="471"/>
      <c r="Z404" s="305"/>
      <c r="AA404" s="305"/>
      <c r="AB404" s="305"/>
      <c r="AC404" s="305"/>
      <c r="AD404" s="305"/>
      <c r="AE404" s="131"/>
    </row>
    <row r="405" spans="8:31" ht="14.25">
      <c r="H405" s="129"/>
      <c r="I405" s="129"/>
      <c r="J405" s="129"/>
      <c r="K405" s="304"/>
      <c r="N405" s="487"/>
      <c r="O405" s="305"/>
      <c r="Q405" s="305"/>
      <c r="R405" s="305"/>
      <c r="S405" s="471"/>
      <c r="T405" s="471"/>
      <c r="U405" s="471"/>
      <c r="V405" s="471"/>
      <c r="W405" s="471"/>
      <c r="X405" s="471"/>
      <c r="Y405" s="471"/>
      <c r="Z405" s="305"/>
      <c r="AA405" s="305"/>
      <c r="AB405" s="305"/>
      <c r="AC405" s="305"/>
      <c r="AD405" s="305"/>
      <c r="AE405" s="131"/>
    </row>
    <row r="406" spans="8:31" ht="14.25">
      <c r="H406" s="129"/>
      <c r="I406" s="129"/>
      <c r="J406" s="129"/>
      <c r="K406" s="304"/>
      <c r="N406" s="487"/>
      <c r="O406" s="305"/>
      <c r="Q406" s="305"/>
      <c r="R406" s="305"/>
      <c r="S406" s="471"/>
      <c r="T406" s="471"/>
      <c r="U406" s="471"/>
      <c r="V406" s="471"/>
      <c r="W406" s="471"/>
      <c r="X406" s="471"/>
      <c r="Y406" s="471"/>
      <c r="Z406" s="305"/>
      <c r="AA406" s="305"/>
      <c r="AB406" s="305"/>
      <c r="AC406" s="305"/>
      <c r="AD406" s="305"/>
      <c r="AE406" s="131"/>
    </row>
    <row r="407" spans="8:31" ht="14.25">
      <c r="H407" s="129"/>
      <c r="I407" s="129"/>
      <c r="J407" s="129"/>
      <c r="K407" s="304"/>
      <c r="N407" s="487"/>
      <c r="O407" s="305"/>
      <c r="Q407" s="305"/>
      <c r="R407" s="305"/>
      <c r="S407" s="471"/>
      <c r="T407" s="471"/>
      <c r="U407" s="471"/>
      <c r="V407" s="471"/>
      <c r="W407" s="471"/>
      <c r="X407" s="471"/>
      <c r="Y407" s="471"/>
      <c r="Z407" s="305"/>
      <c r="AA407" s="305"/>
      <c r="AB407" s="305"/>
      <c r="AC407" s="305"/>
      <c r="AD407" s="305"/>
      <c r="AE407" s="131"/>
    </row>
    <row r="408" spans="8:31" ht="14.25">
      <c r="H408" s="129"/>
      <c r="I408" s="129"/>
      <c r="J408" s="129"/>
      <c r="K408" s="304"/>
      <c r="N408" s="487"/>
      <c r="O408" s="305"/>
      <c r="Q408" s="305"/>
      <c r="R408" s="305"/>
      <c r="S408" s="471"/>
      <c r="T408" s="471"/>
      <c r="U408" s="471"/>
      <c r="V408" s="471"/>
      <c r="W408" s="471"/>
      <c r="X408" s="471"/>
      <c r="Y408" s="471"/>
      <c r="Z408" s="305"/>
      <c r="AA408" s="305"/>
      <c r="AB408" s="305"/>
      <c r="AC408" s="305"/>
      <c r="AD408" s="305"/>
      <c r="AE408" s="131"/>
    </row>
    <row r="409" spans="8:31" ht="14.25">
      <c r="H409" s="129"/>
      <c r="I409" s="129"/>
      <c r="J409" s="129"/>
      <c r="K409" s="304"/>
      <c r="N409" s="487"/>
      <c r="O409" s="305"/>
      <c r="Q409" s="305"/>
      <c r="R409" s="305"/>
      <c r="S409" s="471"/>
      <c r="T409" s="471"/>
      <c r="U409" s="471"/>
      <c r="V409" s="471"/>
      <c r="W409" s="471"/>
      <c r="X409" s="471"/>
      <c r="Y409" s="471"/>
      <c r="Z409" s="305"/>
      <c r="AA409" s="305"/>
      <c r="AB409" s="305"/>
      <c r="AC409" s="305"/>
      <c r="AD409" s="305"/>
      <c r="AE409" s="131"/>
    </row>
    <row r="410" spans="8:31" ht="14.25">
      <c r="H410" s="129"/>
      <c r="I410" s="129"/>
      <c r="J410" s="129"/>
      <c r="K410" s="304"/>
      <c r="N410" s="487"/>
      <c r="O410" s="305"/>
      <c r="Q410" s="305"/>
      <c r="R410" s="305"/>
      <c r="S410" s="471"/>
      <c r="T410" s="471"/>
      <c r="U410" s="471"/>
      <c r="V410" s="471"/>
      <c r="W410" s="471"/>
      <c r="X410" s="471"/>
      <c r="Y410" s="471"/>
      <c r="Z410" s="305"/>
      <c r="AA410" s="305"/>
      <c r="AB410" s="305"/>
      <c r="AC410" s="305"/>
      <c r="AD410" s="305"/>
      <c r="AE410" s="131"/>
    </row>
    <row r="411" spans="8:31" ht="14.25">
      <c r="H411" s="129"/>
      <c r="I411" s="129"/>
      <c r="J411" s="129"/>
      <c r="K411" s="304"/>
      <c r="N411" s="487"/>
      <c r="O411" s="305"/>
      <c r="Q411" s="305"/>
      <c r="R411" s="305"/>
      <c r="S411" s="471"/>
      <c r="T411" s="471"/>
      <c r="U411" s="471"/>
      <c r="V411" s="471"/>
      <c r="W411" s="471"/>
      <c r="X411" s="471"/>
      <c r="Y411" s="471"/>
      <c r="Z411" s="305"/>
      <c r="AA411" s="305"/>
      <c r="AB411" s="305"/>
      <c r="AC411" s="305"/>
      <c r="AD411" s="305"/>
      <c r="AE411" s="131"/>
    </row>
    <row r="412" spans="8:31" ht="14.25">
      <c r="H412" s="129"/>
      <c r="I412" s="129"/>
      <c r="J412" s="129"/>
      <c r="K412" s="304"/>
      <c r="N412" s="487"/>
      <c r="O412" s="305"/>
      <c r="Q412" s="305"/>
      <c r="R412" s="305"/>
      <c r="S412" s="471"/>
      <c r="T412" s="471"/>
      <c r="U412" s="471"/>
      <c r="V412" s="471"/>
      <c r="W412" s="471"/>
      <c r="X412" s="471"/>
      <c r="Y412" s="471"/>
      <c r="Z412" s="305"/>
      <c r="AA412" s="305"/>
      <c r="AB412" s="305"/>
      <c r="AC412" s="305"/>
      <c r="AD412" s="305"/>
      <c r="AE412" s="131"/>
    </row>
    <row r="413" spans="8:31" ht="14.25">
      <c r="H413" s="129"/>
      <c r="I413" s="129"/>
      <c r="J413" s="129"/>
      <c r="K413" s="304"/>
      <c r="N413" s="487"/>
      <c r="O413" s="305"/>
      <c r="Q413" s="305"/>
      <c r="R413" s="305"/>
      <c r="S413" s="471"/>
      <c r="T413" s="471"/>
      <c r="U413" s="471"/>
      <c r="V413" s="471"/>
      <c r="W413" s="471"/>
      <c r="X413" s="471"/>
      <c r="Y413" s="471"/>
      <c r="Z413" s="305"/>
      <c r="AA413" s="305"/>
      <c r="AB413" s="305"/>
      <c r="AC413" s="305"/>
      <c r="AD413" s="305"/>
      <c r="AE413" s="131"/>
    </row>
    <row r="414" spans="8:31" ht="14.25">
      <c r="H414" s="129"/>
      <c r="I414" s="129"/>
      <c r="J414" s="129"/>
      <c r="K414" s="304"/>
      <c r="N414" s="487"/>
      <c r="O414" s="305"/>
      <c r="Q414" s="305"/>
      <c r="R414" s="305"/>
      <c r="S414" s="471"/>
      <c r="T414" s="471"/>
      <c r="U414" s="471"/>
      <c r="V414" s="471"/>
      <c r="W414" s="471"/>
      <c r="X414" s="471"/>
      <c r="Y414" s="471"/>
      <c r="Z414" s="305"/>
      <c r="AA414" s="305"/>
      <c r="AB414" s="305"/>
      <c r="AC414" s="305"/>
      <c r="AD414" s="305"/>
      <c r="AE414" s="131"/>
    </row>
    <row r="415" spans="8:31" ht="14.25">
      <c r="H415" s="129"/>
      <c r="I415" s="129"/>
      <c r="J415" s="129"/>
      <c r="K415" s="304"/>
      <c r="N415" s="487"/>
      <c r="O415" s="305"/>
      <c r="Q415" s="305"/>
      <c r="R415" s="305"/>
      <c r="S415" s="471"/>
      <c r="T415" s="471"/>
      <c r="U415" s="471"/>
      <c r="V415" s="471"/>
      <c r="W415" s="471"/>
      <c r="X415" s="471"/>
      <c r="Y415" s="471"/>
      <c r="Z415" s="305"/>
      <c r="AA415" s="305"/>
      <c r="AB415" s="305"/>
      <c r="AC415" s="305"/>
      <c r="AD415" s="305"/>
      <c r="AE415" s="131"/>
    </row>
    <row r="416" spans="8:31" ht="14.25">
      <c r="H416" s="129"/>
      <c r="I416" s="129"/>
      <c r="J416" s="129"/>
      <c r="K416" s="304"/>
      <c r="N416" s="487"/>
      <c r="O416" s="305"/>
      <c r="Q416" s="305"/>
      <c r="R416" s="305"/>
      <c r="S416" s="471"/>
      <c r="T416" s="471"/>
      <c r="U416" s="471"/>
      <c r="V416" s="471"/>
      <c r="W416" s="471"/>
      <c r="X416" s="471"/>
      <c r="Y416" s="471"/>
      <c r="Z416" s="305"/>
      <c r="AA416" s="305"/>
      <c r="AB416" s="305"/>
      <c r="AC416" s="305"/>
      <c r="AD416" s="305"/>
      <c r="AE416" s="131"/>
    </row>
    <row r="417" spans="8:31" ht="14.25">
      <c r="H417" s="129"/>
      <c r="I417" s="129"/>
      <c r="J417" s="129"/>
      <c r="K417" s="304"/>
      <c r="N417" s="487"/>
      <c r="O417" s="305"/>
      <c r="Q417" s="305"/>
      <c r="R417" s="305"/>
      <c r="S417" s="471"/>
      <c r="T417" s="471"/>
      <c r="U417" s="471"/>
      <c r="V417" s="471"/>
      <c r="W417" s="471"/>
      <c r="X417" s="471"/>
      <c r="Y417" s="471"/>
      <c r="Z417" s="305"/>
      <c r="AA417" s="305"/>
      <c r="AB417" s="305"/>
      <c r="AC417" s="305"/>
      <c r="AD417" s="305"/>
      <c r="AE417" s="131"/>
    </row>
    <row r="418" spans="8:31" ht="14.25">
      <c r="H418" s="129"/>
      <c r="I418" s="129"/>
      <c r="J418" s="129"/>
      <c r="K418" s="304"/>
      <c r="N418" s="487"/>
      <c r="O418" s="305"/>
      <c r="Q418" s="305"/>
      <c r="R418" s="305"/>
      <c r="S418" s="471"/>
      <c r="T418" s="471"/>
      <c r="U418" s="471"/>
      <c r="V418" s="471"/>
      <c r="W418" s="471"/>
      <c r="X418" s="471"/>
      <c r="Y418" s="471"/>
      <c r="Z418" s="305"/>
      <c r="AA418" s="305"/>
      <c r="AB418" s="305"/>
      <c r="AC418" s="305"/>
      <c r="AD418" s="305"/>
      <c r="AE418" s="131"/>
    </row>
    <row r="419" spans="8:31" ht="14.25">
      <c r="H419" s="129"/>
      <c r="I419" s="129"/>
      <c r="J419" s="129"/>
      <c r="K419" s="304"/>
      <c r="N419" s="487"/>
      <c r="O419" s="305"/>
      <c r="Q419" s="305"/>
      <c r="R419" s="305"/>
      <c r="S419" s="471"/>
      <c r="T419" s="471"/>
      <c r="U419" s="471"/>
      <c r="V419" s="471"/>
      <c r="W419" s="471"/>
      <c r="X419" s="471"/>
      <c r="Y419" s="471"/>
      <c r="Z419" s="305"/>
      <c r="AA419" s="305"/>
      <c r="AB419" s="305"/>
      <c r="AC419" s="305"/>
      <c r="AD419" s="305"/>
      <c r="AE419" s="131"/>
    </row>
    <row r="420" spans="8:31" ht="14.25">
      <c r="H420" s="129"/>
      <c r="I420" s="129"/>
      <c r="J420" s="129"/>
      <c r="K420" s="304"/>
      <c r="N420" s="487"/>
      <c r="O420" s="305"/>
      <c r="Q420" s="305"/>
      <c r="R420" s="305"/>
      <c r="S420" s="471"/>
      <c r="T420" s="471"/>
      <c r="U420" s="471"/>
      <c r="V420" s="471"/>
      <c r="W420" s="471"/>
      <c r="X420" s="471"/>
      <c r="Y420" s="471"/>
      <c r="Z420" s="305"/>
      <c r="AA420" s="305"/>
      <c r="AB420" s="305"/>
      <c r="AC420" s="305"/>
      <c r="AD420" s="305"/>
      <c r="AE420" s="131"/>
    </row>
    <row r="421" spans="8:31" ht="14.25">
      <c r="H421" s="129"/>
      <c r="I421" s="129"/>
      <c r="J421" s="129"/>
      <c r="K421" s="304"/>
      <c r="N421" s="487"/>
      <c r="O421" s="305"/>
      <c r="Q421" s="305"/>
      <c r="R421" s="305"/>
      <c r="S421" s="471"/>
      <c r="T421" s="471"/>
      <c r="U421" s="471"/>
      <c r="V421" s="471"/>
      <c r="W421" s="471"/>
      <c r="X421" s="471"/>
      <c r="Y421" s="471"/>
      <c r="Z421" s="305"/>
      <c r="AA421" s="305"/>
      <c r="AB421" s="305"/>
      <c r="AC421" s="305"/>
      <c r="AD421" s="305"/>
      <c r="AE421" s="131"/>
    </row>
    <row r="422" spans="8:31" ht="14.25">
      <c r="H422" s="129"/>
      <c r="I422" s="129"/>
      <c r="J422" s="129"/>
      <c r="K422" s="304"/>
      <c r="N422" s="487"/>
      <c r="O422" s="305"/>
      <c r="Q422" s="305"/>
      <c r="R422" s="305"/>
      <c r="S422" s="471"/>
      <c r="T422" s="471"/>
      <c r="U422" s="471"/>
      <c r="V422" s="471"/>
      <c r="W422" s="471"/>
      <c r="X422" s="471"/>
      <c r="Y422" s="471"/>
      <c r="Z422" s="305"/>
      <c r="AA422" s="305"/>
      <c r="AB422" s="305"/>
      <c r="AC422" s="305"/>
      <c r="AD422" s="305"/>
      <c r="AE422" s="131"/>
    </row>
    <row r="423" spans="8:31" ht="14.25">
      <c r="H423" s="129"/>
      <c r="I423" s="129"/>
      <c r="J423" s="129"/>
      <c r="K423" s="304"/>
      <c r="N423" s="487"/>
      <c r="O423" s="305"/>
      <c r="Q423" s="305"/>
      <c r="R423" s="305"/>
      <c r="S423" s="471"/>
      <c r="T423" s="471"/>
      <c r="U423" s="471"/>
      <c r="V423" s="471"/>
      <c r="W423" s="471"/>
      <c r="X423" s="471"/>
      <c r="Y423" s="471"/>
      <c r="Z423" s="305"/>
      <c r="AA423" s="305"/>
      <c r="AB423" s="305"/>
      <c r="AC423" s="305"/>
      <c r="AD423" s="305"/>
      <c r="AE423" s="131"/>
    </row>
    <row r="424" spans="8:31" ht="14.25">
      <c r="H424" s="129"/>
      <c r="I424" s="129"/>
      <c r="J424" s="129"/>
      <c r="K424" s="304"/>
      <c r="N424" s="487"/>
      <c r="O424" s="305"/>
      <c r="Q424" s="305"/>
      <c r="R424" s="305"/>
      <c r="S424" s="471"/>
      <c r="T424" s="471"/>
      <c r="U424" s="471"/>
      <c r="V424" s="471"/>
      <c r="W424" s="471"/>
      <c r="X424" s="471"/>
      <c r="Y424" s="471"/>
      <c r="Z424" s="305"/>
      <c r="AA424" s="305"/>
      <c r="AB424" s="305"/>
      <c r="AC424" s="305"/>
      <c r="AD424" s="305"/>
      <c r="AE424" s="131"/>
    </row>
    <row r="425" spans="8:31" ht="14.25">
      <c r="H425" s="129"/>
      <c r="I425" s="129"/>
      <c r="J425" s="129"/>
      <c r="K425" s="304"/>
      <c r="N425" s="487"/>
      <c r="O425" s="305"/>
      <c r="Q425" s="305"/>
      <c r="R425" s="305"/>
      <c r="S425" s="471"/>
      <c r="T425" s="471"/>
      <c r="U425" s="471"/>
      <c r="V425" s="471"/>
      <c r="W425" s="471"/>
      <c r="X425" s="471"/>
      <c r="Y425" s="471"/>
      <c r="Z425" s="305"/>
      <c r="AA425" s="305"/>
      <c r="AB425" s="305"/>
      <c r="AC425" s="305"/>
      <c r="AD425" s="305"/>
      <c r="AE425" s="131"/>
    </row>
    <row r="426" spans="8:31" ht="14.25">
      <c r="H426" s="129"/>
      <c r="I426" s="129"/>
      <c r="J426" s="129"/>
      <c r="K426" s="304"/>
      <c r="N426" s="487"/>
      <c r="O426" s="305"/>
      <c r="Q426" s="305"/>
      <c r="R426" s="305"/>
      <c r="S426" s="471"/>
      <c r="T426" s="471"/>
      <c r="U426" s="471"/>
      <c r="V426" s="471"/>
      <c r="W426" s="471"/>
      <c r="X426" s="471"/>
      <c r="Y426" s="471"/>
      <c r="Z426" s="305"/>
      <c r="AA426" s="305"/>
      <c r="AB426" s="305"/>
      <c r="AC426" s="305"/>
      <c r="AD426" s="305"/>
      <c r="AE426" s="131"/>
    </row>
    <row r="427" spans="8:31" ht="14.25">
      <c r="H427" s="129"/>
      <c r="I427" s="129"/>
      <c r="J427" s="129"/>
      <c r="K427" s="304"/>
      <c r="N427" s="487"/>
      <c r="O427" s="305"/>
      <c r="Q427" s="305"/>
      <c r="R427" s="305"/>
      <c r="S427" s="471"/>
      <c r="T427" s="471"/>
      <c r="U427" s="471"/>
      <c r="V427" s="471"/>
      <c r="W427" s="471"/>
      <c r="X427" s="471"/>
      <c r="Y427" s="471"/>
      <c r="Z427" s="305"/>
      <c r="AA427" s="305"/>
      <c r="AB427" s="305"/>
      <c r="AC427" s="305"/>
      <c r="AD427" s="305"/>
      <c r="AE427" s="131"/>
    </row>
    <row r="428" spans="8:31" ht="14.25">
      <c r="H428" s="129"/>
      <c r="I428" s="129"/>
      <c r="J428" s="129"/>
      <c r="K428" s="304"/>
      <c r="N428" s="487"/>
      <c r="O428" s="305"/>
      <c r="Q428" s="305"/>
      <c r="R428" s="305"/>
      <c r="S428" s="471"/>
      <c r="T428" s="471"/>
      <c r="U428" s="471"/>
      <c r="V428" s="471"/>
      <c r="W428" s="471"/>
      <c r="X428" s="471"/>
      <c r="Y428" s="471"/>
      <c r="Z428" s="305"/>
      <c r="AA428" s="305"/>
      <c r="AB428" s="305"/>
      <c r="AC428" s="305"/>
      <c r="AD428" s="305"/>
      <c r="AE428" s="131"/>
    </row>
    <row r="429" spans="8:31" ht="14.25">
      <c r="H429" s="129"/>
      <c r="I429" s="129"/>
      <c r="J429" s="129"/>
      <c r="K429" s="304"/>
      <c r="N429" s="487"/>
      <c r="O429" s="305"/>
      <c r="Q429" s="305"/>
      <c r="R429" s="305"/>
      <c r="S429" s="471"/>
      <c r="T429" s="471"/>
      <c r="U429" s="471"/>
      <c r="V429" s="471"/>
      <c r="W429" s="471"/>
      <c r="X429" s="471"/>
      <c r="Y429" s="471"/>
      <c r="Z429" s="305"/>
      <c r="AA429" s="305"/>
      <c r="AB429" s="305"/>
      <c r="AC429" s="305"/>
      <c r="AD429" s="305"/>
      <c r="AE429" s="131"/>
    </row>
    <row r="430" spans="8:31" ht="14.25">
      <c r="H430" s="129"/>
      <c r="I430" s="129"/>
      <c r="J430" s="129"/>
      <c r="K430" s="304"/>
      <c r="N430" s="487"/>
      <c r="O430" s="305"/>
      <c r="Q430" s="305"/>
      <c r="R430" s="305"/>
      <c r="S430" s="471"/>
      <c r="T430" s="471"/>
      <c r="U430" s="471"/>
      <c r="V430" s="471"/>
      <c r="W430" s="471"/>
      <c r="X430" s="471"/>
      <c r="Y430" s="471"/>
      <c r="Z430" s="305"/>
      <c r="AA430" s="305"/>
      <c r="AB430" s="305"/>
      <c r="AC430" s="305"/>
      <c r="AD430" s="305"/>
      <c r="AE430" s="131"/>
    </row>
    <row r="431" spans="8:31" ht="14.25">
      <c r="H431" s="129"/>
      <c r="I431" s="129"/>
      <c r="J431" s="129"/>
      <c r="K431" s="304"/>
      <c r="N431" s="487"/>
      <c r="O431" s="305"/>
      <c r="Q431" s="305"/>
      <c r="R431" s="305"/>
      <c r="S431" s="471"/>
      <c r="T431" s="471"/>
      <c r="U431" s="471"/>
      <c r="V431" s="471"/>
      <c r="W431" s="471"/>
      <c r="X431" s="471"/>
      <c r="Y431" s="471"/>
      <c r="Z431" s="305"/>
      <c r="AA431" s="305"/>
      <c r="AB431" s="305"/>
      <c r="AC431" s="305"/>
      <c r="AD431" s="305"/>
      <c r="AE431" s="131"/>
    </row>
    <row r="432" spans="8:31" ht="14.25">
      <c r="H432" s="129"/>
      <c r="I432" s="129"/>
      <c r="J432" s="129"/>
      <c r="K432" s="304"/>
      <c r="N432" s="487"/>
      <c r="O432" s="305"/>
      <c r="Q432" s="305"/>
      <c r="R432" s="305"/>
      <c r="S432" s="471"/>
      <c r="T432" s="471"/>
      <c r="U432" s="471"/>
      <c r="V432" s="471"/>
      <c r="W432" s="471"/>
      <c r="X432" s="471"/>
      <c r="Y432" s="471"/>
      <c r="Z432" s="305"/>
      <c r="AA432" s="305"/>
      <c r="AB432" s="305"/>
      <c r="AC432" s="305"/>
      <c r="AD432" s="305"/>
      <c r="AE432" s="131"/>
    </row>
    <row r="433" spans="8:31" ht="14.25">
      <c r="H433" s="129"/>
      <c r="I433" s="129"/>
      <c r="J433" s="129"/>
      <c r="K433" s="304"/>
      <c r="N433" s="487"/>
      <c r="O433" s="305"/>
      <c r="Q433" s="305"/>
      <c r="R433" s="305"/>
      <c r="S433" s="471"/>
      <c r="T433" s="471"/>
      <c r="U433" s="471"/>
      <c r="V433" s="471"/>
      <c r="W433" s="471"/>
      <c r="X433" s="471"/>
      <c r="Y433" s="471"/>
      <c r="Z433" s="305"/>
      <c r="AA433" s="305"/>
      <c r="AB433" s="305"/>
      <c r="AC433" s="305"/>
      <c r="AD433" s="305"/>
      <c r="AE433" s="131"/>
    </row>
    <row r="434" spans="8:31" ht="14.25">
      <c r="H434" s="129"/>
      <c r="I434" s="129"/>
      <c r="J434" s="129"/>
      <c r="K434" s="304"/>
      <c r="N434" s="487"/>
      <c r="O434" s="305"/>
      <c r="Q434" s="305"/>
      <c r="R434" s="305"/>
      <c r="S434" s="471"/>
      <c r="T434" s="471"/>
      <c r="U434" s="471"/>
      <c r="V434" s="471"/>
      <c r="W434" s="471"/>
      <c r="X434" s="471"/>
      <c r="Y434" s="471"/>
      <c r="Z434" s="305"/>
      <c r="AA434" s="305"/>
      <c r="AB434" s="305"/>
      <c r="AC434" s="305"/>
      <c r="AD434" s="305"/>
      <c r="AE434" s="131"/>
    </row>
    <row r="435" spans="8:31" ht="14.25">
      <c r="H435" s="129"/>
      <c r="I435" s="129"/>
      <c r="J435" s="129"/>
      <c r="K435" s="304"/>
      <c r="N435" s="487"/>
      <c r="O435" s="305"/>
      <c r="Q435" s="305"/>
      <c r="R435" s="305"/>
      <c r="S435" s="471"/>
      <c r="T435" s="471"/>
      <c r="U435" s="471"/>
      <c r="V435" s="471"/>
      <c r="W435" s="471"/>
      <c r="X435" s="471"/>
      <c r="Y435" s="471"/>
      <c r="Z435" s="305"/>
      <c r="AA435" s="305"/>
      <c r="AB435" s="305"/>
      <c r="AC435" s="305"/>
      <c r="AD435" s="305"/>
      <c r="AE435" s="131"/>
    </row>
    <row r="436" spans="8:31" ht="14.25">
      <c r="H436" s="129"/>
      <c r="I436" s="129"/>
      <c r="J436" s="129"/>
      <c r="K436" s="304"/>
      <c r="N436" s="487"/>
      <c r="O436" s="305"/>
      <c r="Q436" s="305"/>
      <c r="R436" s="305"/>
      <c r="S436" s="471"/>
      <c r="T436" s="471"/>
      <c r="U436" s="471"/>
      <c r="V436" s="471"/>
      <c r="W436" s="471"/>
      <c r="X436" s="471"/>
      <c r="Y436" s="471"/>
      <c r="Z436" s="305"/>
      <c r="AA436" s="305"/>
      <c r="AB436" s="305"/>
      <c r="AC436" s="305"/>
      <c r="AD436" s="305"/>
      <c r="AE436" s="131"/>
    </row>
    <row r="437" spans="8:31" ht="14.25">
      <c r="H437" s="129"/>
      <c r="I437" s="129"/>
      <c r="J437" s="129"/>
      <c r="K437" s="304"/>
      <c r="N437" s="487"/>
      <c r="O437" s="305"/>
      <c r="Q437" s="305"/>
      <c r="R437" s="305"/>
      <c r="S437" s="471"/>
      <c r="T437" s="471"/>
      <c r="U437" s="471"/>
      <c r="V437" s="471"/>
      <c r="W437" s="471"/>
      <c r="X437" s="471"/>
      <c r="Y437" s="471"/>
      <c r="Z437" s="305"/>
      <c r="AA437" s="305"/>
      <c r="AB437" s="305"/>
      <c r="AC437" s="305"/>
      <c r="AD437" s="305"/>
      <c r="AE437" s="131"/>
    </row>
    <row r="438" spans="8:31" ht="14.25">
      <c r="H438" s="129"/>
      <c r="I438" s="129"/>
      <c r="J438" s="129"/>
      <c r="K438" s="304"/>
      <c r="N438" s="487"/>
      <c r="O438" s="305"/>
      <c r="Q438" s="305"/>
      <c r="R438" s="305"/>
      <c r="S438" s="471"/>
      <c r="T438" s="471"/>
      <c r="U438" s="471"/>
      <c r="V438" s="471"/>
      <c r="W438" s="471"/>
      <c r="X438" s="471"/>
      <c r="Y438" s="471"/>
      <c r="Z438" s="305"/>
      <c r="AA438" s="305"/>
      <c r="AB438" s="305"/>
      <c r="AC438" s="305"/>
      <c r="AD438" s="305"/>
      <c r="AE438" s="131"/>
    </row>
    <row r="439" spans="8:31" ht="14.25">
      <c r="H439" s="129"/>
      <c r="I439" s="129"/>
      <c r="J439" s="129"/>
      <c r="K439" s="304"/>
      <c r="N439" s="487"/>
      <c r="O439" s="305"/>
      <c r="Q439" s="305"/>
      <c r="R439" s="305"/>
      <c r="S439" s="471"/>
      <c r="T439" s="471"/>
      <c r="U439" s="471"/>
      <c r="V439" s="471"/>
      <c r="W439" s="471"/>
      <c r="X439" s="471"/>
      <c r="Y439" s="471"/>
      <c r="Z439" s="305"/>
      <c r="AA439" s="305"/>
      <c r="AB439" s="305"/>
      <c r="AC439" s="305"/>
      <c r="AD439" s="305"/>
      <c r="AE439" s="131"/>
    </row>
    <row r="440" spans="8:31" ht="14.25">
      <c r="H440" s="129"/>
      <c r="I440" s="129"/>
      <c r="J440" s="129"/>
      <c r="K440" s="304"/>
      <c r="N440" s="487"/>
      <c r="O440" s="305"/>
      <c r="Q440" s="305"/>
      <c r="R440" s="305"/>
      <c r="S440" s="471"/>
      <c r="T440" s="471"/>
      <c r="U440" s="471"/>
      <c r="V440" s="471"/>
      <c r="W440" s="471"/>
      <c r="X440" s="471"/>
      <c r="Y440" s="471"/>
      <c r="Z440" s="305"/>
      <c r="AA440" s="305"/>
      <c r="AB440" s="305"/>
      <c r="AC440" s="305"/>
      <c r="AD440" s="305"/>
      <c r="AE440" s="131"/>
    </row>
    <row r="441" spans="8:31" ht="14.25">
      <c r="H441" s="129"/>
      <c r="I441" s="129"/>
      <c r="J441" s="129"/>
      <c r="K441" s="304"/>
      <c r="N441" s="487"/>
      <c r="O441" s="305"/>
      <c r="Q441" s="305"/>
      <c r="R441" s="305"/>
      <c r="S441" s="471"/>
      <c r="T441" s="471"/>
      <c r="U441" s="471"/>
      <c r="V441" s="471"/>
      <c r="W441" s="471"/>
      <c r="X441" s="471"/>
      <c r="Y441" s="471"/>
      <c r="Z441" s="305"/>
      <c r="AA441" s="305"/>
      <c r="AB441" s="305"/>
      <c r="AC441" s="305"/>
      <c r="AD441" s="305"/>
      <c r="AE441" s="131"/>
    </row>
    <row r="442" spans="8:31" ht="14.25">
      <c r="H442" s="129"/>
      <c r="I442" s="129"/>
      <c r="J442" s="129"/>
      <c r="K442" s="304"/>
      <c r="N442" s="487"/>
      <c r="O442" s="305"/>
      <c r="Q442" s="305"/>
      <c r="R442" s="305"/>
      <c r="S442" s="471"/>
      <c r="T442" s="471"/>
      <c r="U442" s="471"/>
      <c r="V442" s="471"/>
      <c r="W442" s="471"/>
      <c r="X442" s="471"/>
      <c r="Y442" s="471"/>
      <c r="Z442" s="305"/>
      <c r="AA442" s="305"/>
      <c r="AB442" s="305"/>
      <c r="AC442" s="305"/>
      <c r="AD442" s="305"/>
      <c r="AE442" s="131"/>
    </row>
    <row r="443" spans="8:31" ht="14.25">
      <c r="H443" s="129"/>
      <c r="I443" s="129"/>
      <c r="J443" s="129"/>
      <c r="K443" s="304"/>
      <c r="N443" s="487"/>
      <c r="O443" s="305"/>
      <c r="Q443" s="305"/>
      <c r="R443" s="305"/>
      <c r="S443" s="471"/>
      <c r="T443" s="471"/>
      <c r="U443" s="471"/>
      <c r="V443" s="471"/>
      <c r="W443" s="471"/>
      <c r="X443" s="471"/>
      <c r="Y443" s="471"/>
      <c r="Z443" s="305"/>
      <c r="AA443" s="305"/>
      <c r="AB443" s="305"/>
      <c r="AC443" s="305"/>
      <c r="AD443" s="305"/>
      <c r="AE443" s="131"/>
    </row>
    <row r="444" spans="8:31" ht="14.25">
      <c r="H444" s="129"/>
      <c r="I444" s="129"/>
      <c r="J444" s="129"/>
      <c r="K444" s="304"/>
      <c r="N444" s="487"/>
      <c r="O444" s="305"/>
      <c r="Q444" s="305"/>
      <c r="R444" s="305"/>
      <c r="S444" s="471"/>
      <c r="T444" s="471"/>
      <c r="U444" s="471"/>
      <c r="V444" s="471"/>
      <c r="W444" s="471"/>
      <c r="X444" s="471"/>
      <c r="Y444" s="471"/>
      <c r="Z444" s="305"/>
      <c r="AA444" s="305"/>
      <c r="AB444" s="305"/>
      <c r="AC444" s="305"/>
      <c r="AD444" s="305"/>
      <c r="AE444" s="131"/>
    </row>
    <row r="445" spans="8:31" ht="14.25">
      <c r="H445" s="129"/>
      <c r="I445" s="129"/>
      <c r="J445" s="129"/>
      <c r="K445" s="304"/>
      <c r="N445" s="487"/>
      <c r="O445" s="305"/>
      <c r="Q445" s="305"/>
      <c r="R445" s="305"/>
      <c r="S445" s="471"/>
      <c r="T445" s="471"/>
      <c r="U445" s="471"/>
      <c r="V445" s="471"/>
      <c r="W445" s="471"/>
      <c r="X445" s="471"/>
      <c r="Y445" s="471"/>
      <c r="Z445" s="305"/>
      <c r="AA445" s="305"/>
      <c r="AB445" s="305"/>
      <c r="AC445" s="305"/>
      <c r="AD445" s="305"/>
      <c r="AE445" s="131"/>
    </row>
    <row r="446" spans="8:31" ht="14.25">
      <c r="H446" s="129"/>
      <c r="I446" s="129"/>
      <c r="J446" s="129"/>
      <c r="K446" s="304"/>
      <c r="N446" s="487"/>
      <c r="O446" s="305"/>
      <c r="Q446" s="305"/>
      <c r="R446" s="305"/>
      <c r="S446" s="471"/>
      <c r="T446" s="471"/>
      <c r="U446" s="471"/>
      <c r="V446" s="471"/>
      <c r="W446" s="471"/>
      <c r="X446" s="471"/>
      <c r="Y446" s="471"/>
      <c r="Z446" s="305"/>
      <c r="AA446" s="305"/>
      <c r="AB446" s="305"/>
      <c r="AC446" s="305"/>
      <c r="AD446" s="305"/>
      <c r="AE446" s="131"/>
    </row>
    <row r="447" spans="8:31" ht="14.25">
      <c r="H447" s="129"/>
      <c r="I447" s="129"/>
      <c r="J447" s="129"/>
      <c r="K447" s="304"/>
      <c r="N447" s="487"/>
      <c r="O447" s="305"/>
      <c r="Q447" s="305"/>
      <c r="R447" s="305"/>
      <c r="S447" s="471"/>
      <c r="T447" s="471"/>
      <c r="U447" s="471"/>
      <c r="V447" s="471"/>
      <c r="W447" s="471"/>
      <c r="X447" s="471"/>
      <c r="Y447" s="471"/>
      <c r="Z447" s="305"/>
      <c r="AA447" s="305"/>
      <c r="AB447" s="305"/>
      <c r="AC447" s="305"/>
      <c r="AD447" s="305"/>
      <c r="AE447" s="131"/>
    </row>
    <row r="448" spans="8:31" ht="14.25">
      <c r="H448" s="129"/>
      <c r="I448" s="129"/>
      <c r="J448" s="129"/>
      <c r="K448" s="304"/>
      <c r="N448" s="487"/>
      <c r="O448" s="305"/>
      <c r="Q448" s="305"/>
      <c r="R448" s="305"/>
      <c r="S448" s="471"/>
      <c r="T448" s="471"/>
      <c r="U448" s="471"/>
      <c r="V448" s="471"/>
      <c r="W448" s="471"/>
      <c r="X448" s="471"/>
      <c r="Y448" s="471"/>
      <c r="Z448" s="305"/>
      <c r="AA448" s="305"/>
      <c r="AB448" s="305"/>
      <c r="AC448" s="305"/>
      <c r="AD448" s="305"/>
      <c r="AE448" s="131"/>
    </row>
    <row r="449" spans="8:31" ht="14.25">
      <c r="H449" s="129"/>
      <c r="I449" s="129"/>
      <c r="J449" s="129"/>
      <c r="K449" s="304"/>
      <c r="N449" s="487"/>
      <c r="O449" s="305"/>
      <c r="Q449" s="305"/>
      <c r="R449" s="305"/>
      <c r="S449" s="471"/>
      <c r="T449" s="471"/>
      <c r="U449" s="471"/>
      <c r="V449" s="471"/>
      <c r="W449" s="471"/>
      <c r="X449" s="471"/>
      <c r="Y449" s="471"/>
      <c r="Z449" s="305"/>
      <c r="AA449" s="305"/>
      <c r="AB449" s="305"/>
      <c r="AC449" s="305"/>
      <c r="AD449" s="305"/>
      <c r="AE449" s="131"/>
    </row>
    <row r="450" spans="8:31" ht="14.25">
      <c r="H450" s="129"/>
      <c r="I450" s="129"/>
      <c r="J450" s="129"/>
      <c r="K450" s="304"/>
      <c r="N450" s="487"/>
      <c r="O450" s="305"/>
      <c r="Q450" s="305"/>
      <c r="R450" s="305"/>
      <c r="S450" s="471"/>
      <c r="T450" s="471"/>
      <c r="U450" s="471"/>
      <c r="V450" s="471"/>
      <c r="W450" s="471"/>
      <c r="X450" s="471"/>
      <c r="Y450" s="471"/>
      <c r="Z450" s="305"/>
      <c r="AA450" s="305"/>
      <c r="AB450" s="305"/>
      <c r="AC450" s="305"/>
      <c r="AD450" s="305"/>
      <c r="AE450" s="131"/>
    </row>
    <row r="451" spans="8:31" ht="14.25">
      <c r="H451" s="129"/>
      <c r="I451" s="129"/>
      <c r="J451" s="129"/>
      <c r="K451" s="304"/>
      <c r="N451" s="487"/>
      <c r="O451" s="305"/>
      <c r="Q451" s="305"/>
      <c r="R451" s="305"/>
      <c r="S451" s="471"/>
      <c r="T451" s="471"/>
      <c r="U451" s="471"/>
      <c r="V451" s="471"/>
      <c r="W451" s="471"/>
      <c r="X451" s="471"/>
      <c r="Y451" s="471"/>
      <c r="Z451" s="305"/>
      <c r="AA451" s="305"/>
      <c r="AB451" s="305"/>
      <c r="AC451" s="305"/>
      <c r="AD451" s="305"/>
      <c r="AE451" s="131"/>
    </row>
    <row r="452" spans="8:31" ht="14.25">
      <c r="H452" s="129"/>
      <c r="I452" s="129"/>
      <c r="J452" s="129"/>
      <c r="K452" s="304"/>
      <c r="N452" s="487"/>
      <c r="O452" s="305"/>
      <c r="Q452" s="305"/>
      <c r="R452" s="305"/>
      <c r="S452" s="471"/>
      <c r="T452" s="471"/>
      <c r="U452" s="471"/>
      <c r="V452" s="471"/>
      <c r="W452" s="471"/>
      <c r="X452" s="471"/>
      <c r="Y452" s="471"/>
      <c r="Z452" s="305"/>
      <c r="AA452" s="305"/>
      <c r="AB452" s="305"/>
      <c r="AC452" s="305"/>
      <c r="AD452" s="305"/>
      <c r="AE452" s="131"/>
    </row>
    <row r="453" spans="8:31" ht="14.25">
      <c r="H453" s="129"/>
      <c r="I453" s="129"/>
      <c r="J453" s="129"/>
      <c r="K453" s="304"/>
      <c r="N453" s="487"/>
      <c r="O453" s="305"/>
      <c r="Q453" s="305"/>
      <c r="R453" s="305"/>
      <c r="S453" s="471"/>
      <c r="T453" s="471"/>
      <c r="U453" s="471"/>
      <c r="V453" s="471"/>
      <c r="W453" s="471"/>
      <c r="X453" s="471"/>
      <c r="Y453" s="471"/>
      <c r="Z453" s="305"/>
      <c r="AA453" s="305"/>
      <c r="AB453" s="305"/>
      <c r="AC453" s="305"/>
      <c r="AD453" s="305"/>
      <c r="AE453" s="131"/>
    </row>
    <row r="454" spans="8:31" ht="14.25">
      <c r="H454" s="129"/>
      <c r="I454" s="129"/>
      <c r="J454" s="129"/>
      <c r="K454" s="304"/>
      <c r="N454" s="487"/>
      <c r="O454" s="305"/>
      <c r="Q454" s="305"/>
      <c r="R454" s="305"/>
      <c r="S454" s="471"/>
      <c r="T454" s="471"/>
      <c r="U454" s="471"/>
      <c r="V454" s="471"/>
      <c r="W454" s="471"/>
      <c r="X454" s="471"/>
      <c r="Y454" s="471"/>
      <c r="Z454" s="305"/>
      <c r="AA454" s="305"/>
      <c r="AB454" s="305"/>
      <c r="AC454" s="305"/>
      <c r="AD454" s="305"/>
      <c r="AE454" s="131"/>
    </row>
    <row r="455" spans="8:31" ht="14.25">
      <c r="H455" s="129"/>
      <c r="I455" s="129"/>
      <c r="J455" s="129"/>
      <c r="K455" s="304"/>
      <c r="N455" s="487"/>
      <c r="O455" s="305"/>
      <c r="Q455" s="305"/>
      <c r="R455" s="305"/>
      <c r="S455" s="471"/>
      <c r="T455" s="471"/>
      <c r="U455" s="471"/>
      <c r="V455" s="471"/>
      <c r="W455" s="471"/>
      <c r="X455" s="471"/>
      <c r="Y455" s="471"/>
      <c r="Z455" s="305"/>
      <c r="AA455" s="305"/>
      <c r="AB455" s="305"/>
      <c r="AC455" s="305"/>
      <c r="AD455" s="305"/>
      <c r="AE455" s="131"/>
    </row>
    <row r="456" spans="8:31" ht="14.25">
      <c r="H456" s="129"/>
      <c r="I456" s="129"/>
      <c r="J456" s="129"/>
      <c r="K456" s="304"/>
      <c r="N456" s="487"/>
      <c r="O456" s="305"/>
      <c r="Q456" s="305"/>
      <c r="R456" s="305"/>
      <c r="S456" s="471"/>
      <c r="T456" s="471"/>
      <c r="U456" s="471"/>
      <c r="V456" s="471"/>
      <c r="W456" s="471"/>
      <c r="X456" s="471"/>
      <c r="Y456" s="471"/>
      <c r="Z456" s="305"/>
      <c r="AA456" s="305"/>
      <c r="AB456" s="305"/>
      <c r="AC456" s="305"/>
      <c r="AD456" s="305"/>
      <c r="AE456" s="131"/>
    </row>
    <row r="457" spans="8:31" ht="14.25">
      <c r="H457" s="129"/>
      <c r="I457" s="129"/>
      <c r="J457" s="129"/>
      <c r="K457" s="304"/>
      <c r="N457" s="487"/>
      <c r="O457" s="305"/>
      <c r="Q457" s="305"/>
      <c r="R457" s="305"/>
      <c r="S457" s="471"/>
      <c r="T457" s="471"/>
      <c r="U457" s="471"/>
      <c r="V457" s="471"/>
      <c r="W457" s="471"/>
      <c r="X457" s="471"/>
      <c r="Y457" s="471"/>
      <c r="Z457" s="305"/>
      <c r="AA457" s="305"/>
      <c r="AB457" s="305"/>
      <c r="AC457" s="305"/>
      <c r="AD457" s="305"/>
      <c r="AE457" s="131"/>
    </row>
    <row r="458" spans="8:31" ht="14.25">
      <c r="H458" s="129"/>
      <c r="I458" s="129"/>
      <c r="J458" s="129"/>
      <c r="K458" s="304"/>
      <c r="N458" s="487"/>
      <c r="O458" s="305"/>
      <c r="Q458" s="305"/>
      <c r="R458" s="305"/>
      <c r="S458" s="471"/>
      <c r="T458" s="471"/>
      <c r="U458" s="471"/>
      <c r="V458" s="471"/>
      <c r="W458" s="471"/>
      <c r="X458" s="471"/>
      <c r="Y458" s="471"/>
      <c r="Z458" s="305"/>
      <c r="AA458" s="305"/>
      <c r="AB458" s="305"/>
      <c r="AC458" s="305"/>
      <c r="AD458" s="305"/>
      <c r="AE458" s="131"/>
    </row>
    <row r="459" spans="8:31" ht="14.25">
      <c r="H459" s="129"/>
      <c r="I459" s="129"/>
      <c r="J459" s="129"/>
      <c r="K459" s="304"/>
      <c r="N459" s="487"/>
      <c r="O459" s="305"/>
      <c r="Q459" s="305"/>
      <c r="R459" s="305"/>
      <c r="S459" s="471"/>
      <c r="T459" s="471"/>
      <c r="U459" s="471"/>
      <c r="V459" s="471"/>
      <c r="W459" s="471"/>
      <c r="X459" s="471"/>
      <c r="Y459" s="471"/>
      <c r="Z459" s="305"/>
      <c r="AA459" s="305"/>
      <c r="AB459" s="305"/>
      <c r="AC459" s="305"/>
      <c r="AD459" s="305"/>
      <c r="AE459" s="131"/>
    </row>
    <row r="460" spans="8:31" ht="14.25">
      <c r="H460" s="129"/>
      <c r="I460" s="129"/>
      <c r="J460" s="129"/>
      <c r="K460" s="304"/>
      <c r="N460" s="487"/>
      <c r="O460" s="305"/>
      <c r="Q460" s="305"/>
      <c r="R460" s="305"/>
      <c r="S460" s="471"/>
      <c r="T460" s="471"/>
      <c r="U460" s="471"/>
      <c r="V460" s="471"/>
      <c r="W460" s="471"/>
      <c r="X460" s="471"/>
      <c r="Y460" s="471"/>
      <c r="Z460" s="305"/>
      <c r="AA460" s="305"/>
      <c r="AB460" s="305"/>
      <c r="AC460" s="305"/>
      <c r="AD460" s="305"/>
      <c r="AE460" s="131"/>
    </row>
    <row r="461" spans="8:31" ht="14.25">
      <c r="H461" s="129"/>
      <c r="I461" s="129"/>
      <c r="J461" s="129"/>
      <c r="K461" s="304"/>
      <c r="N461" s="487"/>
      <c r="O461" s="305"/>
      <c r="Q461" s="305"/>
      <c r="R461" s="305"/>
      <c r="S461" s="471"/>
      <c r="T461" s="471"/>
      <c r="U461" s="471"/>
      <c r="V461" s="471"/>
      <c r="W461" s="471"/>
      <c r="X461" s="471"/>
      <c r="Y461" s="471"/>
      <c r="Z461" s="305"/>
      <c r="AA461" s="305"/>
      <c r="AB461" s="305"/>
      <c r="AC461" s="305"/>
      <c r="AD461" s="305"/>
      <c r="AE461" s="131"/>
    </row>
    <row r="462" spans="8:31" ht="14.25">
      <c r="H462" s="129"/>
      <c r="I462" s="129"/>
      <c r="J462" s="129"/>
      <c r="K462" s="304"/>
      <c r="N462" s="487"/>
      <c r="O462" s="305"/>
      <c r="Q462" s="305"/>
      <c r="R462" s="305"/>
      <c r="S462" s="471"/>
      <c r="T462" s="471"/>
      <c r="U462" s="471"/>
      <c r="V462" s="471"/>
      <c r="W462" s="471"/>
      <c r="X462" s="471"/>
      <c r="Y462" s="471"/>
      <c r="Z462" s="305"/>
      <c r="AA462" s="305"/>
      <c r="AB462" s="305"/>
      <c r="AC462" s="305"/>
      <c r="AD462" s="305"/>
      <c r="AE462" s="131"/>
    </row>
    <row r="463" spans="8:31" ht="14.25">
      <c r="H463" s="129"/>
      <c r="I463" s="129"/>
      <c r="J463" s="129"/>
      <c r="K463" s="304"/>
      <c r="N463" s="487"/>
      <c r="O463" s="305"/>
      <c r="Q463" s="305"/>
      <c r="R463" s="305"/>
      <c r="S463" s="471"/>
      <c r="T463" s="471"/>
      <c r="U463" s="471"/>
      <c r="V463" s="471"/>
      <c r="W463" s="471"/>
      <c r="X463" s="471"/>
      <c r="Y463" s="471"/>
      <c r="Z463" s="305"/>
      <c r="AA463" s="305"/>
      <c r="AB463" s="305"/>
      <c r="AC463" s="305"/>
      <c r="AD463" s="305"/>
      <c r="AE463" s="131"/>
    </row>
    <row r="464" spans="8:31" ht="14.25">
      <c r="H464" s="129"/>
      <c r="I464" s="129"/>
      <c r="J464" s="129"/>
      <c r="K464" s="304"/>
      <c r="N464" s="487"/>
      <c r="O464" s="305"/>
      <c r="Q464" s="305"/>
      <c r="R464" s="305"/>
      <c r="S464" s="471"/>
      <c r="T464" s="471"/>
      <c r="U464" s="471"/>
      <c r="V464" s="471"/>
      <c r="W464" s="471"/>
      <c r="X464" s="471"/>
      <c r="Y464" s="471"/>
      <c r="Z464" s="305"/>
      <c r="AA464" s="305"/>
      <c r="AB464" s="305"/>
      <c r="AC464" s="305"/>
      <c r="AD464" s="305"/>
      <c r="AE464" s="131"/>
    </row>
    <row r="465" spans="8:31" ht="14.25">
      <c r="H465" s="129"/>
      <c r="I465" s="129"/>
      <c r="J465" s="129"/>
      <c r="K465" s="304"/>
      <c r="N465" s="487"/>
      <c r="O465" s="305"/>
      <c r="Q465" s="305"/>
      <c r="R465" s="305"/>
      <c r="S465" s="471"/>
      <c r="T465" s="471"/>
      <c r="U465" s="471"/>
      <c r="V465" s="471"/>
      <c r="W465" s="471"/>
      <c r="X465" s="471"/>
      <c r="Y465" s="471"/>
      <c r="Z465" s="305"/>
      <c r="AA465" s="305"/>
      <c r="AB465" s="305"/>
      <c r="AC465" s="305"/>
      <c r="AD465" s="305"/>
      <c r="AE465" s="131"/>
    </row>
    <row r="466" spans="8:31" ht="14.25">
      <c r="H466" s="129"/>
      <c r="I466" s="129"/>
      <c r="J466" s="129"/>
      <c r="K466" s="304"/>
      <c r="N466" s="487"/>
      <c r="O466" s="305"/>
      <c r="Q466" s="305"/>
      <c r="R466" s="305"/>
      <c r="S466" s="471"/>
      <c r="T466" s="471"/>
      <c r="U466" s="471"/>
      <c r="V466" s="471"/>
      <c r="W466" s="471"/>
      <c r="X466" s="471"/>
      <c r="Y466" s="471"/>
      <c r="Z466" s="305"/>
      <c r="AA466" s="305"/>
      <c r="AB466" s="305"/>
      <c r="AC466" s="305"/>
      <c r="AD466" s="305"/>
      <c r="AE466" s="131"/>
    </row>
    <row r="467" spans="8:31" ht="14.25">
      <c r="H467" s="129"/>
      <c r="I467" s="129"/>
      <c r="J467" s="129"/>
      <c r="K467" s="304"/>
      <c r="N467" s="487"/>
      <c r="O467" s="305"/>
      <c r="Q467" s="305"/>
      <c r="R467" s="305"/>
      <c r="S467" s="471"/>
      <c r="T467" s="471"/>
      <c r="U467" s="471"/>
      <c r="V467" s="471"/>
      <c r="W467" s="471"/>
      <c r="X467" s="471"/>
      <c r="Y467" s="471"/>
      <c r="Z467" s="305"/>
      <c r="AA467" s="305"/>
      <c r="AB467" s="305"/>
      <c r="AC467" s="305"/>
      <c r="AD467" s="305"/>
      <c r="AE467" s="131"/>
    </row>
    <row r="468" spans="8:31" ht="14.25">
      <c r="H468" s="129"/>
      <c r="I468" s="129"/>
      <c r="J468" s="129"/>
      <c r="K468" s="304"/>
      <c r="N468" s="487"/>
      <c r="O468" s="305"/>
      <c r="Q468" s="305"/>
      <c r="R468" s="305"/>
      <c r="S468" s="471"/>
      <c r="T468" s="471"/>
      <c r="U468" s="471"/>
      <c r="V468" s="471"/>
      <c r="W468" s="471"/>
      <c r="X468" s="471"/>
      <c r="Y468" s="471"/>
      <c r="Z468" s="305"/>
      <c r="AA468" s="305"/>
      <c r="AB468" s="305"/>
      <c r="AC468" s="305"/>
      <c r="AD468" s="305"/>
      <c r="AE468" s="131"/>
    </row>
    <row r="469" spans="8:31" ht="14.25">
      <c r="H469" s="129"/>
      <c r="I469" s="129"/>
      <c r="J469" s="129"/>
      <c r="K469" s="304"/>
      <c r="N469" s="487"/>
      <c r="O469" s="305"/>
      <c r="Q469" s="305"/>
      <c r="R469" s="305"/>
      <c r="S469" s="471"/>
      <c r="T469" s="471"/>
      <c r="U469" s="471"/>
      <c r="V469" s="471"/>
      <c r="W469" s="471"/>
      <c r="X469" s="471"/>
      <c r="Y469" s="471"/>
      <c r="Z469" s="305"/>
      <c r="AA469" s="305"/>
      <c r="AB469" s="305"/>
      <c r="AC469" s="305"/>
      <c r="AD469" s="305"/>
      <c r="AE469" s="131"/>
    </row>
    <row r="470" spans="8:31" ht="14.25">
      <c r="H470" s="129"/>
      <c r="I470" s="129"/>
      <c r="J470" s="129"/>
      <c r="K470" s="304"/>
      <c r="N470" s="487"/>
      <c r="O470" s="305"/>
      <c r="Q470" s="305"/>
      <c r="R470" s="305"/>
      <c r="S470" s="471"/>
      <c r="T470" s="471"/>
      <c r="U470" s="471"/>
      <c r="V470" s="471"/>
      <c r="W470" s="471"/>
      <c r="X470" s="471"/>
      <c r="Y470" s="471"/>
      <c r="Z470" s="305"/>
      <c r="AA470" s="305"/>
      <c r="AB470" s="305"/>
      <c r="AC470" s="305"/>
      <c r="AD470" s="305"/>
      <c r="AE470" s="131"/>
    </row>
    <row r="471" spans="8:31" ht="14.25">
      <c r="H471" s="129"/>
      <c r="I471" s="129"/>
      <c r="J471" s="129"/>
      <c r="K471" s="304"/>
      <c r="N471" s="487"/>
      <c r="O471" s="305"/>
      <c r="Q471" s="305"/>
      <c r="R471" s="305"/>
      <c r="S471" s="471"/>
      <c r="T471" s="471"/>
      <c r="U471" s="471"/>
      <c r="V471" s="471"/>
      <c r="W471" s="471"/>
      <c r="X471" s="471"/>
      <c r="Y471" s="471"/>
      <c r="Z471" s="305"/>
      <c r="AA471" s="305"/>
      <c r="AB471" s="305"/>
      <c r="AC471" s="305"/>
      <c r="AD471" s="305"/>
      <c r="AE471" s="131"/>
    </row>
    <row r="472" spans="8:31" ht="14.25">
      <c r="H472" s="129"/>
      <c r="I472" s="129"/>
      <c r="J472" s="129"/>
      <c r="K472" s="304"/>
      <c r="N472" s="487"/>
      <c r="O472" s="305"/>
      <c r="Q472" s="305"/>
      <c r="R472" s="305"/>
      <c r="S472" s="471"/>
      <c r="T472" s="471"/>
      <c r="U472" s="471"/>
      <c r="V472" s="471"/>
      <c r="W472" s="471"/>
      <c r="X472" s="471"/>
      <c r="Y472" s="471"/>
      <c r="Z472" s="305"/>
      <c r="AA472" s="305"/>
      <c r="AB472" s="305"/>
      <c r="AC472" s="305"/>
      <c r="AD472" s="305"/>
      <c r="AE472" s="131"/>
    </row>
    <row r="473" spans="8:31" ht="14.25">
      <c r="H473" s="129"/>
      <c r="I473" s="129"/>
      <c r="J473" s="129"/>
      <c r="K473" s="304"/>
      <c r="N473" s="487"/>
      <c r="O473" s="305"/>
      <c r="Q473" s="305"/>
      <c r="R473" s="305"/>
      <c r="S473" s="471"/>
      <c r="T473" s="471"/>
      <c r="U473" s="471"/>
      <c r="V473" s="471"/>
      <c r="W473" s="471"/>
      <c r="X473" s="471"/>
      <c r="Y473" s="471"/>
      <c r="Z473" s="305"/>
      <c r="AA473" s="305"/>
      <c r="AB473" s="305"/>
      <c r="AC473" s="305"/>
      <c r="AD473" s="305"/>
      <c r="AE473" s="131"/>
    </row>
    <row r="474" spans="8:31" ht="14.25">
      <c r="H474" s="129"/>
      <c r="I474" s="129"/>
      <c r="J474" s="129"/>
      <c r="K474" s="304"/>
      <c r="N474" s="487"/>
      <c r="O474" s="305"/>
      <c r="Q474" s="305"/>
      <c r="R474" s="305"/>
      <c r="S474" s="471"/>
      <c r="T474" s="471"/>
      <c r="U474" s="471"/>
      <c r="V474" s="471"/>
      <c r="W474" s="471"/>
      <c r="X474" s="471"/>
      <c r="Y474" s="471"/>
      <c r="Z474" s="305"/>
      <c r="AA474" s="305"/>
      <c r="AB474" s="305"/>
      <c r="AC474" s="305"/>
      <c r="AD474" s="305"/>
      <c r="AE474" s="131"/>
    </row>
    <row r="475" spans="8:31" ht="14.25">
      <c r="H475" s="129"/>
      <c r="I475" s="129"/>
      <c r="J475" s="129"/>
      <c r="K475" s="304"/>
      <c r="N475" s="487"/>
      <c r="O475" s="305"/>
      <c r="Q475" s="305"/>
      <c r="R475" s="305"/>
      <c r="S475" s="471"/>
      <c r="T475" s="471"/>
      <c r="U475" s="471"/>
      <c r="V475" s="471"/>
      <c r="W475" s="471"/>
      <c r="X475" s="471"/>
      <c r="Y475" s="471"/>
      <c r="Z475" s="305"/>
      <c r="AA475" s="305"/>
      <c r="AB475" s="305"/>
      <c r="AC475" s="305"/>
      <c r="AD475" s="305"/>
      <c r="AE475" s="131"/>
    </row>
    <row r="476" spans="8:31" ht="14.25">
      <c r="H476" s="129"/>
      <c r="I476" s="129"/>
      <c r="J476" s="129"/>
      <c r="K476" s="304"/>
      <c r="N476" s="487"/>
      <c r="O476" s="305"/>
      <c r="Q476" s="305"/>
      <c r="R476" s="305"/>
      <c r="S476" s="471"/>
      <c r="T476" s="471"/>
      <c r="U476" s="471"/>
      <c r="V476" s="471"/>
      <c r="W476" s="471"/>
      <c r="X476" s="471"/>
      <c r="Y476" s="471"/>
      <c r="Z476" s="305"/>
      <c r="AA476" s="305"/>
      <c r="AB476" s="305"/>
      <c r="AC476" s="305"/>
      <c r="AD476" s="305"/>
      <c r="AE476" s="131"/>
    </row>
    <row r="477" spans="8:31" ht="14.25">
      <c r="H477" s="129"/>
      <c r="I477" s="129"/>
      <c r="J477" s="129"/>
      <c r="K477" s="304"/>
      <c r="N477" s="487"/>
      <c r="O477" s="305"/>
      <c r="Q477" s="305"/>
      <c r="R477" s="305"/>
      <c r="S477" s="471"/>
      <c r="T477" s="471"/>
      <c r="U477" s="471"/>
      <c r="V477" s="471"/>
      <c r="W477" s="471"/>
      <c r="X477" s="471"/>
      <c r="Y477" s="471"/>
      <c r="Z477" s="305"/>
      <c r="AA477" s="305"/>
      <c r="AB477" s="305"/>
      <c r="AC477" s="305"/>
      <c r="AD477" s="305"/>
      <c r="AE477" s="131"/>
    </row>
    <row r="478" spans="8:31" ht="14.25">
      <c r="H478" s="129"/>
      <c r="I478" s="129"/>
      <c r="J478" s="129"/>
      <c r="K478" s="304"/>
      <c r="N478" s="487"/>
      <c r="O478" s="305"/>
      <c r="Q478" s="305"/>
      <c r="R478" s="305"/>
      <c r="S478" s="471"/>
      <c r="T478" s="471"/>
      <c r="U478" s="471"/>
      <c r="V478" s="471"/>
      <c r="W478" s="471"/>
      <c r="X478" s="471"/>
      <c r="Y478" s="471"/>
      <c r="Z478" s="305"/>
      <c r="AA478" s="305"/>
      <c r="AB478" s="305"/>
      <c r="AC478" s="305"/>
      <c r="AD478" s="305"/>
      <c r="AE478" s="131"/>
    </row>
    <row r="479" spans="8:31" ht="14.25">
      <c r="H479" s="129"/>
      <c r="I479" s="129"/>
      <c r="J479" s="129"/>
      <c r="K479" s="304"/>
      <c r="N479" s="487"/>
      <c r="O479" s="305"/>
      <c r="Q479" s="305"/>
      <c r="R479" s="305"/>
      <c r="S479" s="471"/>
      <c r="T479" s="471"/>
      <c r="U479" s="471"/>
      <c r="V479" s="471"/>
      <c r="W479" s="471"/>
      <c r="X479" s="471"/>
      <c r="Y479" s="471"/>
      <c r="Z479" s="305"/>
      <c r="AA479" s="305"/>
      <c r="AB479" s="305"/>
      <c r="AC479" s="305"/>
      <c r="AD479" s="305"/>
      <c r="AE479" s="131"/>
    </row>
    <row r="480" spans="8:31" ht="14.25">
      <c r="H480" s="129"/>
      <c r="I480" s="129"/>
      <c r="J480" s="129"/>
      <c r="K480" s="304"/>
      <c r="N480" s="487"/>
      <c r="O480" s="305"/>
      <c r="Q480" s="305"/>
      <c r="R480" s="305"/>
      <c r="S480" s="471"/>
      <c r="T480" s="471"/>
      <c r="U480" s="471"/>
      <c r="V480" s="471"/>
      <c r="W480" s="471"/>
      <c r="X480" s="471"/>
      <c r="Y480" s="471"/>
      <c r="Z480" s="305"/>
      <c r="AA480" s="305"/>
      <c r="AB480" s="305"/>
      <c r="AC480" s="305"/>
      <c r="AD480" s="305"/>
      <c r="AE480" s="131"/>
    </row>
    <row r="481" spans="8:31" ht="14.25">
      <c r="H481" s="129"/>
      <c r="I481" s="129"/>
      <c r="J481" s="129"/>
      <c r="K481" s="304"/>
      <c r="N481" s="487"/>
      <c r="O481" s="305"/>
      <c r="Q481" s="305"/>
      <c r="R481" s="305"/>
      <c r="S481" s="471"/>
      <c r="T481" s="471"/>
      <c r="U481" s="471"/>
      <c r="V481" s="471"/>
      <c r="W481" s="471"/>
      <c r="X481" s="471"/>
      <c r="Y481" s="471"/>
      <c r="Z481" s="305"/>
      <c r="AA481" s="305"/>
      <c r="AB481" s="305"/>
      <c r="AC481" s="305"/>
      <c r="AD481" s="305"/>
      <c r="AE481" s="131"/>
    </row>
    <row r="482" spans="8:31" ht="14.25">
      <c r="H482" s="129"/>
      <c r="I482" s="129"/>
      <c r="J482" s="129"/>
      <c r="K482" s="304"/>
      <c r="N482" s="487"/>
      <c r="O482" s="305"/>
      <c r="Q482" s="305"/>
      <c r="R482" s="305"/>
      <c r="S482" s="471"/>
      <c r="T482" s="471"/>
      <c r="U482" s="471"/>
      <c r="V482" s="471"/>
      <c r="W482" s="471"/>
      <c r="X482" s="471"/>
      <c r="Y482" s="471"/>
      <c r="Z482" s="305"/>
      <c r="AA482" s="305"/>
      <c r="AB482" s="305"/>
      <c r="AC482" s="305"/>
      <c r="AD482" s="305"/>
      <c r="AE482" s="131"/>
    </row>
    <row r="483" spans="8:31" ht="14.25">
      <c r="H483" s="129"/>
      <c r="I483" s="129"/>
      <c r="J483" s="129"/>
      <c r="K483" s="304"/>
      <c r="N483" s="487"/>
      <c r="O483" s="305"/>
      <c r="Q483" s="305"/>
      <c r="R483" s="305"/>
      <c r="S483" s="471"/>
      <c r="T483" s="471"/>
      <c r="U483" s="471"/>
      <c r="V483" s="471"/>
      <c r="W483" s="471"/>
      <c r="X483" s="471"/>
      <c r="Y483" s="471"/>
      <c r="Z483" s="305"/>
      <c r="AA483" s="305"/>
      <c r="AB483" s="305"/>
      <c r="AC483" s="305"/>
      <c r="AD483" s="305"/>
      <c r="AE483" s="131"/>
    </row>
    <row r="484" spans="8:31" ht="14.25">
      <c r="H484" s="129"/>
      <c r="I484" s="129"/>
      <c r="J484" s="129"/>
      <c r="K484" s="304"/>
      <c r="N484" s="487"/>
      <c r="O484" s="305"/>
      <c r="Q484" s="305"/>
      <c r="R484" s="305"/>
      <c r="S484" s="471"/>
      <c r="T484" s="471"/>
      <c r="U484" s="471"/>
      <c r="V484" s="471"/>
      <c r="W484" s="471"/>
      <c r="X484" s="471"/>
      <c r="Y484" s="471"/>
      <c r="Z484" s="305"/>
      <c r="AA484" s="305"/>
      <c r="AB484" s="305"/>
      <c r="AC484" s="305"/>
      <c r="AD484" s="305"/>
      <c r="AE484" s="131"/>
    </row>
    <row r="485" spans="8:31" ht="14.25">
      <c r="H485" s="129"/>
      <c r="I485" s="129"/>
      <c r="J485" s="129"/>
      <c r="K485" s="304"/>
      <c r="N485" s="487"/>
      <c r="O485" s="305"/>
      <c r="Q485" s="305"/>
      <c r="R485" s="305"/>
      <c r="S485" s="471"/>
      <c r="T485" s="471"/>
      <c r="U485" s="471"/>
      <c r="V485" s="471"/>
      <c r="W485" s="471"/>
      <c r="X485" s="471"/>
      <c r="Y485" s="471"/>
      <c r="Z485" s="305"/>
      <c r="AA485" s="305"/>
      <c r="AB485" s="305"/>
      <c r="AC485" s="305"/>
      <c r="AD485" s="305"/>
      <c r="AE485" s="131"/>
    </row>
    <row r="486" spans="8:31" ht="14.25">
      <c r="H486" s="129"/>
      <c r="I486" s="129"/>
      <c r="J486" s="129"/>
      <c r="K486" s="304"/>
      <c r="N486" s="487"/>
      <c r="O486" s="305"/>
      <c r="Q486" s="305"/>
      <c r="R486" s="305"/>
      <c r="S486" s="471"/>
      <c r="T486" s="471"/>
      <c r="U486" s="471"/>
      <c r="V486" s="471"/>
      <c r="W486" s="471"/>
      <c r="X486" s="471"/>
      <c r="Y486" s="471"/>
      <c r="Z486" s="305"/>
      <c r="AA486" s="305"/>
      <c r="AB486" s="305"/>
      <c r="AC486" s="305"/>
      <c r="AD486" s="305"/>
      <c r="AE486" s="131"/>
    </row>
    <row r="487" spans="8:31" ht="14.25">
      <c r="H487" s="129"/>
      <c r="I487" s="129"/>
      <c r="J487" s="129"/>
      <c r="K487" s="304"/>
      <c r="N487" s="487"/>
      <c r="O487" s="305"/>
      <c r="Q487" s="305"/>
      <c r="R487" s="305"/>
      <c r="S487" s="471"/>
      <c r="T487" s="471"/>
      <c r="U487" s="471"/>
      <c r="V487" s="471"/>
      <c r="W487" s="471"/>
      <c r="X487" s="471"/>
      <c r="Y487" s="471"/>
      <c r="Z487" s="305"/>
      <c r="AA487" s="305"/>
      <c r="AB487" s="305"/>
      <c r="AC487" s="305"/>
      <c r="AD487" s="305"/>
      <c r="AE487" s="131"/>
    </row>
    <row r="488" spans="8:31" ht="14.25">
      <c r="H488" s="129"/>
      <c r="I488" s="129"/>
      <c r="J488" s="129"/>
      <c r="K488" s="304"/>
      <c r="N488" s="487"/>
      <c r="O488" s="305"/>
      <c r="Q488" s="305"/>
      <c r="R488" s="305"/>
      <c r="S488" s="471"/>
      <c r="T488" s="471"/>
      <c r="U488" s="471"/>
      <c r="V488" s="471"/>
      <c r="W488" s="471"/>
      <c r="X488" s="471"/>
      <c r="Y488" s="471"/>
      <c r="Z488" s="305"/>
      <c r="AA488" s="305"/>
      <c r="AB488" s="305"/>
      <c r="AC488" s="305"/>
      <c r="AD488" s="305"/>
      <c r="AE488" s="131"/>
    </row>
    <row r="489" spans="8:31" ht="14.25">
      <c r="H489" s="129"/>
      <c r="I489" s="129"/>
      <c r="J489" s="129"/>
      <c r="K489" s="304"/>
      <c r="N489" s="487"/>
      <c r="O489" s="305"/>
      <c r="Q489" s="305"/>
      <c r="R489" s="305"/>
      <c r="S489" s="471"/>
      <c r="T489" s="471"/>
      <c r="U489" s="471"/>
      <c r="V489" s="471"/>
      <c r="W489" s="471"/>
      <c r="X489" s="471"/>
      <c r="Y489" s="471"/>
      <c r="Z489" s="305"/>
      <c r="AA489" s="305"/>
      <c r="AB489" s="305"/>
      <c r="AC489" s="305"/>
      <c r="AD489" s="305"/>
      <c r="AE489" s="131"/>
    </row>
    <row r="490" spans="8:31" ht="14.25">
      <c r="H490" s="129"/>
      <c r="I490" s="129"/>
      <c r="J490" s="129"/>
      <c r="K490" s="304"/>
      <c r="N490" s="487"/>
      <c r="O490" s="305"/>
      <c r="Q490" s="305"/>
      <c r="R490" s="305"/>
      <c r="S490" s="471"/>
      <c r="T490" s="471"/>
      <c r="U490" s="471"/>
      <c r="V490" s="471"/>
      <c r="W490" s="471"/>
      <c r="X490" s="471"/>
      <c r="Y490" s="471"/>
      <c r="Z490" s="305"/>
      <c r="AA490" s="305"/>
      <c r="AB490" s="305"/>
      <c r="AC490" s="305"/>
      <c r="AD490" s="305"/>
      <c r="AE490" s="131"/>
    </row>
    <row r="491" spans="8:31" ht="14.25">
      <c r="H491" s="129"/>
      <c r="I491" s="129"/>
      <c r="J491" s="129"/>
      <c r="K491" s="304"/>
      <c r="N491" s="487"/>
      <c r="O491" s="305"/>
      <c r="Q491" s="305"/>
      <c r="R491" s="305"/>
      <c r="S491" s="471"/>
      <c r="T491" s="471"/>
      <c r="U491" s="471"/>
      <c r="V491" s="471"/>
      <c r="W491" s="471"/>
      <c r="X491" s="471"/>
      <c r="Y491" s="471"/>
      <c r="Z491" s="305"/>
      <c r="AA491" s="305"/>
      <c r="AB491" s="305"/>
      <c r="AC491" s="305"/>
      <c r="AD491" s="305"/>
      <c r="AE491" s="131"/>
    </row>
    <row r="492" spans="8:31" ht="14.25">
      <c r="H492" s="129"/>
      <c r="I492" s="129"/>
      <c r="J492" s="129"/>
      <c r="K492" s="304"/>
      <c r="N492" s="487"/>
      <c r="O492" s="305"/>
      <c r="Q492" s="305"/>
      <c r="R492" s="305"/>
      <c r="S492" s="471"/>
      <c r="T492" s="471"/>
      <c r="U492" s="471"/>
      <c r="V492" s="471"/>
      <c r="W492" s="471"/>
      <c r="X492" s="471"/>
      <c r="Y492" s="471"/>
      <c r="Z492" s="305"/>
      <c r="AA492" s="305"/>
      <c r="AB492" s="305"/>
      <c r="AC492" s="305"/>
      <c r="AD492" s="305"/>
      <c r="AE492" s="131"/>
    </row>
    <row r="493" spans="8:31" ht="14.25">
      <c r="H493" s="129"/>
      <c r="I493" s="129"/>
      <c r="J493" s="129"/>
      <c r="K493" s="304"/>
      <c r="N493" s="487"/>
      <c r="O493" s="305"/>
      <c r="Q493" s="305"/>
      <c r="R493" s="305"/>
      <c r="S493" s="471"/>
      <c r="T493" s="471"/>
      <c r="U493" s="471"/>
      <c r="V493" s="471"/>
      <c r="W493" s="471"/>
      <c r="X493" s="471"/>
      <c r="Y493" s="471"/>
      <c r="Z493" s="305"/>
      <c r="AA493" s="305"/>
      <c r="AB493" s="305"/>
      <c r="AC493" s="305"/>
      <c r="AD493" s="305"/>
      <c r="AE493" s="131"/>
    </row>
    <row r="494" spans="8:31" ht="14.25">
      <c r="H494" s="129"/>
      <c r="I494" s="129"/>
      <c r="J494" s="129"/>
      <c r="K494" s="304"/>
      <c r="N494" s="487"/>
      <c r="O494" s="305"/>
      <c r="Q494" s="305"/>
      <c r="R494" s="305"/>
      <c r="S494" s="471"/>
      <c r="T494" s="471"/>
      <c r="U494" s="471"/>
      <c r="V494" s="471"/>
      <c r="W494" s="471"/>
      <c r="X494" s="471"/>
      <c r="Y494" s="471"/>
      <c r="Z494" s="305"/>
      <c r="AA494" s="305"/>
      <c r="AB494" s="305"/>
      <c r="AC494" s="305"/>
      <c r="AD494" s="305"/>
      <c r="AE494" s="131"/>
    </row>
    <row r="495" spans="8:31" ht="14.25">
      <c r="H495" s="129"/>
      <c r="I495" s="129"/>
      <c r="J495" s="129"/>
      <c r="K495" s="304"/>
      <c r="N495" s="487"/>
      <c r="O495" s="305"/>
      <c r="Q495" s="305"/>
      <c r="R495" s="305"/>
      <c r="S495" s="471"/>
      <c r="T495" s="471"/>
      <c r="U495" s="471"/>
      <c r="V495" s="471"/>
      <c r="W495" s="471"/>
      <c r="X495" s="471"/>
      <c r="Y495" s="471"/>
      <c r="Z495" s="305"/>
      <c r="AA495" s="305"/>
      <c r="AB495" s="305"/>
      <c r="AC495" s="305"/>
      <c r="AD495" s="305"/>
      <c r="AE495" s="131"/>
    </row>
    <row r="496" spans="8:31" ht="14.25">
      <c r="H496" s="129"/>
      <c r="I496" s="129"/>
      <c r="J496" s="129"/>
      <c r="K496" s="304"/>
      <c r="N496" s="487"/>
      <c r="O496" s="305"/>
      <c r="Q496" s="305"/>
      <c r="R496" s="305"/>
      <c r="S496" s="471"/>
      <c r="T496" s="471"/>
      <c r="U496" s="471"/>
      <c r="V496" s="471"/>
      <c r="W496" s="471"/>
      <c r="X496" s="471"/>
      <c r="Y496" s="471"/>
      <c r="Z496" s="305"/>
      <c r="AA496" s="305"/>
      <c r="AB496" s="305"/>
      <c r="AC496" s="305"/>
      <c r="AD496" s="305"/>
      <c r="AE496" s="131"/>
    </row>
    <row r="497" spans="8:31" ht="14.25">
      <c r="H497" s="129"/>
      <c r="I497" s="129"/>
      <c r="J497" s="129"/>
      <c r="K497" s="304"/>
      <c r="N497" s="487"/>
      <c r="O497" s="305"/>
      <c r="Q497" s="305"/>
      <c r="R497" s="305"/>
      <c r="S497" s="471"/>
      <c r="T497" s="471"/>
      <c r="U497" s="471"/>
      <c r="V497" s="471"/>
      <c r="W497" s="471"/>
      <c r="X497" s="471"/>
      <c r="Y497" s="471"/>
      <c r="Z497" s="305"/>
      <c r="AA497" s="305"/>
      <c r="AB497" s="305"/>
      <c r="AC497" s="305"/>
      <c r="AD497" s="305"/>
      <c r="AE497" s="131"/>
    </row>
    <row r="498" spans="8:31" ht="14.25">
      <c r="H498" s="129"/>
      <c r="I498" s="129"/>
      <c r="J498" s="129"/>
      <c r="K498" s="304"/>
      <c r="N498" s="487"/>
      <c r="O498" s="305"/>
      <c r="Q498" s="305"/>
      <c r="R498" s="305"/>
      <c r="S498" s="471"/>
      <c r="T498" s="471"/>
      <c r="U498" s="471"/>
      <c r="V498" s="471"/>
      <c r="W498" s="471"/>
      <c r="X498" s="471"/>
      <c r="Y498" s="471"/>
      <c r="Z498" s="305"/>
      <c r="AA498" s="305"/>
      <c r="AB498" s="305"/>
      <c r="AC498" s="305"/>
      <c r="AD498" s="305"/>
      <c r="AE498" s="131"/>
    </row>
    <row r="499" spans="8:31" ht="14.25">
      <c r="H499" s="129"/>
      <c r="I499" s="129"/>
      <c r="J499" s="129"/>
      <c r="K499" s="304"/>
      <c r="N499" s="487"/>
      <c r="O499" s="305"/>
      <c r="Q499" s="305"/>
      <c r="R499" s="305"/>
      <c r="S499" s="471"/>
      <c r="T499" s="471"/>
      <c r="U499" s="471"/>
      <c r="V499" s="471"/>
      <c r="W499" s="471"/>
      <c r="X499" s="471"/>
      <c r="Y499" s="471"/>
      <c r="Z499" s="305"/>
      <c r="AA499" s="305"/>
      <c r="AB499" s="305"/>
      <c r="AC499" s="305"/>
      <c r="AD499" s="305"/>
      <c r="AE499" s="131"/>
    </row>
    <row r="500" spans="8:31" ht="14.25">
      <c r="H500" s="129"/>
      <c r="I500" s="129"/>
      <c r="J500" s="129"/>
      <c r="K500" s="304"/>
      <c r="N500" s="487"/>
      <c r="O500" s="305"/>
      <c r="Q500" s="305"/>
      <c r="R500" s="305"/>
      <c r="S500" s="471"/>
      <c r="T500" s="471"/>
      <c r="U500" s="471"/>
      <c r="V500" s="471"/>
      <c r="W500" s="471"/>
      <c r="X500" s="471"/>
      <c r="Y500" s="471"/>
      <c r="Z500" s="305"/>
      <c r="AA500" s="305"/>
      <c r="AB500" s="305"/>
      <c r="AC500" s="305"/>
      <c r="AD500" s="305"/>
      <c r="AE500" s="131"/>
    </row>
    <row r="501" spans="8:31" ht="14.25">
      <c r="H501" s="129"/>
      <c r="I501" s="129"/>
      <c r="J501" s="129"/>
      <c r="K501" s="304"/>
      <c r="N501" s="487"/>
      <c r="O501" s="305"/>
      <c r="Q501" s="305"/>
      <c r="R501" s="305"/>
      <c r="S501" s="471"/>
      <c r="T501" s="471"/>
      <c r="U501" s="471"/>
      <c r="V501" s="471"/>
      <c r="W501" s="471"/>
      <c r="X501" s="471"/>
      <c r="Y501" s="471"/>
      <c r="Z501" s="305"/>
      <c r="AA501" s="305"/>
      <c r="AB501" s="305"/>
      <c r="AC501" s="305"/>
      <c r="AD501" s="305"/>
      <c r="AE501" s="131"/>
    </row>
    <row r="502" spans="8:31" ht="14.25">
      <c r="H502" s="129"/>
      <c r="I502" s="129"/>
      <c r="J502" s="129"/>
      <c r="K502" s="304"/>
      <c r="N502" s="487"/>
      <c r="O502" s="305"/>
      <c r="Q502" s="305"/>
      <c r="R502" s="305"/>
      <c r="S502" s="471"/>
      <c r="T502" s="471"/>
      <c r="U502" s="471"/>
      <c r="V502" s="471"/>
      <c r="W502" s="471"/>
      <c r="X502" s="471"/>
      <c r="Y502" s="471"/>
      <c r="Z502" s="305"/>
      <c r="AA502" s="305"/>
      <c r="AB502" s="305"/>
      <c r="AC502" s="305"/>
      <c r="AD502" s="305"/>
      <c r="AE502" s="131"/>
    </row>
    <row r="503" spans="8:31" ht="14.25">
      <c r="H503" s="129"/>
      <c r="I503" s="129"/>
      <c r="J503" s="129"/>
      <c r="K503" s="304"/>
      <c r="N503" s="487"/>
      <c r="O503" s="305"/>
      <c r="Q503" s="305"/>
      <c r="R503" s="305"/>
      <c r="S503" s="471"/>
      <c r="T503" s="471"/>
      <c r="U503" s="471"/>
      <c r="V503" s="471"/>
      <c r="W503" s="471"/>
      <c r="X503" s="471"/>
      <c r="Y503" s="471"/>
      <c r="Z503" s="305"/>
      <c r="AA503" s="305"/>
      <c r="AB503" s="305"/>
      <c r="AC503" s="305"/>
      <c r="AD503" s="305"/>
      <c r="AE503" s="131"/>
    </row>
    <row r="504" spans="8:31" ht="14.25">
      <c r="H504" s="129"/>
      <c r="I504" s="129"/>
      <c r="J504" s="129"/>
      <c r="K504" s="304"/>
      <c r="N504" s="487"/>
      <c r="O504" s="305"/>
      <c r="Q504" s="305"/>
      <c r="R504" s="305"/>
      <c r="S504" s="471"/>
      <c r="T504" s="471"/>
      <c r="U504" s="471"/>
      <c r="V504" s="471"/>
      <c r="W504" s="471"/>
      <c r="X504" s="471"/>
      <c r="Y504" s="471"/>
      <c r="Z504" s="305"/>
      <c r="AA504" s="305"/>
      <c r="AB504" s="305"/>
      <c r="AC504" s="305"/>
      <c r="AD504" s="305"/>
      <c r="AE504" s="131"/>
    </row>
    <row r="505" spans="8:31" ht="14.25">
      <c r="H505" s="129"/>
      <c r="I505" s="129"/>
      <c r="J505" s="129"/>
      <c r="K505" s="304"/>
      <c r="N505" s="487"/>
      <c r="O505" s="305"/>
      <c r="Q505" s="305"/>
      <c r="R505" s="305"/>
      <c r="S505" s="471"/>
      <c r="T505" s="471"/>
      <c r="U505" s="471"/>
      <c r="V505" s="471"/>
      <c r="W505" s="471"/>
      <c r="X505" s="471"/>
      <c r="Y505" s="471"/>
      <c r="Z505" s="305"/>
      <c r="AA505" s="305"/>
      <c r="AB505" s="305"/>
      <c r="AC505" s="305"/>
      <c r="AD505" s="305"/>
      <c r="AE505" s="131"/>
    </row>
    <row r="506" spans="8:31" ht="14.25">
      <c r="H506" s="129"/>
      <c r="I506" s="129"/>
      <c r="J506" s="129"/>
      <c r="K506" s="304"/>
      <c r="N506" s="487"/>
      <c r="O506" s="305"/>
      <c r="Q506" s="305"/>
      <c r="R506" s="305"/>
      <c r="S506" s="471"/>
      <c r="T506" s="471"/>
      <c r="U506" s="471"/>
      <c r="V506" s="471"/>
      <c r="W506" s="471"/>
      <c r="X506" s="471"/>
      <c r="Y506" s="471"/>
      <c r="Z506" s="305"/>
      <c r="AA506" s="305"/>
      <c r="AB506" s="305"/>
      <c r="AC506" s="305"/>
      <c r="AD506" s="305"/>
      <c r="AE506" s="131"/>
    </row>
    <row r="507" spans="8:31" ht="14.25">
      <c r="H507" s="129"/>
      <c r="I507" s="129"/>
      <c r="J507" s="129"/>
      <c r="K507" s="304"/>
      <c r="N507" s="487"/>
      <c r="O507" s="305"/>
      <c r="Q507" s="305"/>
      <c r="R507" s="305"/>
      <c r="S507" s="471"/>
      <c r="T507" s="471"/>
      <c r="U507" s="471"/>
      <c r="V507" s="471"/>
      <c r="W507" s="471"/>
      <c r="X507" s="471"/>
      <c r="Y507" s="471"/>
      <c r="Z507" s="305"/>
      <c r="AA507" s="305"/>
      <c r="AB507" s="305"/>
      <c r="AC507" s="305"/>
      <c r="AD507" s="305"/>
      <c r="AE507" s="131"/>
    </row>
    <row r="508" spans="8:31" ht="14.25">
      <c r="H508" s="129"/>
      <c r="I508" s="129"/>
      <c r="J508" s="129"/>
      <c r="K508" s="304"/>
      <c r="N508" s="487"/>
      <c r="O508" s="305"/>
      <c r="Q508" s="305"/>
      <c r="R508" s="305"/>
      <c r="S508" s="471"/>
      <c r="T508" s="471"/>
      <c r="U508" s="471"/>
      <c r="V508" s="471"/>
      <c r="W508" s="471"/>
      <c r="X508" s="471"/>
      <c r="Y508" s="471"/>
      <c r="Z508" s="305"/>
      <c r="AA508" s="305"/>
      <c r="AB508" s="305"/>
      <c r="AC508" s="305"/>
      <c r="AD508" s="305"/>
      <c r="AE508" s="131"/>
    </row>
    <row r="509" spans="8:31" ht="14.25">
      <c r="H509" s="129"/>
      <c r="I509" s="129"/>
      <c r="J509" s="129"/>
      <c r="K509" s="304"/>
      <c r="N509" s="487"/>
      <c r="O509" s="305"/>
      <c r="Q509" s="305"/>
      <c r="R509" s="305"/>
      <c r="S509" s="471"/>
      <c r="T509" s="471"/>
      <c r="U509" s="471"/>
      <c r="V509" s="471"/>
      <c r="W509" s="471"/>
      <c r="X509" s="471"/>
      <c r="Y509" s="471"/>
      <c r="Z509" s="305"/>
      <c r="AA509" s="305"/>
      <c r="AB509" s="305"/>
      <c r="AC509" s="305"/>
      <c r="AD509" s="305"/>
      <c r="AE509" s="131"/>
    </row>
    <row r="510" spans="8:31" ht="14.25">
      <c r="H510" s="129"/>
      <c r="I510" s="129"/>
      <c r="J510" s="129"/>
      <c r="K510" s="304"/>
      <c r="N510" s="487"/>
      <c r="O510" s="305"/>
      <c r="Q510" s="305"/>
      <c r="R510" s="305"/>
      <c r="S510" s="471"/>
      <c r="T510" s="471"/>
      <c r="U510" s="471"/>
      <c r="V510" s="471"/>
      <c r="W510" s="471"/>
      <c r="X510" s="471"/>
      <c r="Y510" s="471"/>
      <c r="Z510" s="305"/>
      <c r="AA510" s="305"/>
      <c r="AB510" s="305"/>
      <c r="AC510" s="305"/>
      <c r="AD510" s="305"/>
      <c r="AE510" s="131"/>
    </row>
    <row r="511" spans="8:31" ht="14.25">
      <c r="H511" s="129"/>
      <c r="I511" s="129"/>
      <c r="J511" s="129"/>
      <c r="K511" s="304"/>
      <c r="N511" s="487"/>
      <c r="O511" s="305"/>
      <c r="Q511" s="305"/>
      <c r="R511" s="305"/>
      <c r="S511" s="471"/>
      <c r="T511" s="471"/>
      <c r="U511" s="471"/>
      <c r="V511" s="471"/>
      <c r="W511" s="471"/>
      <c r="X511" s="471"/>
      <c r="Y511" s="471"/>
      <c r="Z511" s="305"/>
      <c r="AA511" s="305"/>
      <c r="AB511" s="305"/>
      <c r="AC511" s="305"/>
      <c r="AD511" s="305"/>
      <c r="AE511" s="131"/>
    </row>
    <row r="512" spans="8:31" ht="14.25">
      <c r="H512" s="129"/>
      <c r="I512" s="129"/>
      <c r="J512" s="129"/>
      <c r="K512" s="304"/>
      <c r="N512" s="487"/>
      <c r="O512" s="305"/>
      <c r="Q512" s="305"/>
      <c r="R512" s="305"/>
      <c r="S512" s="471"/>
      <c r="T512" s="471"/>
      <c r="U512" s="471"/>
      <c r="V512" s="471"/>
      <c r="W512" s="471"/>
      <c r="X512" s="471"/>
      <c r="Y512" s="471"/>
      <c r="Z512" s="305"/>
      <c r="AA512" s="305"/>
      <c r="AB512" s="305"/>
      <c r="AC512" s="305"/>
      <c r="AD512" s="305"/>
      <c r="AE512" s="131"/>
    </row>
    <row r="513" spans="8:31" ht="14.25">
      <c r="H513" s="129"/>
      <c r="I513" s="129"/>
      <c r="J513" s="129"/>
      <c r="K513" s="304"/>
      <c r="N513" s="487"/>
      <c r="O513" s="305"/>
      <c r="Q513" s="305"/>
      <c r="R513" s="305"/>
      <c r="S513" s="471"/>
      <c r="T513" s="471"/>
      <c r="U513" s="471"/>
      <c r="V513" s="471"/>
      <c r="W513" s="471"/>
      <c r="X513" s="471"/>
      <c r="Y513" s="471"/>
      <c r="Z513" s="305"/>
      <c r="AA513" s="305"/>
      <c r="AB513" s="305"/>
      <c r="AC513" s="305"/>
      <c r="AD513" s="305"/>
      <c r="AE513" s="131"/>
    </row>
    <row r="514" spans="8:31" ht="14.25">
      <c r="H514" s="129"/>
      <c r="I514" s="129"/>
      <c r="J514" s="129"/>
      <c r="K514" s="304"/>
      <c r="N514" s="487"/>
      <c r="O514" s="305"/>
      <c r="Q514" s="305"/>
      <c r="R514" s="305"/>
      <c r="S514" s="471"/>
      <c r="T514" s="471"/>
      <c r="U514" s="471"/>
      <c r="V514" s="471"/>
      <c r="W514" s="471"/>
      <c r="X514" s="471"/>
      <c r="Y514" s="471"/>
      <c r="Z514" s="305"/>
      <c r="AA514" s="305"/>
      <c r="AB514" s="305"/>
      <c r="AC514" s="305"/>
      <c r="AD514" s="305"/>
      <c r="AE514" s="131"/>
    </row>
    <row r="515" spans="8:31" ht="14.25">
      <c r="H515" s="129"/>
      <c r="I515" s="129"/>
      <c r="J515" s="129"/>
      <c r="K515" s="304"/>
      <c r="N515" s="487"/>
      <c r="O515" s="305"/>
      <c r="Q515" s="305"/>
      <c r="R515" s="305"/>
      <c r="S515" s="471"/>
      <c r="T515" s="471"/>
      <c r="U515" s="471"/>
      <c r="V515" s="471"/>
      <c r="W515" s="471"/>
      <c r="X515" s="471"/>
      <c r="Y515" s="471"/>
      <c r="Z515" s="305"/>
      <c r="AA515" s="305"/>
      <c r="AB515" s="305"/>
      <c r="AC515" s="305"/>
      <c r="AD515" s="305"/>
      <c r="AE515" s="131"/>
    </row>
    <row r="516" spans="8:31" ht="14.25">
      <c r="H516" s="129"/>
      <c r="I516" s="129"/>
      <c r="J516" s="129"/>
      <c r="K516" s="304"/>
      <c r="N516" s="487"/>
      <c r="O516" s="305"/>
      <c r="Q516" s="305"/>
      <c r="R516" s="305"/>
      <c r="S516" s="471"/>
      <c r="T516" s="471"/>
      <c r="U516" s="471"/>
      <c r="V516" s="471"/>
      <c r="W516" s="471"/>
      <c r="X516" s="471"/>
      <c r="Y516" s="471"/>
      <c r="Z516" s="305"/>
      <c r="AA516" s="305"/>
      <c r="AB516" s="305"/>
      <c r="AC516" s="305"/>
      <c r="AD516" s="305"/>
      <c r="AE516" s="131"/>
    </row>
    <row r="517" spans="8:31" ht="14.25">
      <c r="H517" s="129"/>
      <c r="I517" s="129"/>
      <c r="J517" s="129"/>
      <c r="K517" s="304"/>
      <c r="N517" s="487"/>
      <c r="O517" s="305"/>
      <c r="Q517" s="305"/>
      <c r="R517" s="305"/>
      <c r="S517" s="471"/>
      <c r="T517" s="471"/>
      <c r="U517" s="471"/>
      <c r="V517" s="471"/>
      <c r="W517" s="471"/>
      <c r="X517" s="471"/>
      <c r="Y517" s="471"/>
      <c r="Z517" s="305"/>
      <c r="AA517" s="305"/>
      <c r="AB517" s="305"/>
      <c r="AC517" s="305"/>
      <c r="AD517" s="305"/>
      <c r="AE517" s="131"/>
    </row>
    <row r="518" spans="8:31" ht="14.25">
      <c r="H518" s="129"/>
      <c r="I518" s="129"/>
      <c r="J518" s="129"/>
      <c r="K518" s="304"/>
      <c r="N518" s="487"/>
      <c r="O518" s="305"/>
      <c r="Q518" s="305"/>
      <c r="R518" s="305"/>
      <c r="S518" s="471"/>
      <c r="T518" s="471"/>
      <c r="U518" s="471"/>
      <c r="V518" s="471"/>
      <c r="W518" s="471"/>
      <c r="X518" s="471"/>
      <c r="Y518" s="471"/>
      <c r="Z518" s="305"/>
      <c r="AA518" s="305"/>
      <c r="AB518" s="305"/>
      <c r="AC518" s="305"/>
      <c r="AD518" s="305"/>
      <c r="AE518" s="131"/>
    </row>
    <row r="519" spans="8:31" ht="14.25">
      <c r="H519" s="129"/>
      <c r="I519" s="129"/>
      <c r="J519" s="129"/>
      <c r="K519" s="304"/>
      <c r="N519" s="487"/>
      <c r="O519" s="305"/>
      <c r="Q519" s="305"/>
      <c r="R519" s="305"/>
      <c r="S519" s="471"/>
      <c r="T519" s="471"/>
      <c r="U519" s="471"/>
      <c r="V519" s="471"/>
      <c r="W519" s="471"/>
      <c r="X519" s="471"/>
      <c r="Y519" s="471"/>
      <c r="Z519" s="305"/>
      <c r="AA519" s="305"/>
      <c r="AB519" s="305"/>
      <c r="AC519" s="305"/>
      <c r="AD519" s="305"/>
      <c r="AE519" s="131"/>
    </row>
    <row r="520" spans="8:31" ht="14.25">
      <c r="H520" s="129"/>
      <c r="I520" s="129"/>
      <c r="J520" s="129"/>
      <c r="K520" s="304"/>
      <c r="N520" s="487"/>
      <c r="O520" s="305"/>
      <c r="Q520" s="305"/>
      <c r="R520" s="305"/>
      <c r="S520" s="471"/>
      <c r="T520" s="471"/>
      <c r="U520" s="471"/>
      <c r="V520" s="471"/>
      <c r="W520" s="471"/>
      <c r="X520" s="471"/>
      <c r="Y520" s="471"/>
      <c r="Z520" s="305"/>
      <c r="AA520" s="305"/>
      <c r="AB520" s="305"/>
      <c r="AC520" s="305"/>
      <c r="AD520" s="305"/>
      <c r="AE520" s="131"/>
    </row>
    <row r="521" spans="8:31" ht="14.25">
      <c r="H521" s="129"/>
      <c r="I521" s="129"/>
      <c r="J521" s="129"/>
      <c r="K521" s="304"/>
      <c r="N521" s="487"/>
      <c r="O521" s="305"/>
      <c r="Q521" s="305"/>
      <c r="R521" s="305"/>
      <c r="S521" s="471"/>
      <c r="T521" s="471"/>
      <c r="U521" s="471"/>
      <c r="V521" s="471"/>
      <c r="W521" s="471"/>
      <c r="X521" s="471"/>
      <c r="Y521" s="471"/>
      <c r="Z521" s="305"/>
      <c r="AA521" s="305"/>
      <c r="AB521" s="305"/>
      <c r="AC521" s="305"/>
      <c r="AD521" s="305"/>
      <c r="AE521" s="131"/>
    </row>
    <row r="522" spans="8:31" ht="14.25">
      <c r="H522" s="129"/>
      <c r="I522" s="129"/>
      <c r="J522" s="129"/>
      <c r="K522" s="304"/>
      <c r="N522" s="487"/>
      <c r="O522" s="305"/>
      <c r="Q522" s="305"/>
      <c r="R522" s="305"/>
      <c r="S522" s="471"/>
      <c r="T522" s="471"/>
      <c r="U522" s="471"/>
      <c r="V522" s="471"/>
      <c r="W522" s="471"/>
      <c r="X522" s="471"/>
      <c r="Y522" s="471"/>
      <c r="Z522" s="305"/>
      <c r="AA522" s="305"/>
      <c r="AB522" s="305"/>
      <c r="AC522" s="305"/>
      <c r="AD522" s="305"/>
      <c r="AE522" s="131"/>
    </row>
    <row r="523" spans="8:31" ht="14.25">
      <c r="H523" s="129"/>
      <c r="I523" s="129"/>
      <c r="J523" s="129"/>
      <c r="K523" s="304"/>
      <c r="N523" s="487"/>
      <c r="O523" s="305"/>
      <c r="Q523" s="305"/>
      <c r="R523" s="305"/>
      <c r="S523" s="471"/>
      <c r="T523" s="471"/>
      <c r="U523" s="471"/>
      <c r="V523" s="471"/>
      <c r="W523" s="471"/>
      <c r="X523" s="471"/>
      <c r="Y523" s="471"/>
      <c r="Z523" s="305"/>
      <c r="AA523" s="305"/>
      <c r="AB523" s="305"/>
      <c r="AC523" s="305"/>
      <c r="AD523" s="305"/>
      <c r="AE523" s="131"/>
    </row>
    <row r="524" spans="8:31" ht="14.25">
      <c r="H524" s="129"/>
      <c r="I524" s="129"/>
      <c r="J524" s="129"/>
      <c r="K524" s="304"/>
      <c r="N524" s="487"/>
      <c r="O524" s="305"/>
      <c r="Q524" s="305"/>
      <c r="R524" s="305"/>
      <c r="S524" s="471"/>
      <c r="T524" s="471"/>
      <c r="U524" s="471"/>
      <c r="V524" s="471"/>
      <c r="W524" s="471"/>
      <c r="X524" s="471"/>
      <c r="Y524" s="471"/>
      <c r="Z524" s="305"/>
      <c r="AA524" s="305"/>
      <c r="AB524" s="305"/>
      <c r="AC524" s="305"/>
      <c r="AD524" s="305"/>
      <c r="AE524" s="131"/>
    </row>
    <row r="525" spans="8:31" ht="14.25">
      <c r="H525" s="129"/>
      <c r="I525" s="129"/>
      <c r="J525" s="129"/>
      <c r="K525" s="304"/>
      <c r="N525" s="487"/>
      <c r="O525" s="305"/>
      <c r="Q525" s="305"/>
      <c r="R525" s="305"/>
      <c r="S525" s="471"/>
      <c r="T525" s="471"/>
      <c r="U525" s="471"/>
      <c r="V525" s="471"/>
      <c r="W525" s="471"/>
      <c r="X525" s="471"/>
      <c r="Y525" s="471"/>
      <c r="Z525" s="305"/>
      <c r="AA525" s="305"/>
      <c r="AB525" s="305"/>
      <c r="AC525" s="305"/>
      <c r="AD525" s="305"/>
      <c r="AE525" s="131"/>
    </row>
    <row r="526" spans="8:31" ht="14.25">
      <c r="H526" s="129"/>
      <c r="I526" s="129"/>
      <c r="J526" s="129"/>
      <c r="K526" s="304"/>
      <c r="N526" s="487"/>
      <c r="O526" s="305"/>
      <c r="Q526" s="305"/>
      <c r="R526" s="305"/>
      <c r="S526" s="471"/>
      <c r="T526" s="471"/>
      <c r="U526" s="471"/>
      <c r="V526" s="471"/>
      <c r="W526" s="471"/>
      <c r="X526" s="471"/>
      <c r="Y526" s="471"/>
      <c r="Z526" s="305"/>
      <c r="AA526" s="305"/>
      <c r="AB526" s="305"/>
      <c r="AC526" s="305"/>
      <c r="AD526" s="305"/>
      <c r="AE526" s="131"/>
    </row>
    <row r="527" spans="8:31" ht="14.25">
      <c r="H527" s="129"/>
      <c r="I527" s="129"/>
      <c r="J527" s="129"/>
      <c r="K527" s="304"/>
      <c r="N527" s="487"/>
      <c r="O527" s="305"/>
      <c r="Q527" s="305"/>
      <c r="R527" s="305"/>
      <c r="S527" s="471"/>
      <c r="T527" s="471"/>
      <c r="U527" s="471"/>
      <c r="V527" s="471"/>
      <c r="W527" s="471"/>
      <c r="X527" s="471"/>
      <c r="Y527" s="471"/>
      <c r="Z527" s="305"/>
      <c r="AA527" s="305"/>
      <c r="AB527" s="305"/>
      <c r="AC527" s="305"/>
      <c r="AD527" s="305"/>
      <c r="AE527" s="131"/>
    </row>
    <row r="528" spans="8:31" ht="14.25">
      <c r="H528" s="129"/>
      <c r="I528" s="129"/>
      <c r="J528" s="129"/>
      <c r="K528" s="304"/>
      <c r="N528" s="487"/>
      <c r="O528" s="305"/>
      <c r="Q528" s="305"/>
      <c r="R528" s="305"/>
      <c r="S528" s="471"/>
      <c r="T528" s="471"/>
      <c r="U528" s="471"/>
      <c r="V528" s="471"/>
      <c r="W528" s="471"/>
      <c r="X528" s="471"/>
      <c r="Y528" s="471"/>
      <c r="Z528" s="305"/>
      <c r="AA528" s="305"/>
      <c r="AB528" s="305"/>
      <c r="AC528" s="305"/>
      <c r="AD528" s="305"/>
      <c r="AE528" s="131"/>
    </row>
    <row r="529" spans="8:31" ht="14.25">
      <c r="H529" s="129"/>
      <c r="I529" s="129"/>
      <c r="J529" s="129"/>
      <c r="K529" s="304"/>
      <c r="N529" s="487"/>
      <c r="O529" s="305"/>
      <c r="Q529" s="305"/>
      <c r="R529" s="305"/>
      <c r="S529" s="471"/>
      <c r="T529" s="471"/>
      <c r="U529" s="471"/>
      <c r="V529" s="471"/>
      <c r="W529" s="471"/>
      <c r="X529" s="471"/>
      <c r="Y529" s="471"/>
      <c r="Z529" s="305"/>
      <c r="AA529" s="305"/>
      <c r="AB529" s="305"/>
      <c r="AC529" s="305"/>
      <c r="AD529" s="305"/>
      <c r="AE529" s="131"/>
    </row>
    <row r="530" spans="8:31" ht="14.25">
      <c r="H530" s="129"/>
      <c r="I530" s="129"/>
      <c r="J530" s="129"/>
      <c r="K530" s="304"/>
      <c r="N530" s="487"/>
      <c r="O530" s="305"/>
      <c r="Q530" s="305"/>
      <c r="R530" s="305"/>
      <c r="S530" s="471"/>
      <c r="T530" s="471"/>
      <c r="U530" s="471"/>
      <c r="V530" s="471"/>
      <c r="W530" s="471"/>
      <c r="X530" s="471"/>
      <c r="Y530" s="471"/>
      <c r="Z530" s="305"/>
      <c r="AA530" s="305"/>
      <c r="AB530" s="305"/>
      <c r="AC530" s="305"/>
      <c r="AD530" s="305"/>
      <c r="AE530" s="131"/>
    </row>
    <row r="531" spans="8:31" ht="14.25">
      <c r="H531" s="129"/>
      <c r="I531" s="129"/>
      <c r="J531" s="129"/>
      <c r="K531" s="304"/>
      <c r="N531" s="487"/>
      <c r="O531" s="305"/>
      <c r="Q531" s="305"/>
      <c r="R531" s="305"/>
      <c r="S531" s="471"/>
      <c r="T531" s="471"/>
      <c r="U531" s="471"/>
      <c r="V531" s="471"/>
      <c r="W531" s="471"/>
      <c r="X531" s="471"/>
      <c r="Y531" s="471"/>
      <c r="Z531" s="305"/>
      <c r="AA531" s="305"/>
      <c r="AB531" s="305"/>
      <c r="AC531" s="305"/>
      <c r="AD531" s="305"/>
      <c r="AE531" s="131"/>
    </row>
    <row r="532" spans="8:31" ht="14.25">
      <c r="H532" s="129"/>
      <c r="I532" s="129"/>
      <c r="J532" s="129"/>
      <c r="K532" s="304"/>
      <c r="N532" s="487"/>
      <c r="O532" s="305"/>
      <c r="Q532" s="305"/>
      <c r="R532" s="305"/>
      <c r="S532" s="471"/>
      <c r="T532" s="471"/>
      <c r="U532" s="471"/>
      <c r="V532" s="471"/>
      <c r="W532" s="471"/>
      <c r="X532" s="471"/>
      <c r="Y532" s="471"/>
      <c r="Z532" s="305"/>
      <c r="AA532" s="305"/>
      <c r="AB532" s="305"/>
      <c r="AC532" s="305"/>
      <c r="AD532" s="305"/>
      <c r="AE532" s="131"/>
    </row>
    <row r="533" spans="8:31" ht="14.25">
      <c r="H533" s="129"/>
      <c r="I533" s="129"/>
      <c r="J533" s="129"/>
      <c r="K533" s="304"/>
      <c r="N533" s="487"/>
      <c r="O533" s="305"/>
      <c r="Q533" s="305"/>
      <c r="R533" s="305"/>
      <c r="S533" s="471"/>
      <c r="T533" s="471"/>
      <c r="U533" s="471"/>
      <c r="V533" s="471"/>
      <c r="W533" s="471"/>
      <c r="X533" s="471"/>
      <c r="Y533" s="471"/>
      <c r="Z533" s="305"/>
      <c r="AA533" s="305"/>
      <c r="AB533" s="305"/>
      <c r="AC533" s="305"/>
      <c r="AD533" s="305"/>
      <c r="AE533" s="131"/>
    </row>
    <row r="534" spans="8:31" ht="14.25">
      <c r="H534" s="129"/>
      <c r="I534" s="129"/>
      <c r="J534" s="129"/>
      <c r="K534" s="304"/>
      <c r="N534" s="487"/>
      <c r="O534" s="305"/>
      <c r="Q534" s="305"/>
      <c r="R534" s="305"/>
      <c r="S534" s="471"/>
      <c r="T534" s="471"/>
      <c r="U534" s="471"/>
      <c r="V534" s="471"/>
      <c r="W534" s="471"/>
      <c r="X534" s="471"/>
      <c r="Y534" s="471"/>
      <c r="Z534" s="305"/>
      <c r="AA534" s="305"/>
      <c r="AB534" s="305"/>
      <c r="AC534" s="305"/>
      <c r="AD534" s="305"/>
      <c r="AE534" s="131"/>
    </row>
    <row r="535" spans="8:31" ht="14.25">
      <c r="H535" s="129"/>
      <c r="I535" s="129"/>
      <c r="J535" s="129"/>
      <c r="K535" s="304"/>
      <c r="N535" s="487"/>
      <c r="O535" s="305"/>
      <c r="Q535" s="305"/>
      <c r="R535" s="305"/>
      <c r="S535" s="471"/>
      <c r="T535" s="471"/>
      <c r="U535" s="471"/>
      <c r="V535" s="471"/>
      <c r="W535" s="471"/>
      <c r="X535" s="471"/>
      <c r="Y535" s="471"/>
      <c r="Z535" s="305"/>
      <c r="AA535" s="305"/>
      <c r="AB535" s="305"/>
      <c r="AC535" s="305"/>
      <c r="AD535" s="305"/>
      <c r="AE535" s="131"/>
    </row>
    <row r="536" spans="8:31" ht="14.25">
      <c r="H536" s="129"/>
      <c r="I536" s="129"/>
      <c r="J536" s="129"/>
      <c r="K536" s="304"/>
      <c r="N536" s="487"/>
      <c r="O536" s="305"/>
      <c r="Q536" s="305"/>
      <c r="R536" s="305"/>
      <c r="S536" s="471"/>
      <c r="T536" s="471"/>
      <c r="U536" s="471"/>
      <c r="V536" s="471"/>
      <c r="W536" s="471"/>
      <c r="X536" s="471"/>
      <c r="Y536" s="471"/>
      <c r="Z536" s="305"/>
      <c r="AA536" s="305"/>
      <c r="AB536" s="305"/>
      <c r="AC536" s="305"/>
      <c r="AD536" s="305"/>
      <c r="AE536" s="131"/>
    </row>
    <row r="537" spans="8:31" ht="14.25">
      <c r="H537" s="129"/>
      <c r="I537" s="129"/>
      <c r="J537" s="129"/>
      <c r="K537" s="304"/>
      <c r="N537" s="487"/>
      <c r="O537" s="305"/>
      <c r="Q537" s="305"/>
      <c r="R537" s="305"/>
      <c r="S537" s="471"/>
      <c r="T537" s="471"/>
      <c r="U537" s="471"/>
      <c r="V537" s="471"/>
      <c r="W537" s="471"/>
      <c r="X537" s="471"/>
      <c r="Y537" s="471"/>
      <c r="Z537" s="305"/>
      <c r="AA537" s="305"/>
      <c r="AB537" s="305"/>
      <c r="AC537" s="305"/>
      <c r="AD537" s="305"/>
      <c r="AE537" s="131"/>
    </row>
    <row r="538" spans="8:31" ht="14.25">
      <c r="H538" s="129"/>
      <c r="I538" s="129"/>
      <c r="J538" s="129"/>
      <c r="K538" s="304"/>
      <c r="N538" s="487"/>
      <c r="O538" s="305"/>
      <c r="Q538" s="305"/>
      <c r="R538" s="305"/>
      <c r="S538" s="471"/>
      <c r="T538" s="471"/>
      <c r="U538" s="471"/>
      <c r="V538" s="471"/>
      <c r="W538" s="471"/>
      <c r="X538" s="471"/>
      <c r="Y538" s="471"/>
      <c r="Z538" s="305"/>
      <c r="AA538" s="305"/>
      <c r="AB538" s="305"/>
      <c r="AC538" s="305"/>
      <c r="AD538" s="305"/>
      <c r="AE538" s="131"/>
    </row>
    <row r="539" spans="8:31" ht="14.25">
      <c r="H539" s="129"/>
      <c r="I539" s="129"/>
      <c r="J539" s="129"/>
      <c r="K539" s="304"/>
      <c r="N539" s="487"/>
      <c r="O539" s="305"/>
      <c r="Q539" s="305"/>
      <c r="R539" s="305"/>
      <c r="S539" s="471"/>
      <c r="T539" s="471"/>
      <c r="U539" s="471"/>
      <c r="V539" s="471"/>
      <c r="W539" s="471"/>
      <c r="X539" s="471"/>
      <c r="Y539" s="471"/>
      <c r="Z539" s="305"/>
      <c r="AA539" s="305"/>
      <c r="AB539" s="305"/>
      <c r="AC539" s="305"/>
      <c r="AD539" s="305"/>
      <c r="AE539" s="131"/>
    </row>
    <row r="540" spans="8:31" ht="14.25">
      <c r="H540" s="129"/>
      <c r="I540" s="129"/>
      <c r="J540" s="129"/>
      <c r="K540" s="304"/>
      <c r="N540" s="487"/>
      <c r="O540" s="305"/>
      <c r="Q540" s="305"/>
      <c r="R540" s="305"/>
      <c r="S540" s="471"/>
      <c r="T540" s="471"/>
      <c r="U540" s="471"/>
      <c r="V540" s="471"/>
      <c r="W540" s="471"/>
      <c r="X540" s="471"/>
      <c r="Y540" s="471"/>
      <c r="Z540" s="305"/>
      <c r="AA540" s="305"/>
      <c r="AB540" s="305"/>
      <c r="AC540" s="305"/>
      <c r="AD540" s="305"/>
      <c r="AE540" s="131"/>
    </row>
    <row r="541" spans="8:31" ht="14.25">
      <c r="H541" s="129"/>
      <c r="I541" s="129"/>
      <c r="J541" s="129"/>
      <c r="K541" s="304"/>
      <c r="N541" s="487"/>
      <c r="O541" s="305"/>
      <c r="Q541" s="305"/>
      <c r="R541" s="305"/>
      <c r="S541" s="471"/>
      <c r="T541" s="471"/>
      <c r="U541" s="471"/>
      <c r="V541" s="471"/>
      <c r="W541" s="471"/>
      <c r="X541" s="471"/>
      <c r="Y541" s="471"/>
      <c r="Z541" s="305"/>
      <c r="AA541" s="305"/>
      <c r="AB541" s="305"/>
      <c r="AC541" s="305"/>
      <c r="AD541" s="305"/>
      <c r="AE541" s="131"/>
    </row>
    <row r="542" spans="8:31" ht="14.25">
      <c r="H542" s="129"/>
      <c r="I542" s="129"/>
      <c r="J542" s="129"/>
      <c r="K542" s="304"/>
      <c r="N542" s="487"/>
      <c r="O542" s="305"/>
      <c r="Q542" s="305"/>
      <c r="R542" s="305"/>
      <c r="S542" s="471"/>
      <c r="T542" s="471"/>
      <c r="U542" s="471"/>
      <c r="V542" s="471"/>
      <c r="W542" s="471"/>
      <c r="X542" s="471"/>
      <c r="Y542" s="471"/>
      <c r="Z542" s="305"/>
      <c r="AA542" s="305"/>
      <c r="AB542" s="305"/>
      <c r="AC542" s="305"/>
      <c r="AD542" s="305"/>
      <c r="AE542" s="131"/>
    </row>
    <row r="543" spans="8:31" ht="14.25">
      <c r="H543" s="129"/>
      <c r="I543" s="129"/>
      <c r="J543" s="129"/>
      <c r="K543" s="304"/>
      <c r="N543" s="487"/>
      <c r="O543" s="305"/>
      <c r="Q543" s="305"/>
      <c r="R543" s="305"/>
      <c r="S543" s="471"/>
      <c r="T543" s="471"/>
      <c r="U543" s="471"/>
      <c r="V543" s="471"/>
      <c r="W543" s="471"/>
      <c r="X543" s="471"/>
      <c r="Y543" s="471"/>
      <c r="Z543" s="305"/>
      <c r="AA543" s="305"/>
      <c r="AB543" s="305"/>
      <c r="AC543" s="305"/>
      <c r="AD543" s="305"/>
      <c r="AE543" s="131"/>
    </row>
    <row r="544" spans="8:31" ht="14.25">
      <c r="H544" s="129"/>
      <c r="I544" s="129"/>
      <c r="J544" s="129"/>
      <c r="K544" s="304"/>
      <c r="N544" s="487"/>
      <c r="O544" s="305"/>
      <c r="Q544" s="305"/>
      <c r="R544" s="305"/>
      <c r="S544" s="471"/>
      <c r="T544" s="471"/>
      <c r="U544" s="471"/>
      <c r="V544" s="471"/>
      <c r="W544" s="471"/>
      <c r="X544" s="471"/>
      <c r="Y544" s="471"/>
      <c r="Z544" s="305"/>
      <c r="AA544" s="305"/>
      <c r="AB544" s="305"/>
      <c r="AC544" s="305"/>
      <c r="AD544" s="305"/>
      <c r="AE544" s="131"/>
    </row>
    <row r="545" spans="8:31" ht="14.25">
      <c r="H545" s="129"/>
      <c r="I545" s="129"/>
      <c r="J545" s="129"/>
      <c r="K545" s="304"/>
      <c r="N545" s="487"/>
      <c r="O545" s="305"/>
      <c r="Q545" s="305"/>
      <c r="R545" s="305"/>
      <c r="S545" s="471"/>
      <c r="T545" s="471"/>
      <c r="U545" s="471"/>
      <c r="V545" s="471"/>
      <c r="W545" s="471"/>
      <c r="X545" s="471"/>
      <c r="Y545" s="471"/>
      <c r="Z545" s="305"/>
      <c r="AA545" s="305"/>
      <c r="AB545" s="305"/>
      <c r="AC545" s="305"/>
      <c r="AD545" s="305"/>
      <c r="AE545" s="131"/>
    </row>
    <row r="546" spans="8:31" ht="14.25">
      <c r="H546" s="129"/>
      <c r="I546" s="129"/>
      <c r="J546" s="129"/>
      <c r="K546" s="304"/>
      <c r="N546" s="487"/>
      <c r="O546" s="305"/>
      <c r="Q546" s="305"/>
      <c r="R546" s="305"/>
      <c r="S546" s="471"/>
      <c r="T546" s="471"/>
      <c r="U546" s="471"/>
      <c r="V546" s="471"/>
      <c r="W546" s="471"/>
      <c r="X546" s="471"/>
      <c r="Y546" s="471"/>
      <c r="Z546" s="305"/>
      <c r="AA546" s="305"/>
      <c r="AB546" s="305"/>
      <c r="AC546" s="305"/>
      <c r="AD546" s="305"/>
      <c r="AE546" s="131"/>
    </row>
    <row r="547" spans="8:31" ht="14.25">
      <c r="H547" s="129"/>
      <c r="I547" s="129"/>
      <c r="J547" s="129"/>
      <c r="K547" s="304"/>
      <c r="N547" s="487"/>
      <c r="O547" s="305"/>
      <c r="Q547" s="305"/>
      <c r="R547" s="305"/>
      <c r="S547" s="471"/>
      <c r="T547" s="471"/>
      <c r="U547" s="471"/>
      <c r="V547" s="471"/>
      <c r="W547" s="471"/>
      <c r="X547" s="471"/>
      <c r="Y547" s="471"/>
      <c r="Z547" s="305"/>
      <c r="AA547" s="305"/>
      <c r="AB547" s="305"/>
      <c r="AC547" s="305"/>
      <c r="AD547" s="305"/>
      <c r="AE547" s="131"/>
    </row>
    <row r="548" spans="8:31" ht="14.25">
      <c r="H548" s="129"/>
      <c r="I548" s="129"/>
      <c r="J548" s="129"/>
      <c r="K548" s="304"/>
      <c r="N548" s="487"/>
      <c r="O548" s="305"/>
      <c r="Q548" s="305"/>
      <c r="R548" s="305"/>
      <c r="S548" s="471"/>
      <c r="T548" s="471"/>
      <c r="U548" s="471"/>
      <c r="V548" s="471"/>
      <c r="W548" s="471"/>
      <c r="X548" s="471"/>
      <c r="Y548" s="471"/>
      <c r="Z548" s="305"/>
      <c r="AA548" s="305"/>
      <c r="AB548" s="305"/>
      <c r="AC548" s="305"/>
      <c r="AD548" s="305"/>
      <c r="AE548" s="131"/>
    </row>
    <row r="549" spans="8:31" ht="14.25">
      <c r="H549" s="129"/>
      <c r="I549" s="129"/>
      <c r="J549" s="129"/>
      <c r="K549" s="304"/>
      <c r="N549" s="487"/>
      <c r="O549" s="305"/>
      <c r="Q549" s="305"/>
      <c r="R549" s="305"/>
      <c r="S549" s="471"/>
      <c r="T549" s="471"/>
      <c r="U549" s="471"/>
      <c r="V549" s="471"/>
      <c r="W549" s="471"/>
      <c r="X549" s="471"/>
      <c r="Y549" s="471"/>
      <c r="Z549" s="305"/>
      <c r="AA549" s="305"/>
      <c r="AB549" s="305"/>
      <c r="AC549" s="305"/>
      <c r="AD549" s="305"/>
      <c r="AE549" s="131"/>
    </row>
    <row r="550" spans="8:31" ht="14.25">
      <c r="H550" s="129"/>
      <c r="I550" s="129"/>
      <c r="J550" s="129"/>
      <c r="K550" s="304"/>
      <c r="N550" s="487"/>
      <c r="O550" s="305"/>
      <c r="Q550" s="305"/>
      <c r="R550" s="305"/>
      <c r="S550" s="471"/>
      <c r="T550" s="471"/>
      <c r="U550" s="471"/>
      <c r="V550" s="471"/>
      <c r="W550" s="471"/>
      <c r="X550" s="471"/>
      <c r="Y550" s="471"/>
      <c r="Z550" s="305"/>
      <c r="AA550" s="305"/>
      <c r="AB550" s="305"/>
      <c r="AC550" s="305"/>
      <c r="AD550" s="305"/>
      <c r="AE550" s="131"/>
    </row>
    <row r="551" spans="8:31" ht="14.25">
      <c r="H551" s="129"/>
      <c r="I551" s="129"/>
      <c r="J551" s="129"/>
      <c r="K551" s="304"/>
      <c r="N551" s="487"/>
      <c r="O551" s="305"/>
      <c r="Q551" s="305"/>
      <c r="R551" s="305"/>
      <c r="S551" s="471"/>
      <c r="T551" s="471"/>
      <c r="U551" s="471"/>
      <c r="V551" s="471"/>
      <c r="W551" s="471"/>
      <c r="X551" s="471"/>
      <c r="Y551" s="471"/>
      <c r="Z551" s="305"/>
      <c r="AA551" s="305"/>
      <c r="AB551" s="305"/>
      <c r="AC551" s="305"/>
      <c r="AD551" s="305"/>
      <c r="AE551" s="131"/>
    </row>
    <row r="552" spans="8:31" ht="14.25">
      <c r="H552" s="129"/>
      <c r="I552" s="129"/>
      <c r="J552" s="129"/>
      <c r="K552" s="304"/>
      <c r="N552" s="487"/>
      <c r="O552" s="305"/>
      <c r="Q552" s="305"/>
      <c r="R552" s="305"/>
      <c r="S552" s="471"/>
      <c r="T552" s="471"/>
      <c r="U552" s="471"/>
      <c r="V552" s="471"/>
      <c r="W552" s="471"/>
      <c r="X552" s="471"/>
      <c r="Y552" s="471"/>
      <c r="Z552" s="305"/>
      <c r="AA552" s="305"/>
      <c r="AB552" s="305"/>
      <c r="AC552" s="305"/>
      <c r="AD552" s="305"/>
      <c r="AE552" s="131"/>
    </row>
    <row r="553" spans="8:31" ht="14.25">
      <c r="H553" s="129"/>
      <c r="I553" s="129"/>
      <c r="J553" s="129"/>
      <c r="K553" s="304"/>
      <c r="N553" s="487"/>
      <c r="O553" s="305"/>
      <c r="Q553" s="305"/>
      <c r="R553" s="305"/>
      <c r="S553" s="471"/>
      <c r="T553" s="471"/>
      <c r="U553" s="471"/>
      <c r="V553" s="471"/>
      <c r="W553" s="471"/>
      <c r="X553" s="471"/>
      <c r="Y553" s="471"/>
      <c r="Z553" s="305"/>
      <c r="AA553" s="305"/>
      <c r="AB553" s="305"/>
      <c r="AC553" s="305"/>
      <c r="AD553" s="305"/>
      <c r="AE553" s="131"/>
    </row>
    <row r="554" spans="8:31" ht="14.25">
      <c r="H554" s="129"/>
      <c r="I554" s="129"/>
      <c r="J554" s="129"/>
      <c r="K554" s="304"/>
      <c r="N554" s="487"/>
      <c r="O554" s="305"/>
      <c r="Q554" s="305"/>
      <c r="R554" s="305"/>
      <c r="S554" s="471"/>
      <c r="T554" s="471"/>
      <c r="U554" s="471"/>
      <c r="V554" s="471"/>
      <c r="W554" s="471"/>
      <c r="X554" s="471"/>
      <c r="Y554" s="471"/>
      <c r="Z554" s="305"/>
      <c r="AA554" s="305"/>
      <c r="AB554" s="305"/>
      <c r="AC554" s="305"/>
      <c r="AD554" s="305"/>
      <c r="AE554" s="131"/>
    </row>
    <row r="555" spans="8:31" ht="14.25">
      <c r="H555" s="129"/>
      <c r="I555" s="129"/>
      <c r="J555" s="129"/>
      <c r="K555" s="304"/>
      <c r="N555" s="487"/>
      <c r="O555" s="305"/>
      <c r="Q555" s="305"/>
      <c r="R555" s="305"/>
      <c r="S555" s="471"/>
      <c r="T555" s="471"/>
      <c r="U555" s="471"/>
      <c r="V555" s="471"/>
      <c r="W555" s="471"/>
      <c r="X555" s="471"/>
      <c r="Y555" s="471"/>
      <c r="Z555" s="305"/>
      <c r="AA555" s="305"/>
      <c r="AB555" s="305"/>
      <c r="AC555" s="305"/>
      <c r="AD555" s="305"/>
      <c r="AE555" s="131"/>
    </row>
    <row r="556" spans="8:31" ht="14.25">
      <c r="H556" s="129"/>
      <c r="I556" s="129"/>
      <c r="J556" s="129"/>
      <c r="K556" s="304"/>
      <c r="N556" s="487"/>
      <c r="O556" s="305"/>
      <c r="Q556" s="305"/>
      <c r="R556" s="305"/>
      <c r="S556" s="471"/>
      <c r="T556" s="471"/>
      <c r="U556" s="471"/>
      <c r="V556" s="471"/>
      <c r="W556" s="471"/>
      <c r="X556" s="471"/>
      <c r="Y556" s="471"/>
      <c r="Z556" s="305"/>
      <c r="AA556" s="305"/>
      <c r="AB556" s="305"/>
      <c r="AC556" s="305"/>
      <c r="AD556" s="305"/>
      <c r="AE556" s="131"/>
    </row>
    <row r="557" spans="8:31" ht="14.25">
      <c r="H557" s="129"/>
      <c r="I557" s="129"/>
      <c r="J557" s="129"/>
      <c r="K557" s="304"/>
      <c r="N557" s="487"/>
      <c r="O557" s="305"/>
      <c r="Q557" s="305"/>
      <c r="R557" s="305"/>
      <c r="S557" s="471"/>
      <c r="T557" s="471"/>
      <c r="U557" s="471"/>
      <c r="V557" s="471"/>
      <c r="W557" s="471"/>
      <c r="X557" s="471"/>
      <c r="Y557" s="471"/>
      <c r="Z557" s="305"/>
      <c r="AA557" s="305"/>
      <c r="AB557" s="305"/>
      <c r="AC557" s="305"/>
      <c r="AD557" s="305"/>
      <c r="AE557" s="131"/>
    </row>
    <row r="558" spans="8:31" ht="14.25">
      <c r="H558" s="129"/>
      <c r="I558" s="129"/>
      <c r="J558" s="129"/>
      <c r="K558" s="304"/>
      <c r="N558" s="487"/>
      <c r="O558" s="305"/>
      <c r="Q558" s="305"/>
      <c r="R558" s="305"/>
      <c r="S558" s="471"/>
      <c r="T558" s="471"/>
      <c r="U558" s="471"/>
      <c r="V558" s="471"/>
      <c r="W558" s="471"/>
      <c r="X558" s="471"/>
      <c r="Y558" s="471"/>
      <c r="Z558" s="305"/>
      <c r="AA558" s="305"/>
      <c r="AB558" s="305"/>
      <c r="AC558" s="305"/>
      <c r="AD558" s="305"/>
      <c r="AE558" s="131"/>
    </row>
    <row r="559" spans="8:31" ht="14.25">
      <c r="H559" s="129"/>
      <c r="I559" s="129"/>
      <c r="J559" s="129"/>
      <c r="K559" s="304"/>
      <c r="N559" s="487"/>
      <c r="O559" s="305"/>
      <c r="Q559" s="305"/>
      <c r="R559" s="305"/>
      <c r="S559" s="471"/>
      <c r="T559" s="471"/>
      <c r="U559" s="471"/>
      <c r="V559" s="471"/>
      <c r="W559" s="471"/>
      <c r="X559" s="471"/>
      <c r="Y559" s="471"/>
      <c r="Z559" s="305"/>
      <c r="AA559" s="305"/>
      <c r="AB559" s="305"/>
      <c r="AC559" s="305"/>
      <c r="AD559" s="305"/>
      <c r="AE559" s="131"/>
    </row>
    <row r="560" spans="8:31" ht="14.25">
      <c r="H560" s="129"/>
      <c r="I560" s="129"/>
      <c r="J560" s="129"/>
      <c r="K560" s="304"/>
      <c r="N560" s="487"/>
      <c r="O560" s="305"/>
      <c r="Q560" s="305"/>
      <c r="R560" s="305"/>
      <c r="S560" s="471"/>
      <c r="T560" s="471"/>
      <c r="U560" s="471"/>
      <c r="V560" s="471"/>
      <c r="W560" s="471"/>
      <c r="X560" s="471"/>
      <c r="Y560" s="471"/>
      <c r="Z560" s="305"/>
      <c r="AA560" s="305"/>
      <c r="AB560" s="305"/>
      <c r="AC560" s="305"/>
      <c r="AD560" s="305"/>
      <c r="AE560" s="131"/>
    </row>
    <row r="561" spans="8:31" ht="14.25">
      <c r="H561" s="129"/>
      <c r="I561" s="129"/>
      <c r="J561" s="129"/>
      <c r="K561" s="304"/>
      <c r="N561" s="487"/>
      <c r="O561" s="305"/>
      <c r="Q561" s="305"/>
      <c r="R561" s="305"/>
      <c r="S561" s="471"/>
      <c r="T561" s="471"/>
      <c r="U561" s="471"/>
      <c r="V561" s="471"/>
      <c r="W561" s="471"/>
      <c r="X561" s="471"/>
      <c r="Y561" s="471"/>
      <c r="Z561" s="305"/>
      <c r="AA561" s="305"/>
      <c r="AB561" s="305"/>
      <c r="AC561" s="305"/>
      <c r="AD561" s="305"/>
      <c r="AE561" s="131"/>
    </row>
    <row r="562" spans="8:31" ht="14.25">
      <c r="H562" s="129"/>
      <c r="I562" s="129"/>
      <c r="J562" s="129"/>
      <c r="K562" s="304"/>
      <c r="N562" s="487"/>
      <c r="O562" s="305"/>
      <c r="Q562" s="305"/>
      <c r="R562" s="305"/>
      <c r="S562" s="471"/>
      <c r="T562" s="471"/>
      <c r="U562" s="471"/>
      <c r="V562" s="471"/>
      <c r="W562" s="471"/>
      <c r="X562" s="471"/>
      <c r="Y562" s="471"/>
      <c r="Z562" s="305"/>
      <c r="AA562" s="305"/>
      <c r="AB562" s="305"/>
      <c r="AC562" s="305"/>
      <c r="AD562" s="305"/>
      <c r="AE562" s="131"/>
    </row>
    <row r="563" spans="8:31" ht="14.25">
      <c r="H563" s="129"/>
      <c r="I563" s="129"/>
      <c r="J563" s="129"/>
      <c r="K563" s="304"/>
      <c r="N563" s="487"/>
      <c r="O563" s="305"/>
      <c r="Q563" s="305"/>
      <c r="R563" s="305"/>
      <c r="S563" s="471"/>
      <c r="T563" s="471"/>
      <c r="U563" s="471"/>
      <c r="V563" s="471"/>
      <c r="W563" s="471"/>
      <c r="X563" s="471"/>
      <c r="Y563" s="471"/>
      <c r="Z563" s="305"/>
      <c r="AA563" s="305"/>
      <c r="AB563" s="305"/>
      <c r="AC563" s="305"/>
      <c r="AD563" s="305"/>
      <c r="AE563" s="131"/>
    </row>
    <row r="564" spans="8:31" ht="14.25">
      <c r="H564" s="129"/>
      <c r="I564" s="129"/>
      <c r="J564" s="129"/>
      <c r="K564" s="304"/>
      <c r="N564" s="487"/>
      <c r="O564" s="305"/>
      <c r="Q564" s="305"/>
      <c r="R564" s="305"/>
      <c r="S564" s="471"/>
      <c r="T564" s="471"/>
      <c r="U564" s="471"/>
      <c r="V564" s="471"/>
      <c r="W564" s="471"/>
      <c r="X564" s="471"/>
      <c r="Y564" s="471"/>
      <c r="Z564" s="305"/>
      <c r="AA564" s="305"/>
      <c r="AB564" s="305"/>
      <c r="AC564" s="305"/>
      <c r="AD564" s="305"/>
      <c r="AE564" s="131"/>
    </row>
    <row r="565" spans="8:31" ht="14.25">
      <c r="H565" s="129"/>
      <c r="I565" s="129"/>
      <c r="J565" s="129"/>
      <c r="K565" s="304"/>
      <c r="N565" s="487"/>
      <c r="O565" s="305"/>
      <c r="Q565" s="305"/>
      <c r="R565" s="305"/>
      <c r="S565" s="471"/>
      <c r="T565" s="471"/>
      <c r="U565" s="471"/>
      <c r="V565" s="471"/>
      <c r="W565" s="471"/>
      <c r="X565" s="471"/>
      <c r="Y565" s="471"/>
      <c r="Z565" s="305"/>
      <c r="AA565" s="305"/>
      <c r="AB565" s="305"/>
      <c r="AC565" s="305"/>
      <c r="AD565" s="305"/>
      <c r="AE565" s="131"/>
    </row>
    <row r="566" spans="8:31" ht="14.25">
      <c r="H566" s="129"/>
      <c r="I566" s="129"/>
      <c r="J566" s="129"/>
      <c r="K566" s="304"/>
      <c r="N566" s="487"/>
      <c r="O566" s="305"/>
      <c r="Q566" s="305"/>
      <c r="R566" s="305"/>
      <c r="S566" s="471"/>
      <c r="T566" s="471"/>
      <c r="U566" s="471"/>
      <c r="V566" s="471"/>
      <c r="W566" s="471"/>
      <c r="X566" s="471"/>
      <c r="Y566" s="471"/>
      <c r="Z566" s="305"/>
      <c r="AA566" s="305"/>
      <c r="AB566" s="305"/>
      <c r="AC566" s="305"/>
      <c r="AD566" s="305"/>
      <c r="AE566" s="131"/>
    </row>
    <row r="567" spans="8:31" ht="14.25">
      <c r="H567" s="129"/>
      <c r="I567" s="129"/>
      <c r="J567" s="129"/>
      <c r="K567" s="304"/>
      <c r="N567" s="487"/>
      <c r="O567" s="305"/>
      <c r="Q567" s="305"/>
      <c r="R567" s="305"/>
      <c r="S567" s="471"/>
      <c r="T567" s="471"/>
      <c r="U567" s="471"/>
      <c r="V567" s="471"/>
      <c r="W567" s="471"/>
      <c r="X567" s="471"/>
      <c r="Y567" s="471"/>
      <c r="Z567" s="305"/>
      <c r="AA567" s="305"/>
      <c r="AB567" s="305"/>
      <c r="AC567" s="305"/>
      <c r="AD567" s="305"/>
      <c r="AE567" s="131"/>
    </row>
    <row r="568" spans="8:31" ht="14.25">
      <c r="H568" s="129"/>
      <c r="I568" s="129"/>
      <c r="J568" s="129"/>
      <c r="K568" s="304"/>
      <c r="N568" s="487"/>
      <c r="O568" s="305"/>
      <c r="Q568" s="305"/>
      <c r="R568" s="305"/>
      <c r="S568" s="471"/>
      <c r="T568" s="471"/>
      <c r="U568" s="471"/>
      <c r="V568" s="471"/>
      <c r="W568" s="471"/>
      <c r="X568" s="471"/>
      <c r="Y568" s="471"/>
      <c r="Z568" s="305"/>
      <c r="AA568" s="305"/>
      <c r="AB568" s="305"/>
      <c r="AC568" s="305"/>
      <c r="AD568" s="305"/>
      <c r="AE568" s="131"/>
    </row>
    <row r="569" spans="8:31" ht="14.25">
      <c r="H569" s="129"/>
      <c r="I569" s="129"/>
      <c r="J569" s="129"/>
      <c r="K569" s="304"/>
      <c r="N569" s="487"/>
      <c r="O569" s="305"/>
      <c r="Q569" s="305"/>
      <c r="R569" s="305"/>
      <c r="S569" s="471"/>
      <c r="T569" s="471"/>
      <c r="U569" s="471"/>
      <c r="V569" s="471"/>
      <c r="W569" s="471"/>
      <c r="X569" s="471"/>
      <c r="Y569" s="471"/>
      <c r="Z569" s="305"/>
      <c r="AA569" s="305"/>
      <c r="AB569" s="305"/>
      <c r="AC569" s="305"/>
      <c r="AD569" s="305"/>
      <c r="AE569" s="131"/>
    </row>
    <row r="570" spans="8:31" ht="14.25">
      <c r="H570" s="129"/>
      <c r="I570" s="129"/>
      <c r="J570" s="129"/>
      <c r="K570" s="304"/>
      <c r="N570" s="487"/>
      <c r="O570" s="305"/>
      <c r="Q570" s="305"/>
      <c r="R570" s="305"/>
      <c r="S570" s="471"/>
      <c r="T570" s="471"/>
      <c r="U570" s="471"/>
      <c r="V570" s="471"/>
      <c r="W570" s="471"/>
      <c r="X570" s="471"/>
      <c r="Y570" s="471"/>
      <c r="Z570" s="305"/>
      <c r="AA570" s="305"/>
      <c r="AB570" s="305"/>
      <c r="AC570" s="305"/>
      <c r="AD570" s="305"/>
      <c r="AE570" s="131"/>
    </row>
    <row r="571" spans="8:31" ht="14.25">
      <c r="H571" s="129"/>
      <c r="I571" s="129"/>
      <c r="J571" s="129"/>
      <c r="K571" s="304"/>
      <c r="N571" s="487"/>
      <c r="O571" s="305"/>
      <c r="Q571" s="305"/>
      <c r="R571" s="305"/>
      <c r="S571" s="471"/>
      <c r="T571" s="471"/>
      <c r="U571" s="471"/>
      <c r="V571" s="471"/>
      <c r="W571" s="471"/>
      <c r="X571" s="471"/>
      <c r="Y571" s="471"/>
      <c r="Z571" s="305"/>
      <c r="AA571" s="305"/>
      <c r="AB571" s="305"/>
      <c r="AC571" s="305"/>
      <c r="AD571" s="305"/>
      <c r="AE571" s="131"/>
    </row>
    <row r="572" spans="8:31" ht="14.25">
      <c r="H572" s="129"/>
      <c r="I572" s="129"/>
      <c r="J572" s="129"/>
      <c r="K572" s="304"/>
      <c r="N572" s="487"/>
      <c r="O572" s="305"/>
      <c r="Q572" s="305"/>
      <c r="R572" s="305"/>
      <c r="S572" s="471"/>
      <c r="T572" s="471"/>
      <c r="U572" s="471"/>
      <c r="V572" s="471"/>
      <c r="W572" s="471"/>
      <c r="X572" s="471"/>
      <c r="Y572" s="471"/>
      <c r="Z572" s="305"/>
      <c r="AA572" s="305"/>
      <c r="AB572" s="305"/>
      <c r="AC572" s="305"/>
      <c r="AD572" s="305"/>
      <c r="AE572" s="131"/>
    </row>
    <row r="573" spans="8:31" ht="14.25">
      <c r="H573" s="129"/>
      <c r="I573" s="129"/>
      <c r="J573" s="129"/>
      <c r="K573" s="304"/>
      <c r="N573" s="487"/>
      <c r="O573" s="305"/>
      <c r="Q573" s="305"/>
      <c r="R573" s="305"/>
      <c r="S573" s="471"/>
      <c r="T573" s="471"/>
      <c r="U573" s="471"/>
      <c r="V573" s="471"/>
      <c r="W573" s="471"/>
      <c r="X573" s="471"/>
      <c r="Y573" s="471"/>
      <c r="Z573" s="305"/>
      <c r="AA573" s="305"/>
      <c r="AB573" s="305"/>
      <c r="AC573" s="305"/>
      <c r="AD573" s="305"/>
      <c r="AE573" s="131"/>
    </row>
    <row r="574" spans="8:31" ht="14.25">
      <c r="H574" s="129"/>
      <c r="I574" s="129"/>
      <c r="J574" s="129"/>
      <c r="K574" s="304"/>
      <c r="N574" s="487"/>
      <c r="O574" s="305"/>
      <c r="Q574" s="305"/>
      <c r="R574" s="305"/>
      <c r="S574" s="471"/>
      <c r="T574" s="471"/>
      <c r="U574" s="471"/>
      <c r="V574" s="471"/>
      <c r="W574" s="471"/>
      <c r="X574" s="471"/>
      <c r="Y574" s="471"/>
      <c r="Z574" s="305"/>
      <c r="AA574" s="305"/>
      <c r="AB574" s="305"/>
      <c r="AC574" s="305"/>
      <c r="AD574" s="305"/>
      <c r="AE574" s="131"/>
    </row>
    <row r="575" spans="8:31" ht="14.25">
      <c r="H575" s="129"/>
      <c r="I575" s="129"/>
      <c r="J575" s="129"/>
      <c r="K575" s="304"/>
      <c r="N575" s="487"/>
      <c r="O575" s="305"/>
      <c r="Q575" s="305"/>
      <c r="R575" s="305"/>
      <c r="S575" s="471"/>
      <c r="T575" s="471"/>
      <c r="U575" s="471"/>
      <c r="V575" s="471"/>
      <c r="W575" s="471"/>
      <c r="X575" s="471"/>
      <c r="Y575" s="471"/>
      <c r="Z575" s="305"/>
      <c r="AA575" s="305"/>
      <c r="AB575" s="305"/>
      <c r="AC575" s="305"/>
      <c r="AD575" s="305"/>
      <c r="AE575" s="131"/>
    </row>
    <row r="576" spans="8:31" ht="14.25">
      <c r="H576" s="129"/>
      <c r="I576" s="129"/>
      <c r="J576" s="129"/>
      <c r="K576" s="304"/>
      <c r="N576" s="487"/>
      <c r="O576" s="305"/>
      <c r="Q576" s="305"/>
      <c r="R576" s="305"/>
      <c r="S576" s="471"/>
      <c r="T576" s="471"/>
      <c r="U576" s="471"/>
      <c r="V576" s="471"/>
      <c r="W576" s="471"/>
      <c r="X576" s="471"/>
      <c r="Y576" s="471"/>
      <c r="Z576" s="305"/>
      <c r="AA576" s="305"/>
      <c r="AB576" s="305"/>
      <c r="AC576" s="305"/>
      <c r="AD576" s="305"/>
      <c r="AE576" s="131"/>
    </row>
    <row r="577" spans="8:31" ht="14.25">
      <c r="H577" s="129"/>
      <c r="I577" s="129"/>
      <c r="J577" s="129"/>
      <c r="K577" s="304"/>
      <c r="N577" s="487"/>
      <c r="O577" s="305"/>
      <c r="Q577" s="305"/>
      <c r="R577" s="305"/>
      <c r="S577" s="471"/>
      <c r="T577" s="471"/>
      <c r="U577" s="471"/>
      <c r="V577" s="471"/>
      <c r="W577" s="471"/>
      <c r="X577" s="471"/>
      <c r="Y577" s="471"/>
      <c r="Z577" s="305"/>
      <c r="AA577" s="305"/>
      <c r="AB577" s="305"/>
      <c r="AC577" s="305"/>
      <c r="AD577" s="305"/>
      <c r="AE577" s="131"/>
    </row>
    <row r="578" spans="8:31" ht="14.25">
      <c r="H578" s="129"/>
      <c r="I578" s="129"/>
      <c r="J578" s="129"/>
      <c r="K578" s="304"/>
      <c r="N578" s="487"/>
      <c r="O578" s="305"/>
      <c r="Q578" s="305"/>
      <c r="R578" s="305"/>
      <c r="S578" s="471"/>
      <c r="T578" s="471"/>
      <c r="U578" s="471"/>
      <c r="V578" s="471"/>
      <c r="W578" s="471"/>
      <c r="X578" s="471"/>
      <c r="Y578" s="471"/>
      <c r="Z578" s="305"/>
      <c r="AA578" s="305"/>
      <c r="AB578" s="305"/>
      <c r="AC578" s="305"/>
      <c r="AD578" s="305"/>
      <c r="AE578" s="131"/>
    </row>
    <row r="579" spans="8:31" ht="14.25">
      <c r="H579" s="129"/>
      <c r="I579" s="129"/>
      <c r="J579" s="129"/>
      <c r="K579" s="304"/>
      <c r="N579" s="487"/>
      <c r="O579" s="305"/>
      <c r="Q579" s="305"/>
      <c r="R579" s="305"/>
      <c r="S579" s="471"/>
      <c r="T579" s="471"/>
      <c r="U579" s="471"/>
      <c r="V579" s="471"/>
      <c r="W579" s="471"/>
      <c r="X579" s="471"/>
      <c r="Y579" s="471"/>
      <c r="Z579" s="305"/>
      <c r="AA579" s="305"/>
      <c r="AB579" s="305"/>
      <c r="AC579" s="305"/>
      <c r="AD579" s="305"/>
      <c r="AE579" s="131"/>
    </row>
    <row r="580" spans="8:31" ht="14.25">
      <c r="H580" s="129"/>
      <c r="I580" s="129"/>
      <c r="J580" s="129"/>
      <c r="K580" s="304"/>
      <c r="N580" s="487"/>
      <c r="O580" s="305"/>
      <c r="Q580" s="305"/>
      <c r="R580" s="305"/>
      <c r="S580" s="471"/>
      <c r="T580" s="471"/>
      <c r="U580" s="471"/>
      <c r="V580" s="471"/>
      <c r="W580" s="471"/>
      <c r="X580" s="471"/>
      <c r="Y580" s="471"/>
      <c r="Z580" s="305"/>
      <c r="AA580" s="305"/>
      <c r="AB580" s="305"/>
      <c r="AC580" s="305"/>
      <c r="AD580" s="305"/>
      <c r="AE580" s="131"/>
    </row>
    <row r="581" spans="8:31" ht="14.25">
      <c r="H581" s="129"/>
      <c r="I581" s="129"/>
      <c r="J581" s="129"/>
      <c r="K581" s="304"/>
      <c r="N581" s="487"/>
      <c r="O581" s="305"/>
      <c r="Q581" s="305"/>
      <c r="R581" s="305"/>
      <c r="S581" s="471"/>
      <c r="T581" s="471"/>
      <c r="U581" s="471"/>
      <c r="V581" s="471"/>
      <c r="W581" s="471"/>
      <c r="X581" s="471"/>
      <c r="Y581" s="471"/>
      <c r="Z581" s="305"/>
      <c r="AA581" s="305"/>
      <c r="AB581" s="305"/>
      <c r="AC581" s="305"/>
      <c r="AD581" s="305"/>
      <c r="AE581" s="131"/>
    </row>
    <row r="582" spans="8:31" ht="14.25">
      <c r="H582" s="129"/>
      <c r="I582" s="129"/>
      <c r="J582" s="129"/>
      <c r="K582" s="304"/>
      <c r="N582" s="487"/>
      <c r="O582" s="305"/>
      <c r="Q582" s="305"/>
      <c r="R582" s="305"/>
      <c r="S582" s="471"/>
      <c r="T582" s="471"/>
      <c r="U582" s="471"/>
      <c r="V582" s="471"/>
      <c r="W582" s="471"/>
      <c r="X582" s="471"/>
      <c r="Y582" s="471"/>
      <c r="Z582" s="305"/>
      <c r="AA582" s="305"/>
      <c r="AB582" s="305"/>
      <c r="AC582" s="305"/>
      <c r="AD582" s="305"/>
      <c r="AE582" s="131"/>
    </row>
    <row r="583" spans="8:31" ht="14.25">
      <c r="H583" s="129"/>
      <c r="I583" s="129"/>
      <c r="J583" s="129"/>
      <c r="K583" s="304"/>
      <c r="N583" s="487"/>
      <c r="O583" s="305"/>
      <c r="Q583" s="305"/>
      <c r="R583" s="305"/>
      <c r="S583" s="471"/>
      <c r="T583" s="471"/>
      <c r="U583" s="471"/>
      <c r="V583" s="471"/>
      <c r="W583" s="471"/>
      <c r="X583" s="471"/>
      <c r="Y583" s="471"/>
      <c r="Z583" s="305"/>
      <c r="AA583" s="305"/>
      <c r="AB583" s="305"/>
      <c r="AC583" s="305"/>
      <c r="AD583" s="305"/>
      <c r="AE583" s="131"/>
    </row>
    <row r="584" spans="8:31" ht="14.25">
      <c r="H584" s="129"/>
      <c r="I584" s="129"/>
      <c r="J584" s="129"/>
      <c r="K584" s="304"/>
      <c r="N584" s="487"/>
      <c r="O584" s="305"/>
      <c r="Q584" s="305"/>
      <c r="R584" s="305"/>
      <c r="S584" s="471"/>
      <c r="T584" s="471"/>
      <c r="U584" s="471"/>
      <c r="V584" s="471"/>
      <c r="W584" s="471"/>
      <c r="X584" s="471"/>
      <c r="Y584" s="471"/>
      <c r="Z584" s="305"/>
      <c r="AA584" s="305"/>
      <c r="AB584" s="305"/>
      <c r="AC584" s="305"/>
      <c r="AD584" s="305"/>
      <c r="AE584" s="131"/>
    </row>
    <row r="585" spans="8:31" ht="14.25">
      <c r="H585" s="129"/>
      <c r="I585" s="129"/>
      <c r="J585" s="129"/>
      <c r="K585" s="304"/>
      <c r="N585" s="487"/>
      <c r="O585" s="305"/>
      <c r="Q585" s="305"/>
      <c r="R585" s="305"/>
      <c r="S585" s="471"/>
      <c r="T585" s="471"/>
      <c r="U585" s="471"/>
      <c r="V585" s="471"/>
      <c r="W585" s="471"/>
      <c r="X585" s="471"/>
      <c r="Y585" s="471"/>
      <c r="Z585" s="305"/>
      <c r="AA585" s="305"/>
      <c r="AB585" s="305"/>
      <c r="AC585" s="305"/>
      <c r="AD585" s="305"/>
      <c r="AE585" s="131"/>
    </row>
    <row r="586" spans="8:31" ht="14.25">
      <c r="H586" s="129"/>
      <c r="I586" s="129"/>
      <c r="J586" s="129"/>
      <c r="K586" s="304"/>
      <c r="N586" s="487"/>
      <c r="O586" s="305"/>
      <c r="Q586" s="305"/>
      <c r="R586" s="305"/>
      <c r="S586" s="471"/>
      <c r="T586" s="471"/>
      <c r="U586" s="471"/>
      <c r="V586" s="471"/>
      <c r="W586" s="471"/>
      <c r="X586" s="471"/>
      <c r="Y586" s="471"/>
      <c r="Z586" s="305"/>
      <c r="AA586" s="305"/>
      <c r="AB586" s="305"/>
      <c r="AC586" s="305"/>
      <c r="AD586" s="305"/>
      <c r="AE586" s="131"/>
    </row>
    <row r="587" spans="8:31" ht="14.25">
      <c r="H587" s="129"/>
      <c r="I587" s="129"/>
      <c r="J587" s="129"/>
      <c r="K587" s="304"/>
      <c r="N587" s="487"/>
      <c r="O587" s="305"/>
      <c r="Q587" s="305"/>
      <c r="R587" s="305"/>
      <c r="S587" s="471"/>
      <c r="T587" s="471"/>
      <c r="U587" s="471"/>
      <c r="V587" s="471"/>
      <c r="W587" s="471"/>
      <c r="X587" s="471"/>
      <c r="Y587" s="471"/>
      <c r="Z587" s="305"/>
      <c r="AA587" s="305"/>
      <c r="AB587" s="305"/>
      <c r="AC587" s="305"/>
      <c r="AD587" s="305"/>
      <c r="AE587" s="131"/>
    </row>
    <row r="588" spans="8:31" ht="14.25">
      <c r="H588" s="129"/>
      <c r="I588" s="129"/>
      <c r="J588" s="129"/>
      <c r="K588" s="304"/>
      <c r="N588" s="487"/>
      <c r="O588" s="305"/>
      <c r="Q588" s="305"/>
      <c r="R588" s="305"/>
      <c r="S588" s="471"/>
      <c r="T588" s="471"/>
      <c r="U588" s="471"/>
      <c r="V588" s="471"/>
      <c r="W588" s="471"/>
      <c r="X588" s="471"/>
      <c r="Y588" s="471"/>
      <c r="Z588" s="305"/>
      <c r="AA588" s="305"/>
      <c r="AB588" s="305"/>
      <c r="AC588" s="305"/>
      <c r="AD588" s="305"/>
      <c r="AE588" s="131"/>
    </row>
    <row r="589" spans="8:31" ht="14.25">
      <c r="H589" s="129"/>
      <c r="I589" s="129"/>
      <c r="J589" s="129"/>
      <c r="K589" s="304"/>
      <c r="N589" s="487"/>
      <c r="O589" s="305"/>
      <c r="Q589" s="305"/>
      <c r="R589" s="305"/>
      <c r="S589" s="471"/>
      <c r="T589" s="471"/>
      <c r="U589" s="471"/>
      <c r="V589" s="471"/>
      <c r="W589" s="471"/>
      <c r="X589" s="471"/>
      <c r="Y589" s="471"/>
      <c r="Z589" s="305"/>
      <c r="AA589" s="305"/>
      <c r="AB589" s="305"/>
      <c r="AC589" s="305"/>
      <c r="AD589" s="305"/>
      <c r="AE589" s="131"/>
    </row>
    <row r="590" spans="8:31" ht="14.25">
      <c r="H590" s="129"/>
      <c r="I590" s="129"/>
      <c r="J590" s="129"/>
      <c r="K590" s="304"/>
      <c r="N590" s="487"/>
      <c r="O590" s="305"/>
      <c r="Q590" s="305"/>
      <c r="R590" s="305"/>
      <c r="S590" s="471"/>
      <c r="T590" s="471"/>
      <c r="U590" s="471"/>
      <c r="V590" s="471"/>
      <c r="W590" s="471"/>
      <c r="X590" s="471"/>
      <c r="Y590" s="471"/>
      <c r="Z590" s="305"/>
      <c r="AA590" s="305"/>
      <c r="AB590" s="305"/>
      <c r="AC590" s="305"/>
      <c r="AD590" s="305"/>
      <c r="AE590" s="131"/>
    </row>
    <row r="591" spans="8:31" ht="14.25">
      <c r="H591" s="129"/>
      <c r="I591" s="129"/>
      <c r="J591" s="129"/>
      <c r="K591" s="304"/>
      <c r="N591" s="487"/>
      <c r="O591" s="305"/>
      <c r="Q591" s="305"/>
      <c r="R591" s="305"/>
      <c r="S591" s="471"/>
      <c r="T591" s="471"/>
      <c r="U591" s="471"/>
      <c r="V591" s="471"/>
      <c r="W591" s="471"/>
      <c r="X591" s="471"/>
      <c r="Y591" s="471"/>
      <c r="Z591" s="305"/>
      <c r="AA591" s="305"/>
      <c r="AB591" s="305"/>
      <c r="AC591" s="305"/>
      <c r="AD591" s="305"/>
      <c r="AE591" s="131"/>
    </row>
    <row r="592" spans="8:31" ht="14.25">
      <c r="H592" s="129"/>
      <c r="I592" s="129"/>
      <c r="J592" s="129"/>
      <c r="K592" s="304"/>
      <c r="N592" s="487"/>
      <c r="O592" s="305"/>
      <c r="Q592" s="305"/>
      <c r="R592" s="305"/>
      <c r="S592" s="471"/>
      <c r="T592" s="471"/>
      <c r="U592" s="471"/>
      <c r="V592" s="471"/>
      <c r="W592" s="471"/>
      <c r="X592" s="471"/>
      <c r="Y592" s="471"/>
      <c r="Z592" s="305"/>
      <c r="AA592" s="305"/>
      <c r="AB592" s="305"/>
      <c r="AC592" s="305"/>
      <c r="AD592" s="305"/>
      <c r="AE592" s="131"/>
    </row>
    <row r="593" spans="8:31" ht="14.25">
      <c r="H593" s="129"/>
      <c r="I593" s="129"/>
      <c r="J593" s="129"/>
      <c r="K593" s="304"/>
      <c r="N593" s="487"/>
      <c r="O593" s="305"/>
      <c r="Q593" s="305"/>
      <c r="R593" s="305"/>
      <c r="S593" s="471"/>
      <c r="T593" s="471"/>
      <c r="U593" s="471"/>
      <c r="V593" s="471"/>
      <c r="W593" s="471"/>
      <c r="X593" s="471"/>
      <c r="Y593" s="471"/>
      <c r="Z593" s="305"/>
      <c r="AA593" s="305"/>
      <c r="AB593" s="305"/>
      <c r="AC593" s="305"/>
      <c r="AD593" s="305"/>
      <c r="AE593" s="131"/>
    </row>
    <row r="594" spans="8:31" ht="14.25">
      <c r="H594" s="129"/>
      <c r="I594" s="129"/>
      <c r="J594" s="129"/>
      <c r="K594" s="304"/>
      <c r="N594" s="487"/>
      <c r="O594" s="305"/>
      <c r="Q594" s="305"/>
      <c r="R594" s="305"/>
      <c r="S594" s="471"/>
      <c r="T594" s="471"/>
      <c r="U594" s="471"/>
      <c r="V594" s="471"/>
      <c r="W594" s="471"/>
      <c r="X594" s="471"/>
      <c r="Y594" s="471"/>
      <c r="Z594" s="305"/>
      <c r="AA594" s="305"/>
      <c r="AB594" s="305"/>
      <c r="AC594" s="305"/>
      <c r="AD594" s="305"/>
      <c r="AE594" s="131"/>
    </row>
    <row r="595" spans="8:31" ht="14.25">
      <c r="H595" s="129"/>
      <c r="I595" s="129"/>
      <c r="J595" s="129"/>
      <c r="K595" s="304"/>
      <c r="N595" s="487"/>
      <c r="O595" s="305"/>
      <c r="Q595" s="305"/>
      <c r="R595" s="305"/>
      <c r="S595" s="471"/>
      <c r="T595" s="471"/>
      <c r="U595" s="471"/>
      <c r="V595" s="471"/>
      <c r="W595" s="471"/>
      <c r="X595" s="471"/>
      <c r="Y595" s="471"/>
      <c r="Z595" s="305"/>
      <c r="AA595" s="305"/>
      <c r="AB595" s="305"/>
      <c r="AC595" s="305"/>
      <c r="AD595" s="305"/>
      <c r="AE595" s="131"/>
    </row>
    <row r="596" spans="8:31" ht="14.25">
      <c r="H596" s="129"/>
      <c r="I596" s="129"/>
      <c r="J596" s="129"/>
      <c r="K596" s="304"/>
      <c r="N596" s="487"/>
      <c r="O596" s="305"/>
      <c r="Q596" s="305"/>
      <c r="R596" s="305"/>
      <c r="S596" s="471"/>
      <c r="T596" s="471"/>
      <c r="U596" s="471"/>
      <c r="V596" s="471"/>
      <c r="W596" s="471"/>
      <c r="X596" s="471"/>
      <c r="Y596" s="471"/>
      <c r="Z596" s="305"/>
      <c r="AA596" s="305"/>
      <c r="AB596" s="305"/>
      <c r="AC596" s="305"/>
      <c r="AD596" s="305"/>
      <c r="AE596" s="131"/>
    </row>
    <row r="597" spans="8:31" ht="14.25">
      <c r="H597" s="129"/>
      <c r="I597" s="129"/>
      <c r="J597" s="129"/>
      <c r="K597" s="304"/>
      <c r="N597" s="487"/>
      <c r="O597" s="305"/>
      <c r="Q597" s="305"/>
      <c r="R597" s="305"/>
      <c r="S597" s="471"/>
      <c r="T597" s="471"/>
      <c r="U597" s="471"/>
      <c r="V597" s="471"/>
      <c r="W597" s="471"/>
      <c r="X597" s="471"/>
      <c r="Y597" s="471"/>
      <c r="Z597" s="305"/>
      <c r="AA597" s="305"/>
      <c r="AB597" s="305"/>
      <c r="AC597" s="305"/>
      <c r="AD597" s="305"/>
      <c r="AE597" s="131"/>
    </row>
    <row r="598" spans="8:31" ht="14.25">
      <c r="H598" s="129"/>
      <c r="I598" s="129"/>
      <c r="J598" s="129"/>
      <c r="K598" s="304"/>
      <c r="N598" s="487"/>
      <c r="O598" s="305"/>
      <c r="Q598" s="305"/>
      <c r="R598" s="305"/>
      <c r="S598" s="471"/>
      <c r="T598" s="471"/>
      <c r="U598" s="471"/>
      <c r="V598" s="471"/>
      <c r="W598" s="471"/>
      <c r="X598" s="471"/>
      <c r="Y598" s="471"/>
      <c r="Z598" s="305"/>
      <c r="AA598" s="305"/>
      <c r="AB598" s="305"/>
      <c r="AC598" s="305"/>
      <c r="AD598" s="305"/>
      <c r="AE598" s="131"/>
    </row>
    <row r="599" spans="8:31" ht="14.25">
      <c r="H599" s="129"/>
      <c r="I599" s="129"/>
      <c r="J599" s="129"/>
      <c r="K599" s="304"/>
      <c r="N599" s="487"/>
      <c r="O599" s="305"/>
      <c r="Q599" s="305"/>
      <c r="R599" s="305"/>
      <c r="S599" s="471"/>
      <c r="T599" s="471"/>
      <c r="U599" s="471"/>
      <c r="V599" s="471"/>
      <c r="W599" s="471"/>
      <c r="X599" s="471"/>
      <c r="Y599" s="471"/>
      <c r="Z599" s="305"/>
      <c r="AA599" s="305"/>
      <c r="AB599" s="305"/>
      <c r="AC599" s="305"/>
      <c r="AD599" s="305"/>
      <c r="AE599" s="131"/>
    </row>
    <row r="600" spans="8:31" ht="14.25">
      <c r="H600" s="129"/>
      <c r="I600" s="129"/>
      <c r="J600" s="129"/>
      <c r="K600" s="304"/>
      <c r="N600" s="487"/>
      <c r="O600" s="305"/>
      <c r="Q600" s="305"/>
      <c r="R600" s="305"/>
      <c r="S600" s="471"/>
      <c r="T600" s="471"/>
      <c r="U600" s="471"/>
      <c r="V600" s="471"/>
      <c r="W600" s="471"/>
      <c r="X600" s="471"/>
      <c r="Y600" s="471"/>
      <c r="Z600" s="305"/>
      <c r="AA600" s="305"/>
      <c r="AB600" s="305"/>
      <c r="AC600" s="305"/>
      <c r="AD600" s="305"/>
      <c r="AE600" s="131"/>
    </row>
    <row r="601" spans="8:31" ht="14.25">
      <c r="H601" s="129"/>
      <c r="I601" s="129"/>
      <c r="J601" s="129"/>
      <c r="K601" s="304"/>
      <c r="N601" s="487"/>
      <c r="O601" s="305"/>
      <c r="Q601" s="305"/>
      <c r="R601" s="305"/>
      <c r="S601" s="471"/>
      <c r="T601" s="471"/>
      <c r="U601" s="471"/>
      <c r="V601" s="471"/>
      <c r="W601" s="471"/>
      <c r="X601" s="471"/>
      <c r="Y601" s="471"/>
      <c r="Z601" s="305"/>
      <c r="AA601" s="305"/>
      <c r="AB601" s="305"/>
      <c r="AC601" s="305"/>
      <c r="AD601" s="305"/>
      <c r="AE601" s="131"/>
    </row>
    <row r="602" spans="8:31" ht="14.25">
      <c r="H602" s="129"/>
      <c r="I602" s="129"/>
      <c r="J602" s="129"/>
      <c r="K602" s="304"/>
      <c r="N602" s="487"/>
      <c r="O602" s="305"/>
      <c r="Q602" s="305"/>
      <c r="R602" s="305"/>
      <c r="S602" s="471"/>
      <c r="T602" s="471"/>
      <c r="U602" s="471"/>
      <c r="V602" s="471"/>
      <c r="W602" s="471"/>
      <c r="X602" s="471"/>
      <c r="Y602" s="471"/>
      <c r="Z602" s="305"/>
      <c r="AA602" s="305"/>
      <c r="AB602" s="305"/>
      <c r="AC602" s="305"/>
      <c r="AD602" s="305"/>
      <c r="AE602" s="131"/>
    </row>
    <row r="603" spans="8:31" ht="14.25">
      <c r="H603" s="129"/>
      <c r="I603" s="129"/>
      <c r="J603" s="129"/>
      <c r="K603" s="304"/>
      <c r="N603" s="487"/>
      <c r="O603" s="305"/>
      <c r="Q603" s="305"/>
      <c r="R603" s="305"/>
      <c r="S603" s="471"/>
      <c r="T603" s="471"/>
      <c r="U603" s="471"/>
      <c r="V603" s="471"/>
      <c r="W603" s="471"/>
      <c r="X603" s="471"/>
      <c r="Y603" s="471"/>
      <c r="Z603" s="305"/>
      <c r="AA603" s="305"/>
      <c r="AB603" s="305"/>
      <c r="AC603" s="305"/>
      <c r="AD603" s="305"/>
      <c r="AE603" s="131"/>
    </row>
    <row r="604" spans="8:31" ht="14.25">
      <c r="H604" s="129"/>
      <c r="I604" s="129"/>
      <c r="J604" s="129"/>
      <c r="K604" s="304"/>
      <c r="N604" s="487"/>
      <c r="O604" s="305"/>
      <c r="Q604" s="305"/>
      <c r="R604" s="305"/>
      <c r="S604" s="471"/>
      <c r="T604" s="471"/>
      <c r="U604" s="471"/>
      <c r="V604" s="471"/>
      <c r="W604" s="471"/>
      <c r="X604" s="471"/>
      <c r="Y604" s="471"/>
      <c r="Z604" s="305"/>
      <c r="AA604" s="305"/>
      <c r="AB604" s="305"/>
      <c r="AC604" s="305"/>
      <c r="AD604" s="305"/>
      <c r="AE604" s="131"/>
    </row>
    <row r="605" spans="8:31" ht="14.25">
      <c r="H605" s="129"/>
      <c r="I605" s="129"/>
      <c r="J605" s="129"/>
      <c r="K605" s="304"/>
      <c r="N605" s="487"/>
      <c r="O605" s="305"/>
      <c r="Q605" s="305"/>
      <c r="R605" s="305"/>
      <c r="S605" s="471"/>
      <c r="T605" s="471"/>
      <c r="U605" s="471"/>
      <c r="V605" s="471"/>
      <c r="W605" s="471"/>
      <c r="X605" s="471"/>
      <c r="Y605" s="471"/>
      <c r="Z605" s="305"/>
      <c r="AA605" s="305"/>
      <c r="AB605" s="305"/>
      <c r="AC605" s="305"/>
      <c r="AD605" s="305"/>
      <c r="AE605" s="131"/>
    </row>
    <row r="606" spans="8:31" ht="14.25">
      <c r="H606" s="129"/>
      <c r="I606" s="129"/>
      <c r="J606" s="129"/>
      <c r="K606" s="304"/>
      <c r="N606" s="487"/>
      <c r="O606" s="305"/>
      <c r="Q606" s="305"/>
      <c r="R606" s="305"/>
      <c r="S606" s="471"/>
      <c r="T606" s="471"/>
      <c r="U606" s="471"/>
      <c r="V606" s="471"/>
      <c r="W606" s="471"/>
      <c r="X606" s="471"/>
      <c r="Y606" s="471"/>
      <c r="Z606" s="305"/>
      <c r="AA606" s="305"/>
      <c r="AB606" s="305"/>
      <c r="AC606" s="305"/>
      <c r="AD606" s="305"/>
      <c r="AE606" s="131"/>
    </row>
    <row r="607" spans="8:31" ht="14.25">
      <c r="H607" s="129"/>
      <c r="I607" s="129"/>
      <c r="J607" s="129"/>
      <c r="K607" s="304"/>
      <c r="N607" s="487"/>
      <c r="O607" s="305"/>
      <c r="Q607" s="305"/>
      <c r="R607" s="305"/>
      <c r="S607" s="471"/>
      <c r="T607" s="471"/>
      <c r="U607" s="471"/>
      <c r="V607" s="471"/>
      <c r="W607" s="471"/>
      <c r="X607" s="471"/>
      <c r="Y607" s="471"/>
      <c r="Z607" s="305"/>
      <c r="AA607" s="305"/>
      <c r="AB607" s="305"/>
      <c r="AC607" s="305"/>
      <c r="AD607" s="305"/>
      <c r="AE607" s="131"/>
    </row>
    <row r="608" spans="8:31" ht="14.25">
      <c r="H608" s="129"/>
      <c r="I608" s="129"/>
      <c r="J608" s="129"/>
      <c r="K608" s="304"/>
      <c r="N608" s="487"/>
      <c r="O608" s="305"/>
      <c r="Q608" s="305"/>
      <c r="R608" s="305"/>
      <c r="S608" s="471"/>
      <c r="T608" s="471"/>
      <c r="U608" s="471"/>
      <c r="V608" s="471"/>
      <c r="W608" s="471"/>
      <c r="X608" s="471"/>
      <c r="Y608" s="471"/>
      <c r="Z608" s="305"/>
      <c r="AA608" s="305"/>
      <c r="AB608" s="305"/>
      <c r="AC608" s="305"/>
      <c r="AD608" s="305"/>
      <c r="AE608" s="131"/>
    </row>
    <row r="609" spans="8:31" ht="14.25">
      <c r="H609" s="129"/>
      <c r="I609" s="129"/>
      <c r="J609" s="129"/>
      <c r="K609" s="304"/>
      <c r="N609" s="487"/>
      <c r="O609" s="305"/>
      <c r="Q609" s="305"/>
      <c r="R609" s="305"/>
      <c r="S609" s="471"/>
      <c r="T609" s="471"/>
      <c r="U609" s="471"/>
      <c r="V609" s="471"/>
      <c r="W609" s="471"/>
      <c r="X609" s="471"/>
      <c r="Y609" s="471"/>
      <c r="Z609" s="305"/>
      <c r="AA609" s="305"/>
      <c r="AB609" s="305"/>
      <c r="AC609" s="305"/>
      <c r="AD609" s="305"/>
      <c r="AE609" s="131"/>
    </row>
    <row r="610" spans="8:31" ht="14.25">
      <c r="H610" s="129"/>
      <c r="I610" s="129"/>
      <c r="J610" s="129"/>
      <c r="K610" s="304"/>
      <c r="N610" s="487"/>
      <c r="O610" s="305"/>
      <c r="Q610" s="305"/>
      <c r="R610" s="305"/>
      <c r="S610" s="471"/>
      <c r="T610" s="471"/>
      <c r="U610" s="471"/>
      <c r="V610" s="471"/>
      <c r="W610" s="471"/>
      <c r="X610" s="471"/>
      <c r="Y610" s="471"/>
      <c r="Z610" s="305"/>
      <c r="AA610" s="305"/>
      <c r="AB610" s="305"/>
      <c r="AC610" s="305"/>
      <c r="AD610" s="305"/>
      <c r="AE610" s="131"/>
    </row>
    <row r="611" spans="8:31" ht="14.25">
      <c r="H611" s="129"/>
      <c r="I611" s="129"/>
      <c r="J611" s="129"/>
      <c r="K611" s="304"/>
      <c r="N611" s="487"/>
      <c r="O611" s="305"/>
      <c r="Q611" s="305"/>
      <c r="R611" s="305"/>
      <c r="S611" s="471"/>
      <c r="T611" s="471"/>
      <c r="U611" s="471"/>
      <c r="V611" s="471"/>
      <c r="W611" s="471"/>
      <c r="X611" s="471"/>
      <c r="Y611" s="471"/>
      <c r="Z611" s="305"/>
      <c r="AA611" s="305"/>
      <c r="AB611" s="305"/>
      <c r="AC611" s="305"/>
      <c r="AD611" s="305"/>
      <c r="AE611" s="131"/>
    </row>
    <row r="612" spans="8:31" ht="14.25">
      <c r="H612" s="129"/>
      <c r="I612" s="129"/>
      <c r="J612" s="129"/>
      <c r="K612" s="304"/>
      <c r="N612" s="487"/>
      <c r="O612" s="305"/>
      <c r="Q612" s="305"/>
      <c r="R612" s="305"/>
      <c r="S612" s="471"/>
      <c r="T612" s="471"/>
      <c r="U612" s="471"/>
      <c r="V612" s="471"/>
      <c r="W612" s="471"/>
      <c r="X612" s="471"/>
      <c r="Y612" s="471"/>
      <c r="Z612" s="305"/>
      <c r="AA612" s="305"/>
      <c r="AB612" s="305"/>
      <c r="AC612" s="305"/>
      <c r="AD612" s="305"/>
      <c r="AE612" s="131"/>
    </row>
    <row r="613" spans="8:31" ht="14.25">
      <c r="H613" s="129"/>
      <c r="I613" s="129"/>
      <c r="J613" s="129"/>
      <c r="K613" s="304"/>
      <c r="N613" s="487"/>
      <c r="O613" s="305"/>
      <c r="Q613" s="305"/>
      <c r="R613" s="305"/>
      <c r="S613" s="471"/>
      <c r="T613" s="471"/>
      <c r="U613" s="471"/>
      <c r="V613" s="471"/>
      <c r="W613" s="471"/>
      <c r="X613" s="471"/>
      <c r="Y613" s="471"/>
      <c r="Z613" s="305"/>
      <c r="AA613" s="305"/>
      <c r="AB613" s="305"/>
      <c r="AC613" s="305"/>
      <c r="AD613" s="305"/>
      <c r="AE613" s="131"/>
    </row>
    <row r="614" spans="8:31" ht="14.25">
      <c r="H614" s="129"/>
      <c r="I614" s="129"/>
      <c r="J614" s="129"/>
      <c r="K614" s="304"/>
      <c r="N614" s="487"/>
      <c r="O614" s="305"/>
      <c r="Q614" s="305"/>
      <c r="R614" s="305"/>
      <c r="S614" s="471"/>
      <c r="T614" s="471"/>
      <c r="U614" s="471"/>
      <c r="V614" s="471"/>
      <c r="W614" s="471"/>
      <c r="X614" s="471"/>
      <c r="Y614" s="471"/>
      <c r="Z614" s="305"/>
      <c r="AA614" s="305"/>
      <c r="AB614" s="305"/>
      <c r="AC614" s="305"/>
      <c r="AD614" s="305"/>
      <c r="AE614" s="131"/>
    </row>
    <row r="615" spans="8:31" ht="14.25">
      <c r="H615" s="129"/>
      <c r="I615" s="129"/>
      <c r="J615" s="129"/>
      <c r="K615" s="304"/>
      <c r="N615" s="487"/>
      <c r="O615" s="305"/>
      <c r="Q615" s="305"/>
      <c r="R615" s="305"/>
      <c r="S615" s="471"/>
      <c r="T615" s="471"/>
      <c r="U615" s="471"/>
      <c r="V615" s="471"/>
      <c r="W615" s="471"/>
      <c r="X615" s="471"/>
      <c r="Y615" s="471"/>
      <c r="Z615" s="305"/>
      <c r="AA615" s="305"/>
      <c r="AB615" s="305"/>
      <c r="AC615" s="305"/>
      <c r="AD615" s="305"/>
      <c r="AE615" s="131"/>
    </row>
    <row r="616" spans="8:31" ht="14.25">
      <c r="H616" s="129"/>
      <c r="I616" s="129"/>
      <c r="J616" s="129"/>
      <c r="K616" s="304"/>
      <c r="N616" s="487"/>
      <c r="O616" s="305"/>
      <c r="Q616" s="305"/>
      <c r="R616" s="305"/>
      <c r="S616" s="471"/>
      <c r="T616" s="471"/>
      <c r="U616" s="471"/>
      <c r="V616" s="471"/>
      <c r="W616" s="471"/>
      <c r="X616" s="471"/>
      <c r="Y616" s="471"/>
      <c r="Z616" s="305"/>
      <c r="AA616" s="305"/>
      <c r="AB616" s="305"/>
      <c r="AC616" s="305"/>
      <c r="AD616" s="305"/>
      <c r="AE616" s="131"/>
    </row>
    <row r="617" spans="8:31" ht="14.25">
      <c r="H617" s="129"/>
      <c r="I617" s="129"/>
      <c r="J617" s="129"/>
      <c r="K617" s="304"/>
      <c r="N617" s="487"/>
      <c r="O617" s="305"/>
      <c r="Q617" s="305"/>
      <c r="R617" s="305"/>
      <c r="S617" s="471"/>
      <c r="T617" s="471"/>
      <c r="U617" s="471"/>
      <c r="V617" s="471"/>
      <c r="W617" s="471"/>
      <c r="X617" s="471"/>
      <c r="Y617" s="471"/>
      <c r="Z617" s="305"/>
      <c r="AA617" s="305"/>
      <c r="AB617" s="305"/>
      <c r="AC617" s="305"/>
      <c r="AD617" s="305"/>
      <c r="AE617" s="131"/>
    </row>
    <row r="618" spans="8:31" ht="14.25">
      <c r="H618" s="129"/>
      <c r="I618" s="129"/>
      <c r="J618" s="129"/>
      <c r="K618" s="304"/>
      <c r="N618" s="487"/>
      <c r="O618" s="305"/>
      <c r="Q618" s="305"/>
      <c r="R618" s="305"/>
      <c r="S618" s="471"/>
      <c r="T618" s="471"/>
      <c r="U618" s="471"/>
      <c r="V618" s="471"/>
      <c r="W618" s="471"/>
      <c r="X618" s="471"/>
      <c r="Y618" s="471"/>
      <c r="Z618" s="305"/>
      <c r="AA618" s="305"/>
      <c r="AB618" s="305"/>
      <c r="AC618" s="305"/>
      <c r="AD618" s="305"/>
      <c r="AE618" s="131"/>
    </row>
    <row r="619" spans="8:31" ht="14.25">
      <c r="H619" s="129"/>
      <c r="I619" s="129"/>
      <c r="J619" s="129"/>
      <c r="K619" s="304"/>
      <c r="N619" s="487"/>
      <c r="O619" s="305"/>
      <c r="Q619" s="305"/>
      <c r="R619" s="305"/>
      <c r="S619" s="471"/>
      <c r="T619" s="471"/>
      <c r="U619" s="471"/>
      <c r="V619" s="471"/>
      <c r="W619" s="471"/>
      <c r="X619" s="471"/>
      <c r="Y619" s="471"/>
      <c r="Z619" s="305"/>
      <c r="AA619" s="305"/>
      <c r="AB619" s="305"/>
      <c r="AC619" s="305"/>
      <c r="AD619" s="305"/>
      <c r="AE619" s="131"/>
    </row>
    <row r="620" spans="8:31" ht="14.25">
      <c r="H620" s="129"/>
      <c r="I620" s="129"/>
      <c r="J620" s="129"/>
      <c r="K620" s="304"/>
      <c r="N620" s="487"/>
      <c r="O620" s="305"/>
      <c r="Q620" s="305"/>
      <c r="R620" s="305"/>
      <c r="S620" s="471"/>
      <c r="T620" s="471"/>
      <c r="U620" s="471"/>
      <c r="V620" s="471"/>
      <c r="W620" s="471"/>
      <c r="X620" s="471"/>
      <c r="Y620" s="471"/>
      <c r="Z620" s="305"/>
      <c r="AA620" s="305"/>
      <c r="AB620" s="305"/>
      <c r="AC620" s="305"/>
      <c r="AD620" s="305"/>
      <c r="AE620" s="131"/>
    </row>
    <row r="621" spans="8:31" ht="14.25">
      <c r="H621" s="129"/>
      <c r="I621" s="129"/>
      <c r="J621" s="129"/>
      <c r="K621" s="304"/>
      <c r="N621" s="487"/>
      <c r="O621" s="305"/>
      <c r="Q621" s="305"/>
      <c r="R621" s="305"/>
      <c r="S621" s="471"/>
      <c r="T621" s="471"/>
      <c r="U621" s="471"/>
      <c r="V621" s="471"/>
      <c r="W621" s="471"/>
      <c r="X621" s="471"/>
      <c r="Y621" s="471"/>
      <c r="Z621" s="305"/>
      <c r="AA621" s="305"/>
      <c r="AB621" s="305"/>
      <c r="AC621" s="305"/>
      <c r="AD621" s="305"/>
      <c r="AE621" s="131"/>
    </row>
    <row r="622" spans="8:31" ht="14.25">
      <c r="H622" s="129"/>
      <c r="I622" s="129"/>
      <c r="J622" s="129"/>
      <c r="K622" s="304"/>
      <c r="N622" s="487"/>
      <c r="O622" s="305"/>
      <c r="Q622" s="305"/>
      <c r="R622" s="305"/>
      <c r="S622" s="471"/>
      <c r="T622" s="471"/>
      <c r="U622" s="471"/>
      <c r="V622" s="471"/>
      <c r="W622" s="471"/>
      <c r="X622" s="471"/>
      <c r="Y622" s="471"/>
      <c r="Z622" s="305"/>
      <c r="AA622" s="305"/>
      <c r="AB622" s="305"/>
      <c r="AC622" s="305"/>
      <c r="AD622" s="305"/>
      <c r="AE622" s="131"/>
    </row>
    <row r="623" spans="8:31" ht="14.25">
      <c r="H623" s="129"/>
      <c r="I623" s="129"/>
      <c r="J623" s="129"/>
      <c r="K623" s="304"/>
      <c r="N623" s="487"/>
      <c r="O623" s="305"/>
      <c r="Q623" s="305"/>
      <c r="R623" s="305"/>
      <c r="S623" s="471"/>
      <c r="T623" s="471"/>
      <c r="U623" s="471"/>
      <c r="V623" s="471"/>
      <c r="W623" s="471"/>
      <c r="X623" s="471"/>
      <c r="Y623" s="471"/>
      <c r="Z623" s="305"/>
      <c r="AA623" s="305"/>
      <c r="AB623" s="305"/>
      <c r="AC623" s="305"/>
      <c r="AD623" s="305"/>
      <c r="AE623" s="131"/>
    </row>
    <row r="624" spans="8:31" ht="14.25">
      <c r="H624" s="129"/>
      <c r="I624" s="129"/>
      <c r="J624" s="129"/>
      <c r="K624" s="304"/>
      <c r="N624" s="487"/>
      <c r="O624" s="305"/>
      <c r="Q624" s="305"/>
      <c r="R624" s="305"/>
      <c r="S624" s="471"/>
      <c r="T624" s="471"/>
      <c r="U624" s="471"/>
      <c r="V624" s="471"/>
      <c r="W624" s="471"/>
      <c r="X624" s="471"/>
      <c r="Y624" s="471"/>
      <c r="Z624" s="305"/>
      <c r="AA624" s="305"/>
      <c r="AB624" s="305"/>
      <c r="AC624" s="305"/>
      <c r="AD624" s="305"/>
      <c r="AE624" s="131"/>
    </row>
    <row r="625" spans="8:31" ht="14.25">
      <c r="H625" s="129"/>
      <c r="I625" s="129"/>
      <c r="J625" s="129"/>
      <c r="K625" s="304"/>
      <c r="N625" s="487"/>
      <c r="O625" s="305"/>
      <c r="Q625" s="305"/>
      <c r="R625" s="305"/>
      <c r="S625" s="471"/>
      <c r="T625" s="471"/>
      <c r="U625" s="471"/>
      <c r="V625" s="471"/>
      <c r="W625" s="471"/>
      <c r="X625" s="471"/>
      <c r="Y625" s="471"/>
      <c r="Z625" s="305"/>
      <c r="AA625" s="305"/>
      <c r="AB625" s="305"/>
      <c r="AC625" s="305"/>
      <c r="AD625" s="305"/>
      <c r="AE625" s="131"/>
    </row>
    <row r="626" spans="8:31" ht="14.25">
      <c r="H626" s="129"/>
      <c r="I626" s="129"/>
      <c r="J626" s="129"/>
      <c r="K626" s="304"/>
      <c r="N626" s="487"/>
      <c r="O626" s="305"/>
      <c r="Q626" s="305"/>
      <c r="R626" s="305"/>
      <c r="S626" s="471"/>
      <c r="T626" s="471"/>
      <c r="U626" s="471"/>
      <c r="V626" s="471"/>
      <c r="W626" s="471"/>
      <c r="X626" s="471"/>
      <c r="Y626" s="471"/>
      <c r="Z626" s="305"/>
      <c r="AA626" s="305"/>
      <c r="AB626" s="305"/>
      <c r="AC626" s="305"/>
      <c r="AD626" s="305"/>
      <c r="AE626" s="131"/>
    </row>
    <row r="627" spans="8:31" ht="14.25">
      <c r="H627" s="129"/>
      <c r="I627" s="129"/>
      <c r="J627" s="129"/>
      <c r="K627" s="304"/>
      <c r="N627" s="487"/>
      <c r="O627" s="305"/>
      <c r="Q627" s="305"/>
      <c r="R627" s="305"/>
      <c r="S627" s="471"/>
      <c r="T627" s="471"/>
      <c r="U627" s="471"/>
      <c r="V627" s="471"/>
      <c r="W627" s="471"/>
      <c r="X627" s="471"/>
      <c r="Y627" s="471"/>
      <c r="Z627" s="305"/>
      <c r="AA627" s="305"/>
      <c r="AB627" s="305"/>
      <c r="AC627" s="305"/>
      <c r="AD627" s="305"/>
      <c r="AE627" s="131"/>
    </row>
    <row r="628" spans="8:31" ht="14.25">
      <c r="H628" s="129"/>
      <c r="I628" s="129"/>
      <c r="J628" s="129"/>
      <c r="K628" s="304"/>
      <c r="N628" s="487"/>
      <c r="O628" s="305"/>
      <c r="Q628" s="305"/>
      <c r="R628" s="305"/>
      <c r="S628" s="471"/>
      <c r="T628" s="471"/>
      <c r="U628" s="471"/>
      <c r="V628" s="471"/>
      <c r="W628" s="471"/>
      <c r="X628" s="471"/>
      <c r="Y628" s="471"/>
      <c r="Z628" s="305"/>
      <c r="AA628" s="305"/>
      <c r="AB628" s="305"/>
      <c r="AC628" s="305"/>
      <c r="AD628" s="305"/>
      <c r="AE628" s="131"/>
    </row>
    <row r="629" spans="8:31" ht="14.25">
      <c r="H629" s="129"/>
      <c r="I629" s="129"/>
      <c r="J629" s="129"/>
      <c r="K629" s="304"/>
      <c r="N629" s="487"/>
      <c r="O629" s="305"/>
      <c r="Q629" s="305"/>
      <c r="R629" s="305"/>
      <c r="S629" s="471"/>
      <c r="T629" s="471"/>
      <c r="U629" s="471"/>
      <c r="V629" s="471"/>
      <c r="W629" s="471"/>
      <c r="X629" s="471"/>
      <c r="Y629" s="471"/>
      <c r="Z629" s="305"/>
      <c r="AA629" s="305"/>
      <c r="AB629" s="305"/>
      <c r="AC629" s="305"/>
      <c r="AD629" s="305"/>
      <c r="AE629" s="131"/>
    </row>
    <row r="630" spans="8:31" ht="14.25">
      <c r="H630" s="129"/>
      <c r="I630" s="129"/>
      <c r="J630" s="129"/>
      <c r="K630" s="304"/>
      <c r="N630" s="487"/>
      <c r="O630" s="305"/>
      <c r="Q630" s="305"/>
      <c r="R630" s="305"/>
      <c r="S630" s="471"/>
      <c r="T630" s="471"/>
      <c r="U630" s="471"/>
      <c r="V630" s="471"/>
      <c r="W630" s="471"/>
      <c r="X630" s="471"/>
      <c r="Y630" s="471"/>
      <c r="Z630" s="305"/>
      <c r="AA630" s="305"/>
      <c r="AB630" s="305"/>
      <c r="AC630" s="305"/>
      <c r="AD630" s="305"/>
      <c r="AE630" s="131"/>
    </row>
    <row r="631" spans="8:31" ht="14.25">
      <c r="H631" s="129"/>
      <c r="I631" s="129"/>
      <c r="J631" s="129"/>
      <c r="K631" s="304"/>
      <c r="N631" s="487"/>
      <c r="O631" s="305"/>
      <c r="Q631" s="305"/>
      <c r="R631" s="305"/>
      <c r="S631" s="471"/>
      <c r="T631" s="471"/>
      <c r="U631" s="471"/>
      <c r="V631" s="471"/>
      <c r="W631" s="471"/>
      <c r="X631" s="471"/>
      <c r="Y631" s="471"/>
      <c r="Z631" s="305"/>
      <c r="AA631" s="305"/>
      <c r="AB631" s="305"/>
      <c r="AC631" s="305"/>
      <c r="AD631" s="305"/>
      <c r="AE631" s="131"/>
    </row>
    <row r="632" spans="8:31" ht="14.25">
      <c r="H632" s="129"/>
      <c r="I632" s="129"/>
      <c r="J632" s="129"/>
      <c r="K632" s="304"/>
      <c r="N632" s="487"/>
      <c r="O632" s="305"/>
      <c r="Q632" s="305"/>
      <c r="R632" s="305"/>
      <c r="S632" s="471"/>
      <c r="T632" s="471"/>
      <c r="U632" s="471"/>
      <c r="V632" s="471"/>
      <c r="W632" s="471"/>
      <c r="X632" s="471"/>
      <c r="Y632" s="471"/>
      <c r="Z632" s="305"/>
      <c r="AA632" s="305"/>
      <c r="AB632" s="305"/>
      <c r="AC632" s="305"/>
      <c r="AD632" s="305"/>
      <c r="AE632" s="131"/>
    </row>
    <row r="633" spans="8:31" ht="14.25">
      <c r="H633" s="129"/>
      <c r="I633" s="129"/>
      <c r="J633" s="129"/>
      <c r="K633" s="304"/>
      <c r="N633" s="487"/>
      <c r="O633" s="305"/>
      <c r="Q633" s="305"/>
      <c r="R633" s="305"/>
      <c r="S633" s="471"/>
      <c r="T633" s="471"/>
      <c r="U633" s="471"/>
      <c r="V633" s="471"/>
      <c r="W633" s="471"/>
      <c r="X633" s="471"/>
      <c r="Y633" s="471"/>
      <c r="Z633" s="305"/>
      <c r="AA633" s="305"/>
      <c r="AB633" s="305"/>
      <c r="AC633" s="305"/>
      <c r="AD633" s="305"/>
      <c r="AE633" s="131"/>
    </row>
    <row r="634" spans="8:31" ht="14.25">
      <c r="H634" s="129"/>
      <c r="I634" s="129"/>
      <c r="J634" s="129"/>
      <c r="K634" s="304"/>
      <c r="N634" s="487"/>
      <c r="O634" s="305"/>
      <c r="Q634" s="305"/>
      <c r="R634" s="305"/>
      <c r="S634" s="471"/>
      <c r="T634" s="471"/>
      <c r="U634" s="471"/>
      <c r="V634" s="471"/>
      <c r="W634" s="471"/>
      <c r="X634" s="471"/>
      <c r="Y634" s="471"/>
      <c r="Z634" s="305"/>
      <c r="AA634" s="305"/>
      <c r="AB634" s="305"/>
      <c r="AC634" s="305"/>
      <c r="AD634" s="305"/>
      <c r="AE634" s="131"/>
    </row>
    <row r="635" spans="8:31" ht="14.25">
      <c r="H635" s="129"/>
      <c r="I635" s="129"/>
      <c r="J635" s="129"/>
      <c r="K635" s="304"/>
      <c r="N635" s="487"/>
      <c r="O635" s="305"/>
      <c r="Q635" s="305"/>
      <c r="R635" s="305"/>
      <c r="S635" s="471"/>
      <c r="T635" s="471"/>
      <c r="U635" s="471"/>
      <c r="V635" s="471"/>
      <c r="W635" s="471"/>
      <c r="X635" s="471"/>
      <c r="Y635" s="471"/>
      <c r="Z635" s="305"/>
      <c r="AA635" s="305"/>
      <c r="AB635" s="305"/>
      <c r="AC635" s="305"/>
      <c r="AD635" s="305"/>
      <c r="AE635" s="131"/>
    </row>
    <row r="636" spans="8:31" ht="14.25">
      <c r="H636" s="129"/>
      <c r="I636" s="129"/>
      <c r="J636" s="129"/>
      <c r="K636" s="304"/>
      <c r="N636" s="487"/>
      <c r="O636" s="305"/>
      <c r="Q636" s="305"/>
      <c r="R636" s="305"/>
      <c r="S636" s="471"/>
      <c r="T636" s="471"/>
      <c r="U636" s="471"/>
      <c r="V636" s="471"/>
      <c r="W636" s="471"/>
      <c r="X636" s="471"/>
      <c r="Y636" s="471"/>
      <c r="Z636" s="305"/>
      <c r="AA636" s="305"/>
      <c r="AB636" s="305"/>
      <c r="AC636" s="305"/>
      <c r="AD636" s="305"/>
      <c r="AE636" s="131"/>
    </row>
    <row r="637" spans="8:31" ht="14.25">
      <c r="H637" s="129"/>
      <c r="I637" s="129"/>
      <c r="J637" s="129"/>
      <c r="K637" s="304"/>
      <c r="N637" s="487"/>
      <c r="O637" s="305"/>
      <c r="Q637" s="305"/>
      <c r="R637" s="305"/>
      <c r="S637" s="471"/>
      <c r="T637" s="471"/>
      <c r="U637" s="471"/>
      <c r="V637" s="471"/>
      <c r="W637" s="471"/>
      <c r="X637" s="471"/>
      <c r="Y637" s="471"/>
      <c r="Z637" s="305"/>
      <c r="AA637" s="305"/>
      <c r="AB637" s="305"/>
      <c r="AC637" s="305"/>
      <c r="AD637" s="305"/>
      <c r="AE637" s="131"/>
    </row>
    <row r="638" spans="8:31" ht="14.25">
      <c r="H638" s="129"/>
      <c r="I638" s="129"/>
      <c r="J638" s="129"/>
      <c r="K638" s="304"/>
      <c r="N638" s="487"/>
      <c r="O638" s="305"/>
      <c r="Q638" s="305"/>
      <c r="R638" s="305"/>
      <c r="S638" s="471"/>
      <c r="T638" s="471"/>
      <c r="U638" s="471"/>
      <c r="V638" s="471"/>
      <c r="W638" s="471"/>
      <c r="X638" s="471"/>
      <c r="Y638" s="471"/>
      <c r="Z638" s="305"/>
      <c r="AA638" s="305"/>
      <c r="AB638" s="305"/>
      <c r="AC638" s="305"/>
      <c r="AD638" s="305"/>
      <c r="AE638" s="131"/>
    </row>
    <row r="639" spans="8:31" ht="14.25">
      <c r="H639" s="129"/>
      <c r="I639" s="129"/>
      <c r="J639" s="129"/>
      <c r="K639" s="304"/>
      <c r="N639" s="487"/>
      <c r="O639" s="305"/>
      <c r="Q639" s="305"/>
      <c r="R639" s="305"/>
      <c r="S639" s="471"/>
      <c r="T639" s="471"/>
      <c r="U639" s="471"/>
      <c r="V639" s="471"/>
      <c r="W639" s="471"/>
      <c r="X639" s="471"/>
      <c r="Y639" s="471"/>
      <c r="Z639" s="305"/>
      <c r="AA639" s="305"/>
      <c r="AB639" s="305"/>
      <c r="AC639" s="305"/>
      <c r="AD639" s="305"/>
      <c r="AE639" s="131"/>
    </row>
    <row r="640" spans="8:31" ht="14.25">
      <c r="H640" s="129"/>
      <c r="I640" s="129"/>
      <c r="J640" s="129"/>
      <c r="K640" s="304"/>
      <c r="N640" s="487"/>
      <c r="O640" s="305"/>
      <c r="Q640" s="305"/>
      <c r="R640" s="305"/>
      <c r="S640" s="471"/>
      <c r="T640" s="471"/>
      <c r="U640" s="471"/>
      <c r="V640" s="471"/>
      <c r="W640" s="471"/>
      <c r="X640" s="471"/>
      <c r="Y640" s="471"/>
      <c r="Z640" s="305"/>
      <c r="AA640" s="305"/>
      <c r="AB640" s="305"/>
      <c r="AC640" s="305"/>
      <c r="AD640" s="305"/>
      <c r="AE640" s="131"/>
    </row>
    <row r="641" spans="8:31" ht="14.25">
      <c r="H641" s="129"/>
      <c r="I641" s="129"/>
      <c r="J641" s="129"/>
      <c r="K641" s="304"/>
      <c r="N641" s="487"/>
      <c r="O641" s="305"/>
      <c r="Q641" s="305"/>
      <c r="R641" s="305"/>
      <c r="S641" s="471"/>
      <c r="T641" s="471"/>
      <c r="U641" s="471"/>
      <c r="V641" s="471"/>
      <c r="W641" s="471"/>
      <c r="X641" s="471"/>
      <c r="Y641" s="471"/>
      <c r="Z641" s="305"/>
      <c r="AA641" s="305"/>
      <c r="AB641" s="305"/>
      <c r="AC641" s="305"/>
      <c r="AD641" s="305"/>
      <c r="AE641" s="131"/>
    </row>
    <row r="642" spans="8:31" ht="14.25">
      <c r="H642" s="129"/>
      <c r="I642" s="129"/>
      <c r="J642" s="129"/>
      <c r="K642" s="304"/>
      <c r="N642" s="487"/>
      <c r="O642" s="305"/>
      <c r="Q642" s="305"/>
      <c r="R642" s="305"/>
      <c r="S642" s="471"/>
      <c r="T642" s="471"/>
      <c r="U642" s="471"/>
      <c r="V642" s="471"/>
      <c r="W642" s="471"/>
      <c r="X642" s="471"/>
      <c r="Y642" s="471"/>
      <c r="Z642" s="305"/>
      <c r="AA642" s="305"/>
      <c r="AB642" s="305"/>
      <c r="AC642" s="305"/>
      <c r="AD642" s="305"/>
      <c r="AE642" s="131"/>
    </row>
    <row r="643" spans="8:31" ht="14.25">
      <c r="H643" s="129"/>
      <c r="I643" s="129"/>
      <c r="J643" s="129"/>
      <c r="K643" s="304"/>
      <c r="N643" s="487"/>
      <c r="O643" s="305"/>
      <c r="Q643" s="305"/>
      <c r="R643" s="305"/>
      <c r="S643" s="471"/>
      <c r="T643" s="471"/>
      <c r="U643" s="471"/>
      <c r="V643" s="471"/>
      <c r="W643" s="471"/>
      <c r="X643" s="471"/>
      <c r="Y643" s="471"/>
      <c r="Z643" s="305"/>
      <c r="AA643" s="305"/>
      <c r="AB643" s="305"/>
      <c r="AC643" s="305"/>
      <c r="AD643" s="305"/>
      <c r="AE643" s="131"/>
    </row>
    <row r="644" spans="8:31" ht="14.25">
      <c r="H644" s="129"/>
      <c r="I644" s="129"/>
      <c r="J644" s="129"/>
      <c r="K644" s="304"/>
      <c r="N644" s="487"/>
      <c r="O644" s="305"/>
      <c r="Q644" s="305"/>
      <c r="R644" s="305"/>
      <c r="S644" s="471"/>
      <c r="T644" s="471"/>
      <c r="U644" s="471"/>
      <c r="V644" s="471"/>
      <c r="W644" s="471"/>
      <c r="X644" s="471"/>
      <c r="Y644" s="471"/>
      <c r="Z644" s="305"/>
      <c r="AA644" s="305"/>
      <c r="AB644" s="305"/>
      <c r="AC644" s="305"/>
      <c r="AD644" s="305"/>
      <c r="AE644" s="131"/>
    </row>
    <row r="645" spans="8:31" ht="14.25">
      <c r="H645" s="129"/>
      <c r="I645" s="129"/>
      <c r="J645" s="129"/>
      <c r="K645" s="304"/>
      <c r="N645" s="487"/>
      <c r="O645" s="305"/>
      <c r="Q645" s="305"/>
      <c r="R645" s="305"/>
      <c r="S645" s="471"/>
      <c r="T645" s="471"/>
      <c r="U645" s="471"/>
      <c r="V645" s="471"/>
      <c r="W645" s="471"/>
      <c r="X645" s="471"/>
      <c r="Y645" s="471"/>
      <c r="Z645" s="305"/>
      <c r="AA645" s="305"/>
      <c r="AB645" s="305"/>
      <c r="AC645" s="305"/>
      <c r="AD645" s="305"/>
      <c r="AE645" s="131"/>
    </row>
    <row r="646" spans="8:31" ht="14.25">
      <c r="H646" s="129"/>
      <c r="I646" s="129"/>
      <c r="J646" s="129"/>
      <c r="K646" s="304"/>
      <c r="N646" s="487"/>
      <c r="O646" s="305"/>
      <c r="Q646" s="305"/>
      <c r="R646" s="305"/>
      <c r="S646" s="471"/>
      <c r="T646" s="471"/>
      <c r="U646" s="471"/>
      <c r="V646" s="471"/>
      <c r="W646" s="471"/>
      <c r="X646" s="471"/>
      <c r="Y646" s="471"/>
      <c r="Z646" s="305"/>
      <c r="AA646" s="305"/>
      <c r="AB646" s="305"/>
      <c r="AC646" s="305"/>
      <c r="AD646" s="305"/>
      <c r="AE646" s="131"/>
    </row>
    <row r="647" spans="8:31" ht="14.25">
      <c r="H647" s="129"/>
      <c r="I647" s="129"/>
      <c r="J647" s="129"/>
      <c r="K647" s="304"/>
      <c r="N647" s="487"/>
      <c r="O647" s="305"/>
      <c r="Q647" s="305"/>
      <c r="R647" s="305"/>
      <c r="S647" s="471"/>
      <c r="T647" s="471"/>
      <c r="U647" s="471"/>
      <c r="V647" s="471"/>
      <c r="W647" s="471"/>
      <c r="X647" s="471"/>
      <c r="Y647" s="471"/>
      <c r="Z647" s="305"/>
      <c r="AA647" s="305"/>
      <c r="AB647" s="305"/>
      <c r="AC647" s="305"/>
      <c r="AD647" s="305"/>
      <c r="AE647" s="131"/>
    </row>
    <row r="648" spans="8:31" ht="14.25">
      <c r="H648" s="129"/>
      <c r="I648" s="129"/>
      <c r="J648" s="129"/>
      <c r="K648" s="304"/>
      <c r="N648" s="487"/>
      <c r="O648" s="305"/>
      <c r="Q648" s="305"/>
      <c r="R648" s="305"/>
      <c r="S648" s="471"/>
      <c r="T648" s="471"/>
      <c r="U648" s="471"/>
      <c r="V648" s="471"/>
      <c r="W648" s="471"/>
      <c r="X648" s="471"/>
      <c r="Y648" s="471"/>
      <c r="Z648" s="305"/>
      <c r="AA648" s="305"/>
      <c r="AB648" s="305"/>
      <c r="AC648" s="305"/>
      <c r="AD648" s="305"/>
      <c r="AE648" s="131"/>
    </row>
    <row r="649" spans="8:31" ht="14.25">
      <c r="H649" s="129"/>
      <c r="I649" s="129"/>
      <c r="J649" s="129"/>
      <c r="K649" s="304"/>
      <c r="N649" s="487"/>
      <c r="O649" s="305"/>
      <c r="Q649" s="305"/>
      <c r="R649" s="305"/>
      <c r="S649" s="471"/>
      <c r="T649" s="471"/>
      <c r="U649" s="471"/>
      <c r="V649" s="471"/>
      <c r="W649" s="471"/>
      <c r="X649" s="471"/>
      <c r="Y649" s="471"/>
      <c r="Z649" s="305"/>
      <c r="AA649" s="305"/>
      <c r="AB649" s="305"/>
      <c r="AC649" s="305"/>
      <c r="AD649" s="305"/>
      <c r="AE649" s="131"/>
    </row>
    <row r="650" spans="8:31" ht="14.25">
      <c r="H650" s="129"/>
      <c r="I650" s="129"/>
      <c r="J650" s="129"/>
      <c r="K650" s="304"/>
      <c r="N650" s="487"/>
      <c r="O650" s="305"/>
      <c r="Q650" s="305"/>
      <c r="R650" s="305"/>
      <c r="S650" s="471"/>
      <c r="T650" s="471"/>
      <c r="U650" s="471"/>
      <c r="V650" s="471"/>
      <c r="W650" s="471"/>
      <c r="X650" s="471"/>
      <c r="Y650" s="471"/>
      <c r="Z650" s="305"/>
      <c r="AA650" s="305"/>
      <c r="AB650" s="305"/>
      <c r="AC650" s="305"/>
      <c r="AD650" s="305"/>
      <c r="AE650" s="131"/>
    </row>
    <row r="651" spans="8:31" ht="14.25">
      <c r="H651" s="129"/>
      <c r="I651" s="129"/>
      <c r="J651" s="129"/>
      <c r="K651" s="304"/>
      <c r="N651" s="487"/>
      <c r="O651" s="305"/>
      <c r="Q651" s="305"/>
      <c r="R651" s="305"/>
      <c r="S651" s="471"/>
      <c r="T651" s="471"/>
      <c r="U651" s="471"/>
      <c r="V651" s="471"/>
      <c r="W651" s="471"/>
      <c r="X651" s="471"/>
      <c r="Y651" s="471"/>
      <c r="Z651" s="305"/>
      <c r="AA651" s="305"/>
      <c r="AB651" s="305"/>
      <c r="AC651" s="305"/>
      <c r="AD651" s="305"/>
      <c r="AE651" s="131"/>
    </row>
    <row r="652" spans="8:31" ht="14.25">
      <c r="H652" s="129"/>
      <c r="I652" s="129"/>
      <c r="J652" s="129"/>
      <c r="K652" s="304"/>
      <c r="N652" s="487"/>
      <c r="O652" s="305"/>
      <c r="Q652" s="305"/>
      <c r="R652" s="305"/>
      <c r="S652" s="471"/>
      <c r="T652" s="471"/>
      <c r="U652" s="471"/>
      <c r="V652" s="471"/>
      <c r="W652" s="471"/>
      <c r="X652" s="471"/>
      <c r="Y652" s="471"/>
      <c r="Z652" s="305"/>
      <c r="AA652" s="305"/>
      <c r="AB652" s="305"/>
      <c r="AC652" s="305"/>
      <c r="AD652" s="305"/>
      <c r="AE652" s="131"/>
    </row>
    <row r="653" spans="8:31" ht="14.25">
      <c r="H653" s="129"/>
      <c r="I653" s="129"/>
      <c r="J653" s="129"/>
      <c r="K653" s="304"/>
      <c r="N653" s="487"/>
      <c r="O653" s="305"/>
      <c r="Q653" s="305"/>
      <c r="R653" s="305"/>
      <c r="S653" s="471"/>
      <c r="T653" s="471"/>
      <c r="U653" s="471"/>
      <c r="V653" s="471"/>
      <c r="W653" s="471"/>
      <c r="X653" s="471"/>
      <c r="Y653" s="471"/>
      <c r="Z653" s="305"/>
      <c r="AA653" s="305"/>
      <c r="AB653" s="305"/>
      <c r="AC653" s="305"/>
      <c r="AD653" s="305"/>
      <c r="AE653" s="131"/>
    </row>
    <row r="654" spans="8:31" ht="14.25">
      <c r="H654" s="129"/>
      <c r="I654" s="129"/>
      <c r="J654" s="129"/>
      <c r="K654" s="304"/>
      <c r="N654" s="487"/>
      <c r="O654" s="305"/>
      <c r="Q654" s="305"/>
      <c r="R654" s="305"/>
      <c r="S654" s="471"/>
      <c r="T654" s="471"/>
      <c r="U654" s="471"/>
      <c r="V654" s="471"/>
      <c r="W654" s="471"/>
      <c r="X654" s="471"/>
      <c r="Y654" s="471"/>
      <c r="Z654" s="305"/>
      <c r="AA654" s="305"/>
      <c r="AB654" s="305"/>
      <c r="AC654" s="305"/>
      <c r="AD654" s="305"/>
      <c r="AE654" s="131"/>
    </row>
    <row r="655" spans="8:31" ht="14.25">
      <c r="H655" s="129"/>
      <c r="I655" s="129"/>
      <c r="J655" s="129"/>
      <c r="K655" s="304"/>
      <c r="N655" s="487"/>
      <c r="O655" s="305"/>
      <c r="Q655" s="305"/>
      <c r="R655" s="305"/>
      <c r="S655" s="471"/>
      <c r="T655" s="471"/>
      <c r="U655" s="471"/>
      <c r="V655" s="471"/>
      <c r="W655" s="471"/>
      <c r="X655" s="471"/>
      <c r="Y655" s="471"/>
      <c r="Z655" s="305"/>
      <c r="AA655" s="305"/>
      <c r="AB655" s="305"/>
      <c r="AC655" s="305"/>
      <c r="AD655" s="305"/>
      <c r="AE655" s="131"/>
    </row>
    <row r="656" spans="8:31" ht="14.25">
      <c r="H656" s="129"/>
      <c r="I656" s="129"/>
      <c r="J656" s="129"/>
      <c r="K656" s="304"/>
      <c r="N656" s="487"/>
      <c r="O656" s="305"/>
      <c r="Q656" s="305"/>
      <c r="R656" s="305"/>
      <c r="S656" s="471"/>
      <c r="T656" s="471"/>
      <c r="U656" s="471"/>
      <c r="V656" s="471"/>
      <c r="W656" s="471"/>
      <c r="X656" s="471"/>
      <c r="Y656" s="471"/>
      <c r="Z656" s="305"/>
      <c r="AA656" s="305"/>
      <c r="AB656" s="305"/>
      <c r="AC656" s="305"/>
      <c r="AD656" s="305"/>
      <c r="AE656" s="131"/>
    </row>
    <row r="657" spans="8:31" ht="14.25">
      <c r="H657" s="129"/>
      <c r="I657" s="129"/>
      <c r="J657" s="129"/>
      <c r="K657" s="304"/>
      <c r="N657" s="487"/>
      <c r="O657" s="305"/>
      <c r="Q657" s="305"/>
      <c r="R657" s="305"/>
      <c r="S657" s="471"/>
      <c r="T657" s="471"/>
      <c r="U657" s="471"/>
      <c r="V657" s="471"/>
      <c r="W657" s="471"/>
      <c r="X657" s="471"/>
      <c r="Y657" s="471"/>
      <c r="Z657" s="305"/>
      <c r="AA657" s="305"/>
      <c r="AB657" s="305"/>
      <c r="AC657" s="305"/>
      <c r="AD657" s="305"/>
      <c r="AE657" s="131"/>
    </row>
    <row r="658" spans="8:31" ht="14.25">
      <c r="H658" s="129"/>
      <c r="I658" s="129"/>
      <c r="J658" s="129"/>
      <c r="K658" s="304"/>
      <c r="N658" s="487"/>
      <c r="O658" s="305"/>
      <c r="Q658" s="305"/>
      <c r="R658" s="305"/>
      <c r="S658" s="471"/>
      <c r="T658" s="471"/>
      <c r="U658" s="471"/>
      <c r="V658" s="471"/>
      <c r="W658" s="471"/>
      <c r="X658" s="471"/>
      <c r="Y658" s="471"/>
      <c r="Z658" s="305"/>
      <c r="AA658" s="305"/>
      <c r="AB658" s="305"/>
      <c r="AC658" s="305"/>
      <c r="AD658" s="305"/>
      <c r="AE658" s="131"/>
    </row>
    <row r="659" spans="8:31" ht="14.25">
      <c r="H659" s="129"/>
      <c r="I659" s="129"/>
      <c r="J659" s="129"/>
      <c r="K659" s="304"/>
      <c r="N659" s="487"/>
      <c r="O659" s="305"/>
      <c r="Q659" s="305"/>
      <c r="R659" s="305"/>
      <c r="S659" s="471"/>
      <c r="T659" s="471"/>
      <c r="U659" s="471"/>
      <c r="V659" s="471"/>
      <c r="W659" s="471"/>
      <c r="X659" s="471"/>
      <c r="Y659" s="471"/>
      <c r="Z659" s="305"/>
      <c r="AA659" s="305"/>
      <c r="AB659" s="305"/>
      <c r="AC659" s="305"/>
      <c r="AD659" s="305"/>
      <c r="AE659" s="131"/>
    </row>
    <row r="660" spans="8:31" ht="14.25">
      <c r="H660" s="129"/>
      <c r="I660" s="129"/>
      <c r="J660" s="129"/>
      <c r="K660" s="304"/>
      <c r="N660" s="487"/>
      <c r="O660" s="305"/>
      <c r="Q660" s="305"/>
      <c r="R660" s="305"/>
      <c r="S660" s="471"/>
      <c r="T660" s="471"/>
      <c r="U660" s="471"/>
      <c r="V660" s="471"/>
      <c r="W660" s="471"/>
      <c r="X660" s="471"/>
      <c r="Y660" s="471"/>
      <c r="Z660" s="305"/>
      <c r="AA660" s="305"/>
      <c r="AB660" s="305"/>
      <c r="AC660" s="305"/>
      <c r="AD660" s="305"/>
      <c r="AE660" s="131"/>
    </row>
    <row r="661" spans="8:31" ht="14.25">
      <c r="H661" s="129"/>
      <c r="I661" s="129"/>
      <c r="J661" s="129"/>
      <c r="K661" s="304"/>
      <c r="N661" s="487"/>
      <c r="O661" s="305"/>
      <c r="Q661" s="305"/>
      <c r="R661" s="305"/>
      <c r="S661" s="471"/>
      <c r="T661" s="471"/>
      <c r="U661" s="471"/>
      <c r="V661" s="471"/>
      <c r="W661" s="471"/>
      <c r="X661" s="471"/>
      <c r="Y661" s="471"/>
      <c r="Z661" s="305"/>
      <c r="AA661" s="305"/>
      <c r="AB661" s="305"/>
      <c r="AC661" s="305"/>
      <c r="AD661" s="305"/>
      <c r="AE661" s="131"/>
    </row>
    <row r="662" spans="8:31" ht="14.25">
      <c r="H662" s="129"/>
      <c r="I662" s="129"/>
      <c r="J662" s="129"/>
      <c r="K662" s="304"/>
      <c r="N662" s="487"/>
      <c r="O662" s="305"/>
      <c r="Q662" s="305"/>
      <c r="R662" s="305"/>
      <c r="S662" s="471"/>
      <c r="T662" s="471"/>
      <c r="U662" s="471"/>
      <c r="V662" s="471"/>
      <c r="W662" s="471"/>
      <c r="X662" s="471"/>
      <c r="Y662" s="471"/>
      <c r="Z662" s="305"/>
      <c r="AA662" s="305"/>
      <c r="AB662" s="305"/>
      <c r="AC662" s="305"/>
      <c r="AD662" s="305"/>
      <c r="AE662" s="131"/>
    </row>
    <row r="663" spans="8:31" ht="14.25">
      <c r="H663" s="129"/>
      <c r="I663" s="129"/>
      <c r="J663" s="129"/>
      <c r="K663" s="304"/>
      <c r="N663" s="487"/>
      <c r="O663" s="305"/>
      <c r="Q663" s="305"/>
      <c r="R663" s="305"/>
      <c r="S663" s="471"/>
      <c r="T663" s="471"/>
      <c r="U663" s="471"/>
      <c r="V663" s="471"/>
      <c r="W663" s="471"/>
      <c r="X663" s="471"/>
      <c r="Y663" s="471"/>
      <c r="Z663" s="305"/>
      <c r="AA663" s="305"/>
      <c r="AB663" s="305"/>
      <c r="AC663" s="305"/>
      <c r="AD663" s="305"/>
      <c r="AE663" s="131"/>
    </row>
    <row r="664" spans="8:31" ht="14.25">
      <c r="H664" s="129"/>
      <c r="I664" s="129"/>
      <c r="J664" s="129"/>
      <c r="K664" s="304"/>
      <c r="N664" s="487"/>
      <c r="O664" s="305"/>
      <c r="Q664" s="305"/>
      <c r="R664" s="305"/>
      <c r="S664" s="471"/>
      <c r="T664" s="471"/>
      <c r="U664" s="471"/>
      <c r="V664" s="471"/>
      <c r="W664" s="471"/>
      <c r="X664" s="471"/>
      <c r="Y664" s="471"/>
      <c r="Z664" s="305"/>
      <c r="AA664" s="305"/>
      <c r="AB664" s="305"/>
      <c r="AC664" s="305"/>
      <c r="AD664" s="305"/>
      <c r="AE664" s="131"/>
    </row>
    <row r="665" spans="8:31" ht="14.25">
      <c r="H665" s="129"/>
      <c r="I665" s="129"/>
      <c r="J665" s="129"/>
      <c r="K665" s="304"/>
      <c r="N665" s="487"/>
      <c r="O665" s="305"/>
      <c r="Q665" s="305"/>
      <c r="R665" s="305"/>
      <c r="S665" s="471"/>
      <c r="T665" s="471"/>
      <c r="U665" s="471"/>
      <c r="V665" s="471"/>
      <c r="W665" s="471"/>
      <c r="X665" s="471"/>
      <c r="Y665" s="471"/>
      <c r="Z665" s="305"/>
      <c r="AA665" s="305"/>
      <c r="AB665" s="305"/>
      <c r="AC665" s="305"/>
      <c r="AD665" s="305"/>
      <c r="AE665" s="131"/>
    </row>
    <row r="666" spans="8:31" ht="14.25">
      <c r="H666" s="129"/>
      <c r="I666" s="129"/>
      <c r="J666" s="129"/>
      <c r="K666" s="304"/>
      <c r="N666" s="487"/>
      <c r="O666" s="305"/>
      <c r="Q666" s="305"/>
      <c r="R666" s="305"/>
      <c r="S666" s="471"/>
      <c r="T666" s="471"/>
      <c r="U666" s="471"/>
      <c r="V666" s="471"/>
      <c r="W666" s="471"/>
      <c r="X666" s="471"/>
      <c r="Y666" s="471"/>
      <c r="Z666" s="305"/>
      <c r="AA666" s="305"/>
      <c r="AB666" s="305"/>
      <c r="AC666" s="305"/>
      <c r="AD666" s="305"/>
      <c r="AE666" s="131"/>
    </row>
    <row r="667" spans="8:31" ht="14.25">
      <c r="H667" s="129"/>
      <c r="I667" s="129"/>
      <c r="J667" s="129"/>
      <c r="K667" s="304"/>
      <c r="N667" s="487"/>
      <c r="O667" s="305"/>
      <c r="Q667" s="305"/>
      <c r="R667" s="305"/>
      <c r="S667" s="471"/>
      <c r="T667" s="471"/>
      <c r="U667" s="471"/>
      <c r="V667" s="471"/>
      <c r="W667" s="471"/>
      <c r="X667" s="471"/>
      <c r="Y667" s="471"/>
      <c r="Z667" s="305"/>
      <c r="AA667" s="305"/>
      <c r="AB667" s="305"/>
      <c r="AC667" s="305"/>
      <c r="AD667" s="305"/>
      <c r="AE667" s="131"/>
    </row>
    <row r="668" spans="8:31" ht="14.25">
      <c r="H668" s="129"/>
      <c r="I668" s="129"/>
      <c r="J668" s="129"/>
      <c r="K668" s="304"/>
      <c r="N668" s="487"/>
      <c r="O668" s="305"/>
      <c r="Q668" s="305"/>
      <c r="R668" s="305"/>
      <c r="S668" s="471"/>
      <c r="T668" s="471"/>
      <c r="U668" s="471"/>
      <c r="V668" s="471"/>
      <c r="W668" s="471"/>
      <c r="X668" s="471"/>
      <c r="Y668" s="471"/>
      <c r="Z668" s="305"/>
      <c r="AA668" s="305"/>
      <c r="AB668" s="305"/>
      <c r="AC668" s="305"/>
      <c r="AD668" s="305"/>
      <c r="AE668" s="131"/>
    </row>
    <row r="669" spans="8:31" ht="14.25">
      <c r="H669" s="129"/>
      <c r="I669" s="129"/>
      <c r="J669" s="129"/>
      <c r="K669" s="304"/>
      <c r="N669" s="487"/>
      <c r="O669" s="305"/>
      <c r="Q669" s="305"/>
      <c r="R669" s="305"/>
      <c r="S669" s="471"/>
      <c r="T669" s="471"/>
      <c r="U669" s="471"/>
      <c r="V669" s="471"/>
      <c r="W669" s="471"/>
      <c r="X669" s="471"/>
      <c r="Y669" s="471"/>
      <c r="Z669" s="305"/>
      <c r="AA669" s="305"/>
      <c r="AB669" s="305"/>
      <c r="AC669" s="305"/>
      <c r="AD669" s="305"/>
      <c r="AE669" s="131"/>
    </row>
    <row r="670" spans="8:31" ht="14.25">
      <c r="H670" s="129"/>
      <c r="I670" s="129"/>
      <c r="J670" s="129"/>
      <c r="K670" s="304"/>
      <c r="N670" s="487"/>
      <c r="O670" s="305"/>
      <c r="Q670" s="305"/>
      <c r="R670" s="305"/>
      <c r="S670" s="471"/>
      <c r="T670" s="471"/>
      <c r="U670" s="471"/>
      <c r="V670" s="471"/>
      <c r="W670" s="471"/>
      <c r="X670" s="471"/>
      <c r="Y670" s="471"/>
      <c r="Z670" s="305"/>
      <c r="AA670" s="305"/>
      <c r="AB670" s="305"/>
      <c r="AC670" s="305"/>
      <c r="AD670" s="305"/>
      <c r="AE670" s="131"/>
    </row>
    <row r="671" spans="8:31" ht="14.25">
      <c r="H671" s="129"/>
      <c r="I671" s="129"/>
      <c r="J671" s="129"/>
      <c r="K671" s="304"/>
      <c r="N671" s="487"/>
      <c r="O671" s="305"/>
      <c r="Q671" s="305"/>
      <c r="R671" s="305"/>
      <c r="S671" s="471"/>
      <c r="T671" s="471"/>
      <c r="U671" s="471"/>
      <c r="V671" s="471"/>
      <c r="W671" s="471"/>
      <c r="X671" s="471"/>
      <c r="Y671" s="471"/>
      <c r="Z671" s="305"/>
      <c r="AA671" s="305"/>
      <c r="AB671" s="305"/>
      <c r="AC671" s="305"/>
      <c r="AD671" s="305"/>
      <c r="AE671" s="131"/>
    </row>
    <row r="672" spans="8:31" ht="14.25">
      <c r="H672" s="129"/>
      <c r="I672" s="129"/>
      <c r="J672" s="129"/>
      <c r="K672" s="304"/>
      <c r="N672" s="487"/>
      <c r="O672" s="305"/>
      <c r="Q672" s="305"/>
      <c r="R672" s="305"/>
      <c r="S672" s="471"/>
      <c r="T672" s="471"/>
      <c r="U672" s="471"/>
      <c r="V672" s="471"/>
      <c r="W672" s="471"/>
      <c r="X672" s="471"/>
      <c r="Y672" s="471"/>
      <c r="Z672" s="305"/>
      <c r="AA672" s="305"/>
      <c r="AB672" s="305"/>
      <c r="AC672" s="305"/>
      <c r="AD672" s="305"/>
      <c r="AE672" s="131"/>
    </row>
    <row r="673" spans="8:31" ht="14.25">
      <c r="H673" s="129"/>
      <c r="I673" s="129"/>
      <c r="J673" s="129"/>
      <c r="K673" s="304"/>
      <c r="N673" s="487"/>
      <c r="O673" s="305"/>
      <c r="Q673" s="305"/>
      <c r="R673" s="305"/>
      <c r="S673" s="471"/>
      <c r="T673" s="471"/>
      <c r="U673" s="471"/>
      <c r="V673" s="471"/>
      <c r="W673" s="471"/>
      <c r="X673" s="471"/>
      <c r="Y673" s="471"/>
      <c r="Z673" s="305"/>
      <c r="AA673" s="305"/>
      <c r="AB673" s="305"/>
      <c r="AC673" s="305"/>
      <c r="AD673" s="305"/>
      <c r="AE673" s="131"/>
    </row>
    <row r="674" spans="8:31" ht="14.25">
      <c r="H674" s="129"/>
      <c r="I674" s="129"/>
      <c r="J674" s="129"/>
      <c r="K674" s="304"/>
      <c r="N674" s="487"/>
      <c r="O674" s="305"/>
      <c r="Q674" s="305"/>
      <c r="R674" s="305"/>
      <c r="S674" s="471"/>
      <c r="T674" s="471"/>
      <c r="U674" s="471"/>
      <c r="V674" s="471"/>
      <c r="W674" s="471"/>
      <c r="X674" s="471"/>
      <c r="Y674" s="471"/>
      <c r="Z674" s="305"/>
      <c r="AA674" s="305"/>
      <c r="AB674" s="305"/>
      <c r="AC674" s="305"/>
      <c r="AD674" s="305"/>
      <c r="AE674" s="131"/>
    </row>
    <row r="675" spans="8:31" ht="14.25">
      <c r="H675" s="129"/>
      <c r="I675" s="129"/>
      <c r="J675" s="129"/>
      <c r="K675" s="304"/>
      <c r="N675" s="487"/>
      <c r="O675" s="305"/>
      <c r="Q675" s="305"/>
      <c r="R675" s="305"/>
      <c r="S675" s="471"/>
      <c r="T675" s="471"/>
      <c r="U675" s="471"/>
      <c r="V675" s="471"/>
      <c r="W675" s="471"/>
      <c r="X675" s="471"/>
      <c r="Y675" s="471"/>
      <c r="Z675" s="305"/>
      <c r="AA675" s="305"/>
      <c r="AB675" s="305"/>
      <c r="AC675" s="305"/>
      <c r="AD675" s="305"/>
      <c r="AE675" s="131"/>
    </row>
    <row r="676" spans="8:31" ht="14.25">
      <c r="H676" s="129"/>
      <c r="I676" s="129"/>
      <c r="J676" s="129"/>
      <c r="K676" s="304"/>
      <c r="N676" s="487"/>
      <c r="O676" s="305"/>
      <c r="Q676" s="305"/>
      <c r="R676" s="305"/>
      <c r="S676" s="471"/>
      <c r="T676" s="471"/>
      <c r="U676" s="471"/>
      <c r="V676" s="471"/>
      <c r="W676" s="471"/>
      <c r="X676" s="471"/>
      <c r="Y676" s="471"/>
      <c r="Z676" s="305"/>
      <c r="AA676" s="305"/>
      <c r="AB676" s="305"/>
      <c r="AC676" s="305"/>
      <c r="AD676" s="305"/>
      <c r="AE676" s="131"/>
    </row>
    <row r="677" spans="8:31" ht="14.25">
      <c r="H677" s="129"/>
      <c r="I677" s="129"/>
      <c r="J677" s="129"/>
      <c r="K677" s="304"/>
      <c r="N677" s="487"/>
      <c r="O677" s="305"/>
      <c r="Q677" s="305"/>
      <c r="R677" s="305"/>
      <c r="S677" s="471"/>
      <c r="T677" s="471"/>
      <c r="U677" s="471"/>
      <c r="V677" s="471"/>
      <c r="W677" s="471"/>
      <c r="X677" s="471"/>
      <c r="Y677" s="471"/>
      <c r="Z677" s="305"/>
      <c r="AA677" s="305"/>
      <c r="AB677" s="305"/>
      <c r="AC677" s="305"/>
      <c r="AD677" s="305"/>
      <c r="AE677" s="131"/>
    </row>
    <row r="678" spans="8:31" ht="14.25">
      <c r="H678" s="129"/>
      <c r="I678" s="129"/>
      <c r="J678" s="129"/>
      <c r="K678" s="304"/>
      <c r="N678" s="487"/>
      <c r="O678" s="305"/>
      <c r="Q678" s="305"/>
      <c r="R678" s="305"/>
      <c r="S678" s="471"/>
      <c r="T678" s="471"/>
      <c r="U678" s="471"/>
      <c r="V678" s="471"/>
      <c r="W678" s="471"/>
      <c r="X678" s="471"/>
      <c r="Y678" s="471"/>
      <c r="Z678" s="305"/>
      <c r="AA678" s="305"/>
      <c r="AB678" s="305"/>
      <c r="AC678" s="305"/>
      <c r="AD678" s="305"/>
      <c r="AE678" s="131"/>
    </row>
    <row r="679" spans="8:31" ht="14.25">
      <c r="H679" s="129"/>
      <c r="I679" s="129"/>
      <c r="J679" s="129"/>
      <c r="K679" s="304"/>
      <c r="N679" s="487"/>
      <c r="O679" s="305"/>
      <c r="Q679" s="305"/>
      <c r="R679" s="305"/>
      <c r="S679" s="471"/>
      <c r="T679" s="471"/>
      <c r="U679" s="471"/>
      <c r="V679" s="471"/>
      <c r="W679" s="471"/>
      <c r="X679" s="471"/>
      <c r="Y679" s="471"/>
      <c r="Z679" s="305"/>
      <c r="AA679" s="305"/>
      <c r="AB679" s="305"/>
      <c r="AC679" s="305"/>
      <c r="AD679" s="305"/>
      <c r="AE679" s="131"/>
    </row>
    <row r="680" spans="8:31" ht="14.25">
      <c r="H680" s="129"/>
      <c r="I680" s="129"/>
      <c r="J680" s="129"/>
      <c r="K680" s="304"/>
      <c r="N680" s="487"/>
      <c r="O680" s="305"/>
      <c r="Q680" s="305"/>
      <c r="R680" s="305"/>
      <c r="S680" s="471"/>
      <c r="T680" s="471"/>
      <c r="U680" s="471"/>
      <c r="V680" s="471"/>
      <c r="W680" s="471"/>
      <c r="X680" s="471"/>
      <c r="Y680" s="471"/>
      <c r="Z680" s="305"/>
      <c r="AA680" s="305"/>
      <c r="AB680" s="305"/>
      <c r="AC680" s="305"/>
      <c r="AD680" s="305"/>
      <c r="AE680" s="131"/>
    </row>
    <row r="681" spans="8:31" ht="14.25">
      <c r="H681" s="129"/>
      <c r="I681" s="129"/>
      <c r="J681" s="129"/>
      <c r="K681" s="304"/>
      <c r="N681" s="487"/>
      <c r="O681" s="305"/>
      <c r="Q681" s="305"/>
      <c r="R681" s="305"/>
      <c r="S681" s="471"/>
      <c r="T681" s="471"/>
      <c r="U681" s="471"/>
      <c r="V681" s="471"/>
      <c r="W681" s="471"/>
      <c r="X681" s="471"/>
      <c r="Y681" s="471"/>
      <c r="Z681" s="305"/>
      <c r="AA681" s="305"/>
      <c r="AB681" s="305"/>
      <c r="AC681" s="305"/>
      <c r="AD681" s="305"/>
      <c r="AE681" s="131"/>
    </row>
    <row r="682" spans="8:31" ht="14.25">
      <c r="H682" s="129"/>
      <c r="I682" s="129"/>
      <c r="J682" s="129"/>
      <c r="K682" s="304"/>
      <c r="N682" s="487"/>
      <c r="O682" s="305"/>
      <c r="Q682" s="305"/>
      <c r="R682" s="305"/>
      <c r="S682" s="471"/>
      <c r="T682" s="471"/>
      <c r="U682" s="471"/>
      <c r="V682" s="471"/>
      <c r="W682" s="471"/>
      <c r="X682" s="471"/>
      <c r="Y682" s="471"/>
      <c r="Z682" s="305"/>
      <c r="AA682" s="305"/>
      <c r="AB682" s="305"/>
      <c r="AC682" s="305"/>
      <c r="AD682" s="305"/>
      <c r="AE682" s="131"/>
    </row>
    <row r="683" spans="8:31" ht="14.25">
      <c r="H683" s="129"/>
      <c r="I683" s="129"/>
      <c r="J683" s="129"/>
      <c r="K683" s="304"/>
      <c r="N683" s="487"/>
      <c r="O683" s="305"/>
      <c r="Q683" s="305"/>
      <c r="R683" s="305"/>
      <c r="S683" s="471"/>
      <c r="T683" s="471"/>
      <c r="U683" s="471"/>
      <c r="V683" s="471"/>
      <c r="W683" s="471"/>
      <c r="X683" s="471"/>
      <c r="Y683" s="471"/>
      <c r="Z683" s="305"/>
      <c r="AA683" s="305"/>
      <c r="AB683" s="305"/>
      <c r="AC683" s="305"/>
      <c r="AD683" s="305"/>
      <c r="AE683" s="131"/>
    </row>
    <row r="684" spans="8:31" ht="14.25">
      <c r="H684" s="129"/>
      <c r="I684" s="129"/>
      <c r="J684" s="129"/>
      <c r="K684" s="304"/>
      <c r="N684" s="487"/>
      <c r="O684" s="305"/>
      <c r="Q684" s="305"/>
      <c r="R684" s="305"/>
      <c r="S684" s="471"/>
      <c r="T684" s="471"/>
      <c r="U684" s="471"/>
      <c r="V684" s="471"/>
      <c r="W684" s="471"/>
      <c r="X684" s="471"/>
      <c r="Y684" s="471"/>
      <c r="Z684" s="305"/>
      <c r="AA684" s="305"/>
      <c r="AB684" s="305"/>
      <c r="AC684" s="305"/>
      <c r="AD684" s="305"/>
      <c r="AE684" s="131"/>
    </row>
    <row r="685" spans="8:31" ht="14.25">
      <c r="H685" s="129"/>
      <c r="I685" s="129"/>
      <c r="J685" s="129"/>
      <c r="K685" s="304"/>
      <c r="N685" s="487"/>
      <c r="O685" s="305"/>
      <c r="Q685" s="305"/>
      <c r="R685" s="305"/>
      <c r="S685" s="471"/>
      <c r="T685" s="471"/>
      <c r="U685" s="471"/>
      <c r="V685" s="471"/>
      <c r="W685" s="471"/>
      <c r="X685" s="471"/>
      <c r="Y685" s="471"/>
      <c r="Z685" s="305"/>
      <c r="AA685" s="305"/>
      <c r="AB685" s="305"/>
      <c r="AC685" s="305"/>
      <c r="AD685" s="305"/>
      <c r="AE685" s="131"/>
    </row>
    <row r="686" spans="8:31" ht="14.25">
      <c r="H686" s="129"/>
      <c r="I686" s="129"/>
      <c r="J686" s="129"/>
      <c r="K686" s="304"/>
      <c r="N686" s="487"/>
      <c r="O686" s="305"/>
      <c r="Q686" s="305"/>
      <c r="R686" s="305"/>
      <c r="S686" s="471"/>
      <c r="T686" s="471"/>
      <c r="U686" s="471"/>
      <c r="V686" s="471"/>
      <c r="W686" s="471"/>
      <c r="X686" s="471"/>
      <c r="Y686" s="471"/>
      <c r="Z686" s="305"/>
      <c r="AA686" s="305"/>
      <c r="AB686" s="305"/>
      <c r="AC686" s="305"/>
      <c r="AD686" s="305"/>
      <c r="AE686" s="131"/>
    </row>
    <row r="687" spans="8:31" ht="14.25">
      <c r="H687" s="129"/>
      <c r="I687" s="129"/>
      <c r="J687" s="129"/>
      <c r="K687" s="304"/>
      <c r="N687" s="487"/>
      <c r="O687" s="305"/>
      <c r="Q687" s="305"/>
      <c r="R687" s="305"/>
      <c r="S687" s="471"/>
      <c r="T687" s="471"/>
      <c r="U687" s="471"/>
      <c r="V687" s="471"/>
      <c r="W687" s="471"/>
      <c r="X687" s="471"/>
      <c r="Y687" s="471"/>
      <c r="Z687" s="305"/>
      <c r="AA687" s="305"/>
      <c r="AB687" s="305"/>
      <c r="AC687" s="305"/>
      <c r="AD687" s="305"/>
      <c r="AE687" s="131"/>
    </row>
    <row r="688" spans="8:31" ht="14.25">
      <c r="H688" s="129"/>
      <c r="I688" s="129"/>
      <c r="J688" s="129"/>
      <c r="K688" s="304"/>
      <c r="N688" s="487"/>
      <c r="O688" s="305"/>
      <c r="Q688" s="305"/>
      <c r="R688" s="305"/>
      <c r="S688" s="471"/>
      <c r="T688" s="471"/>
      <c r="U688" s="471"/>
      <c r="V688" s="471"/>
      <c r="W688" s="471"/>
      <c r="X688" s="471"/>
      <c r="Y688" s="471"/>
      <c r="Z688" s="305"/>
      <c r="AA688" s="305"/>
      <c r="AB688" s="305"/>
      <c r="AC688" s="305"/>
      <c r="AD688" s="305"/>
      <c r="AE688" s="131"/>
    </row>
    <row r="689" spans="8:31" ht="14.25">
      <c r="H689" s="129"/>
      <c r="I689" s="129"/>
      <c r="J689" s="129"/>
      <c r="K689" s="304"/>
      <c r="N689" s="487"/>
      <c r="O689" s="305"/>
      <c r="Q689" s="305"/>
      <c r="R689" s="305"/>
      <c r="S689" s="471"/>
      <c r="T689" s="471"/>
      <c r="U689" s="471"/>
      <c r="V689" s="471"/>
      <c r="W689" s="471"/>
      <c r="X689" s="471"/>
      <c r="Y689" s="471"/>
      <c r="Z689" s="305"/>
      <c r="AA689" s="305"/>
      <c r="AB689" s="305"/>
      <c r="AC689" s="305"/>
      <c r="AD689" s="305"/>
      <c r="AE689" s="131"/>
    </row>
    <row r="690" spans="8:31" ht="14.25">
      <c r="H690" s="129"/>
      <c r="I690" s="129"/>
      <c r="J690" s="129"/>
      <c r="K690" s="304"/>
      <c r="N690" s="487"/>
      <c r="O690" s="305"/>
      <c r="Q690" s="305"/>
      <c r="R690" s="305"/>
      <c r="S690" s="471"/>
      <c r="T690" s="471"/>
      <c r="U690" s="471"/>
      <c r="V690" s="471"/>
      <c r="W690" s="471"/>
      <c r="X690" s="471"/>
      <c r="Y690" s="471"/>
      <c r="Z690" s="305"/>
      <c r="AA690" s="305"/>
      <c r="AB690" s="305"/>
      <c r="AC690" s="305"/>
      <c r="AD690" s="305"/>
      <c r="AE690" s="131"/>
    </row>
    <row r="691" spans="8:31" ht="14.25">
      <c r="H691" s="129"/>
      <c r="I691" s="129"/>
      <c r="J691" s="129"/>
      <c r="K691" s="304"/>
      <c r="N691" s="487"/>
      <c r="O691" s="305"/>
      <c r="Q691" s="305"/>
      <c r="R691" s="305"/>
      <c r="S691" s="471"/>
      <c r="T691" s="471"/>
      <c r="U691" s="471"/>
      <c r="V691" s="471"/>
      <c r="W691" s="471"/>
      <c r="X691" s="471"/>
      <c r="Y691" s="471"/>
      <c r="Z691" s="305"/>
      <c r="AA691" s="305"/>
      <c r="AB691" s="305"/>
      <c r="AC691" s="305"/>
      <c r="AD691" s="305"/>
      <c r="AE691" s="131"/>
    </row>
    <row r="692" spans="8:31" ht="14.25">
      <c r="H692" s="129"/>
      <c r="I692" s="129"/>
      <c r="J692" s="129"/>
      <c r="K692" s="304"/>
      <c r="N692" s="487"/>
      <c r="O692" s="305"/>
      <c r="Q692" s="305"/>
      <c r="R692" s="305"/>
      <c r="S692" s="471"/>
      <c r="T692" s="471"/>
      <c r="U692" s="471"/>
      <c r="V692" s="471"/>
      <c r="W692" s="471"/>
      <c r="X692" s="471"/>
      <c r="Y692" s="471"/>
      <c r="Z692" s="305"/>
      <c r="AA692" s="305"/>
      <c r="AB692" s="305"/>
      <c r="AC692" s="305"/>
      <c r="AD692" s="305"/>
      <c r="AE692" s="131"/>
    </row>
    <row r="693" spans="8:31" ht="14.25">
      <c r="H693" s="129"/>
      <c r="I693" s="129"/>
      <c r="J693" s="129"/>
      <c r="K693" s="304"/>
      <c r="N693" s="487"/>
      <c r="O693" s="305"/>
      <c r="Q693" s="305"/>
      <c r="R693" s="305"/>
      <c r="S693" s="471"/>
      <c r="T693" s="471"/>
      <c r="U693" s="471"/>
      <c r="V693" s="471"/>
      <c r="W693" s="471"/>
      <c r="X693" s="471"/>
      <c r="Y693" s="471"/>
      <c r="Z693" s="305"/>
      <c r="AA693" s="305"/>
      <c r="AB693" s="305"/>
      <c r="AC693" s="305"/>
      <c r="AD693" s="305"/>
      <c r="AE693" s="131"/>
    </row>
    <row r="694" spans="8:31" ht="14.25">
      <c r="H694" s="129"/>
      <c r="I694" s="129"/>
      <c r="J694" s="129"/>
      <c r="K694" s="304"/>
      <c r="N694" s="487"/>
      <c r="O694" s="305"/>
      <c r="Q694" s="305"/>
      <c r="R694" s="305"/>
      <c r="S694" s="471"/>
      <c r="T694" s="471"/>
      <c r="U694" s="471"/>
      <c r="V694" s="471"/>
      <c r="W694" s="471"/>
      <c r="X694" s="471"/>
      <c r="Y694" s="471"/>
      <c r="Z694" s="305"/>
      <c r="AA694" s="305"/>
      <c r="AB694" s="305"/>
      <c r="AC694" s="305"/>
      <c r="AD694" s="305"/>
      <c r="AE694" s="131"/>
    </row>
    <row r="695" spans="8:31" ht="14.25">
      <c r="H695" s="129"/>
      <c r="I695" s="129"/>
      <c r="J695" s="129"/>
      <c r="K695" s="304"/>
      <c r="N695" s="487"/>
      <c r="O695" s="305"/>
      <c r="Q695" s="305"/>
      <c r="R695" s="305"/>
      <c r="S695" s="471"/>
      <c r="T695" s="471"/>
      <c r="U695" s="471"/>
      <c r="V695" s="471"/>
      <c r="W695" s="471"/>
      <c r="X695" s="471"/>
      <c r="Y695" s="471"/>
      <c r="Z695" s="305"/>
      <c r="AA695" s="305"/>
      <c r="AB695" s="305"/>
      <c r="AC695" s="305"/>
      <c r="AD695" s="305"/>
      <c r="AE695" s="131"/>
    </row>
    <row r="696" spans="8:31" ht="14.25">
      <c r="H696" s="129"/>
      <c r="I696" s="129"/>
      <c r="J696" s="129"/>
      <c r="K696" s="304"/>
      <c r="N696" s="487"/>
      <c r="O696" s="305"/>
      <c r="Q696" s="305"/>
      <c r="R696" s="305"/>
      <c r="S696" s="471"/>
      <c r="T696" s="471"/>
      <c r="U696" s="471"/>
      <c r="V696" s="471"/>
      <c r="W696" s="471"/>
      <c r="X696" s="471"/>
      <c r="Y696" s="471"/>
      <c r="Z696" s="305"/>
      <c r="AA696" s="305"/>
      <c r="AB696" s="305"/>
      <c r="AC696" s="305"/>
      <c r="AD696" s="305"/>
      <c r="AE696" s="131"/>
    </row>
    <row r="697" spans="8:31" ht="14.25">
      <c r="H697" s="129"/>
      <c r="I697" s="129"/>
      <c r="J697" s="129"/>
      <c r="K697" s="304"/>
      <c r="N697" s="487"/>
      <c r="O697" s="305"/>
      <c r="Q697" s="305"/>
      <c r="R697" s="305"/>
      <c r="S697" s="471"/>
      <c r="T697" s="471"/>
      <c r="U697" s="471"/>
      <c r="V697" s="471"/>
      <c r="W697" s="471"/>
      <c r="X697" s="471"/>
      <c r="Y697" s="471"/>
      <c r="Z697" s="305"/>
      <c r="AA697" s="305"/>
      <c r="AB697" s="305"/>
      <c r="AC697" s="305"/>
      <c r="AD697" s="305"/>
      <c r="AE697" s="131"/>
    </row>
    <row r="698" spans="8:31" ht="14.25">
      <c r="H698" s="129"/>
      <c r="I698" s="129"/>
      <c r="J698" s="129"/>
      <c r="K698" s="304"/>
      <c r="N698" s="487"/>
      <c r="O698" s="305"/>
      <c r="Q698" s="305"/>
      <c r="R698" s="305"/>
      <c r="S698" s="471"/>
      <c r="T698" s="471"/>
      <c r="U698" s="471"/>
      <c r="V698" s="471"/>
      <c r="W698" s="471"/>
      <c r="X698" s="471"/>
      <c r="Y698" s="471"/>
      <c r="Z698" s="305"/>
      <c r="AA698" s="305"/>
      <c r="AB698" s="305"/>
      <c r="AC698" s="305"/>
      <c r="AD698" s="305"/>
      <c r="AE698" s="131"/>
    </row>
    <row r="699" spans="8:31" ht="14.25">
      <c r="H699" s="129"/>
      <c r="I699" s="129"/>
      <c r="J699" s="129"/>
      <c r="K699" s="304"/>
      <c r="N699" s="487"/>
      <c r="O699" s="305"/>
      <c r="Q699" s="305"/>
      <c r="R699" s="305"/>
      <c r="S699" s="471"/>
      <c r="T699" s="471"/>
      <c r="U699" s="471"/>
      <c r="V699" s="471"/>
      <c r="W699" s="471"/>
      <c r="X699" s="471"/>
      <c r="Y699" s="471"/>
      <c r="Z699" s="305"/>
      <c r="AA699" s="305"/>
      <c r="AB699" s="305"/>
      <c r="AC699" s="305"/>
      <c r="AD699" s="305"/>
      <c r="AE699" s="131"/>
    </row>
    <row r="700" spans="8:31" ht="14.25">
      <c r="H700" s="129"/>
      <c r="I700" s="129"/>
      <c r="J700" s="129"/>
      <c r="K700" s="304"/>
      <c r="N700" s="487"/>
      <c r="O700" s="305"/>
      <c r="Q700" s="305"/>
      <c r="R700" s="305"/>
      <c r="S700" s="471"/>
      <c r="T700" s="471"/>
      <c r="U700" s="471"/>
      <c r="V700" s="471"/>
      <c r="W700" s="471"/>
      <c r="X700" s="471"/>
      <c r="Y700" s="471"/>
      <c r="Z700" s="305"/>
      <c r="AA700" s="305"/>
      <c r="AB700" s="305"/>
      <c r="AC700" s="305"/>
      <c r="AD700" s="305"/>
      <c r="AE700" s="131"/>
    </row>
    <row r="701" spans="8:31" ht="14.25">
      <c r="H701" s="129"/>
      <c r="I701" s="129"/>
      <c r="J701" s="129"/>
      <c r="K701" s="304"/>
      <c r="N701" s="487"/>
      <c r="O701" s="305"/>
      <c r="Q701" s="305"/>
      <c r="R701" s="305"/>
      <c r="S701" s="471"/>
      <c r="T701" s="471"/>
      <c r="U701" s="471"/>
      <c r="V701" s="471"/>
      <c r="W701" s="471"/>
      <c r="X701" s="471"/>
      <c r="Y701" s="471"/>
      <c r="Z701" s="305"/>
      <c r="AA701" s="305"/>
      <c r="AB701" s="305"/>
      <c r="AC701" s="305"/>
      <c r="AD701" s="305"/>
      <c r="AE701" s="131"/>
    </row>
    <row r="702" spans="8:31" ht="14.25">
      <c r="H702" s="129"/>
      <c r="I702" s="129"/>
      <c r="J702" s="129"/>
      <c r="K702" s="304"/>
      <c r="N702" s="487"/>
      <c r="O702" s="305"/>
      <c r="Q702" s="305"/>
      <c r="R702" s="305"/>
      <c r="S702" s="471"/>
      <c r="T702" s="471"/>
      <c r="U702" s="471"/>
      <c r="V702" s="471"/>
      <c r="W702" s="471"/>
      <c r="X702" s="471"/>
      <c r="Y702" s="471"/>
      <c r="Z702" s="305"/>
      <c r="AA702" s="305"/>
      <c r="AB702" s="305"/>
      <c r="AC702" s="305"/>
      <c r="AD702" s="305"/>
      <c r="AE702" s="131"/>
    </row>
    <row r="703" spans="8:31" ht="14.25">
      <c r="H703" s="129"/>
      <c r="I703" s="129"/>
      <c r="J703" s="129"/>
      <c r="K703" s="304"/>
      <c r="N703" s="487"/>
      <c r="O703" s="305"/>
      <c r="Q703" s="305"/>
      <c r="R703" s="305"/>
      <c r="S703" s="471"/>
      <c r="T703" s="471"/>
      <c r="U703" s="471"/>
      <c r="V703" s="471"/>
      <c r="W703" s="471"/>
      <c r="X703" s="471"/>
      <c r="Y703" s="471"/>
      <c r="Z703" s="305"/>
      <c r="AA703" s="305"/>
      <c r="AB703" s="305"/>
      <c r="AC703" s="305"/>
      <c r="AD703" s="305"/>
      <c r="AE703" s="131"/>
    </row>
    <row r="704" spans="8:31" ht="14.25">
      <c r="H704" s="129"/>
      <c r="I704" s="129"/>
      <c r="J704" s="129"/>
      <c r="K704" s="304"/>
      <c r="N704" s="487"/>
      <c r="O704" s="305"/>
      <c r="Q704" s="305"/>
      <c r="R704" s="305"/>
      <c r="S704" s="471"/>
      <c r="T704" s="471"/>
      <c r="U704" s="471"/>
      <c r="V704" s="471"/>
      <c r="W704" s="471"/>
      <c r="X704" s="471"/>
      <c r="Y704" s="471"/>
      <c r="Z704" s="305"/>
      <c r="AA704" s="305"/>
      <c r="AB704" s="305"/>
      <c r="AC704" s="305"/>
      <c r="AD704" s="305"/>
      <c r="AE704" s="131"/>
    </row>
    <row r="705" spans="8:31" ht="14.25">
      <c r="H705" s="129"/>
      <c r="I705" s="129"/>
      <c r="J705" s="129"/>
      <c r="K705" s="304"/>
      <c r="N705" s="487"/>
      <c r="O705" s="305"/>
      <c r="Q705" s="305"/>
      <c r="R705" s="305"/>
      <c r="S705" s="471"/>
      <c r="T705" s="471"/>
      <c r="U705" s="471"/>
      <c r="V705" s="471"/>
      <c r="W705" s="471"/>
      <c r="X705" s="471"/>
      <c r="Y705" s="471"/>
      <c r="Z705" s="305"/>
      <c r="AA705" s="305"/>
      <c r="AB705" s="305"/>
      <c r="AC705" s="305"/>
      <c r="AD705" s="305"/>
      <c r="AE705" s="131"/>
    </row>
    <row r="706" spans="8:31" ht="14.25">
      <c r="H706" s="129"/>
      <c r="I706" s="129"/>
      <c r="J706" s="129"/>
      <c r="K706" s="304"/>
      <c r="N706" s="487"/>
      <c r="O706" s="305"/>
      <c r="Q706" s="305"/>
      <c r="R706" s="305"/>
      <c r="S706" s="471"/>
      <c r="T706" s="471"/>
      <c r="U706" s="471"/>
      <c r="V706" s="471"/>
      <c r="W706" s="471"/>
      <c r="X706" s="471"/>
      <c r="Y706" s="471"/>
      <c r="Z706" s="305"/>
      <c r="AA706" s="305"/>
      <c r="AB706" s="305"/>
      <c r="AC706" s="305"/>
      <c r="AD706" s="305"/>
      <c r="AE706" s="131"/>
    </row>
    <row r="707" spans="8:31" ht="14.25">
      <c r="H707" s="129"/>
      <c r="I707" s="129"/>
      <c r="J707" s="129"/>
      <c r="K707" s="304"/>
      <c r="N707" s="487"/>
      <c r="O707" s="305"/>
      <c r="Q707" s="305"/>
      <c r="R707" s="305"/>
      <c r="S707" s="471"/>
      <c r="T707" s="471"/>
      <c r="U707" s="471"/>
      <c r="V707" s="471"/>
      <c r="W707" s="471"/>
      <c r="X707" s="471"/>
      <c r="Y707" s="471"/>
      <c r="Z707" s="305"/>
      <c r="AA707" s="305"/>
      <c r="AB707" s="305"/>
      <c r="AC707" s="305"/>
      <c r="AD707" s="305"/>
      <c r="AE707" s="131"/>
    </row>
    <row r="708" spans="8:31" ht="14.25">
      <c r="H708" s="129"/>
      <c r="I708" s="129"/>
      <c r="J708" s="129"/>
      <c r="K708" s="304"/>
      <c r="N708" s="487"/>
      <c r="O708" s="305"/>
      <c r="Q708" s="305"/>
      <c r="R708" s="305"/>
      <c r="S708" s="471"/>
      <c r="T708" s="471"/>
      <c r="U708" s="471"/>
      <c r="V708" s="471"/>
      <c r="W708" s="471"/>
      <c r="X708" s="471"/>
      <c r="Y708" s="471"/>
      <c r="Z708" s="305"/>
      <c r="AA708" s="305"/>
      <c r="AB708" s="305"/>
      <c r="AC708" s="305"/>
      <c r="AD708" s="305"/>
      <c r="AE708" s="131"/>
    </row>
    <row r="709" spans="8:31" ht="14.25">
      <c r="H709" s="129"/>
      <c r="I709" s="129"/>
      <c r="J709" s="129"/>
      <c r="K709" s="304"/>
      <c r="N709" s="487"/>
      <c r="O709" s="305"/>
      <c r="Q709" s="305"/>
      <c r="R709" s="305"/>
      <c r="S709" s="471"/>
      <c r="T709" s="471"/>
      <c r="U709" s="471"/>
      <c r="V709" s="471"/>
      <c r="W709" s="471"/>
      <c r="X709" s="471"/>
      <c r="Y709" s="471"/>
      <c r="Z709" s="305"/>
      <c r="AA709" s="305"/>
      <c r="AB709" s="305"/>
      <c r="AC709" s="305"/>
      <c r="AD709" s="305"/>
      <c r="AE709" s="131"/>
    </row>
    <row r="710" spans="8:31" ht="14.25">
      <c r="H710" s="129"/>
      <c r="I710" s="129"/>
      <c r="J710" s="129"/>
      <c r="K710" s="304"/>
      <c r="N710" s="487"/>
      <c r="O710" s="305"/>
      <c r="Q710" s="305"/>
      <c r="R710" s="305"/>
      <c r="S710" s="471"/>
      <c r="T710" s="471"/>
      <c r="U710" s="471"/>
      <c r="V710" s="471"/>
      <c r="W710" s="471"/>
      <c r="X710" s="471"/>
      <c r="Y710" s="471"/>
      <c r="Z710" s="305"/>
      <c r="AA710" s="305"/>
      <c r="AB710" s="305"/>
      <c r="AC710" s="305"/>
      <c r="AD710" s="305"/>
      <c r="AE710" s="131"/>
    </row>
    <row r="711" spans="8:31" ht="14.25">
      <c r="H711" s="129"/>
      <c r="I711" s="129"/>
      <c r="J711" s="129"/>
      <c r="K711" s="304"/>
      <c r="N711" s="487"/>
      <c r="O711" s="305"/>
      <c r="Q711" s="305"/>
      <c r="R711" s="305"/>
      <c r="S711" s="471"/>
      <c r="T711" s="471"/>
      <c r="U711" s="471"/>
      <c r="V711" s="471"/>
      <c r="W711" s="471"/>
      <c r="X711" s="471"/>
      <c r="Y711" s="471"/>
      <c r="Z711" s="305"/>
      <c r="AA711" s="305"/>
      <c r="AB711" s="305"/>
      <c r="AC711" s="305"/>
      <c r="AD711" s="305"/>
      <c r="AE711" s="131"/>
    </row>
    <row r="712" spans="8:31" ht="14.25">
      <c r="H712" s="129"/>
      <c r="I712" s="129"/>
      <c r="J712" s="129"/>
      <c r="K712" s="304"/>
      <c r="N712" s="487"/>
      <c r="O712" s="305"/>
      <c r="Q712" s="305"/>
      <c r="R712" s="305"/>
      <c r="S712" s="471"/>
      <c r="T712" s="471"/>
      <c r="U712" s="471"/>
      <c r="V712" s="471"/>
      <c r="W712" s="471"/>
      <c r="X712" s="471"/>
      <c r="Y712" s="471"/>
      <c r="Z712" s="305"/>
      <c r="AA712" s="305"/>
      <c r="AB712" s="305"/>
      <c r="AC712" s="305"/>
      <c r="AD712" s="305"/>
      <c r="AE712" s="131"/>
    </row>
    <row r="713" spans="8:31" ht="14.25">
      <c r="H713" s="129"/>
      <c r="I713" s="129"/>
      <c r="J713" s="129"/>
      <c r="K713" s="304"/>
      <c r="N713" s="487"/>
      <c r="O713" s="305"/>
      <c r="Q713" s="305"/>
      <c r="R713" s="305"/>
      <c r="S713" s="471"/>
      <c r="T713" s="471"/>
      <c r="U713" s="471"/>
      <c r="V713" s="471"/>
      <c r="W713" s="471"/>
      <c r="X713" s="471"/>
      <c r="Y713" s="471"/>
      <c r="Z713" s="305"/>
      <c r="AA713" s="305"/>
      <c r="AB713" s="305"/>
      <c r="AC713" s="305"/>
      <c r="AD713" s="305"/>
      <c r="AE713" s="131"/>
    </row>
    <row r="714" spans="8:31" ht="14.25">
      <c r="H714" s="129"/>
      <c r="I714" s="129"/>
      <c r="J714" s="129"/>
      <c r="K714" s="304"/>
      <c r="N714" s="487"/>
      <c r="O714" s="305"/>
      <c r="Q714" s="305"/>
      <c r="R714" s="305"/>
      <c r="S714" s="471"/>
      <c r="T714" s="471"/>
      <c r="U714" s="471"/>
      <c r="V714" s="471"/>
      <c r="W714" s="471"/>
      <c r="X714" s="471"/>
      <c r="Y714" s="471"/>
      <c r="Z714" s="305"/>
      <c r="AA714" s="305"/>
      <c r="AB714" s="305"/>
      <c r="AC714" s="305"/>
      <c r="AD714" s="305"/>
      <c r="AE714" s="131"/>
    </row>
    <row r="715" spans="8:31" ht="14.25">
      <c r="H715" s="129"/>
      <c r="I715" s="129"/>
      <c r="J715" s="129"/>
      <c r="K715" s="304"/>
      <c r="N715" s="487"/>
      <c r="O715" s="305"/>
      <c r="Q715" s="305"/>
      <c r="R715" s="305"/>
      <c r="S715" s="471"/>
      <c r="T715" s="471"/>
      <c r="U715" s="471"/>
      <c r="V715" s="471"/>
      <c r="W715" s="471"/>
      <c r="X715" s="471"/>
      <c r="Y715" s="471"/>
      <c r="Z715" s="305"/>
      <c r="AA715" s="305"/>
      <c r="AB715" s="305"/>
      <c r="AC715" s="305"/>
      <c r="AD715" s="305"/>
      <c r="AE715" s="131"/>
    </row>
    <row r="716" spans="8:31" ht="14.25">
      <c r="H716" s="129"/>
      <c r="I716" s="129"/>
      <c r="J716" s="129"/>
      <c r="K716" s="304"/>
      <c r="N716" s="487"/>
      <c r="O716" s="305"/>
      <c r="Q716" s="305"/>
      <c r="R716" s="305"/>
      <c r="S716" s="471"/>
      <c r="T716" s="471"/>
      <c r="U716" s="471"/>
      <c r="V716" s="471"/>
      <c r="W716" s="471"/>
      <c r="X716" s="471"/>
      <c r="Y716" s="471"/>
      <c r="Z716" s="305"/>
      <c r="AA716" s="305"/>
      <c r="AB716" s="305"/>
      <c r="AC716" s="305"/>
      <c r="AD716" s="305"/>
      <c r="AE716" s="131"/>
    </row>
    <row r="717" spans="8:31" ht="14.25">
      <c r="H717" s="129"/>
      <c r="I717" s="129"/>
      <c r="J717" s="129"/>
      <c r="K717" s="304"/>
      <c r="N717" s="487"/>
      <c r="O717" s="305"/>
      <c r="Q717" s="305"/>
      <c r="R717" s="305"/>
      <c r="S717" s="471"/>
      <c r="T717" s="471"/>
      <c r="U717" s="471"/>
      <c r="V717" s="471"/>
      <c r="W717" s="471"/>
      <c r="X717" s="471"/>
      <c r="Y717" s="471"/>
      <c r="Z717" s="305"/>
      <c r="AA717" s="305"/>
      <c r="AB717" s="305"/>
      <c r="AC717" s="305"/>
      <c r="AD717" s="305"/>
      <c r="AE717" s="131"/>
    </row>
    <row r="718" spans="8:31" ht="14.25">
      <c r="H718" s="129"/>
      <c r="I718" s="129"/>
      <c r="J718" s="129"/>
      <c r="K718" s="304"/>
      <c r="N718" s="487"/>
      <c r="O718" s="305"/>
      <c r="Q718" s="305"/>
      <c r="R718" s="305"/>
      <c r="S718" s="471"/>
      <c r="T718" s="471"/>
      <c r="U718" s="471"/>
      <c r="V718" s="471"/>
      <c r="W718" s="471"/>
      <c r="X718" s="471"/>
      <c r="Y718" s="471"/>
      <c r="Z718" s="305"/>
      <c r="AA718" s="305"/>
      <c r="AB718" s="305"/>
      <c r="AC718" s="305"/>
      <c r="AD718" s="305"/>
      <c r="AE718" s="131"/>
    </row>
    <row r="719" spans="8:31" ht="14.25">
      <c r="H719" s="129"/>
      <c r="I719" s="129"/>
      <c r="J719" s="129"/>
      <c r="K719" s="304"/>
      <c r="N719" s="487"/>
      <c r="O719" s="305"/>
      <c r="Q719" s="305"/>
      <c r="R719" s="305"/>
      <c r="S719" s="471"/>
      <c r="T719" s="471"/>
      <c r="U719" s="471"/>
      <c r="V719" s="471"/>
      <c r="W719" s="471"/>
      <c r="X719" s="471"/>
      <c r="Y719" s="471"/>
      <c r="Z719" s="305"/>
      <c r="AA719" s="305"/>
      <c r="AB719" s="305"/>
      <c r="AC719" s="305"/>
      <c r="AD719" s="305"/>
      <c r="AE719" s="131"/>
    </row>
    <row r="720" spans="8:31" ht="14.25">
      <c r="H720" s="129"/>
      <c r="I720" s="129"/>
      <c r="J720" s="129"/>
      <c r="K720" s="304"/>
      <c r="N720" s="487"/>
      <c r="O720" s="305"/>
      <c r="Q720" s="305"/>
      <c r="R720" s="305"/>
      <c r="S720" s="471"/>
      <c r="T720" s="471"/>
      <c r="U720" s="471"/>
      <c r="V720" s="471"/>
      <c r="W720" s="471"/>
      <c r="X720" s="471"/>
      <c r="Y720" s="471"/>
      <c r="Z720" s="305"/>
      <c r="AA720" s="305"/>
      <c r="AB720" s="305"/>
      <c r="AC720" s="305"/>
      <c r="AD720" s="305"/>
      <c r="AE720" s="131"/>
    </row>
    <row r="721" spans="8:31" ht="14.25">
      <c r="H721" s="129"/>
      <c r="I721" s="129"/>
      <c r="J721" s="129"/>
      <c r="K721" s="304"/>
      <c r="N721" s="487"/>
      <c r="O721" s="305"/>
      <c r="Q721" s="305"/>
      <c r="R721" s="305"/>
      <c r="S721" s="471"/>
      <c r="T721" s="471"/>
      <c r="U721" s="471"/>
      <c r="V721" s="471"/>
      <c r="W721" s="471"/>
      <c r="X721" s="471"/>
      <c r="Y721" s="471"/>
      <c r="Z721" s="305"/>
      <c r="AA721" s="305"/>
      <c r="AB721" s="305"/>
      <c r="AC721" s="305"/>
      <c r="AD721" s="305"/>
      <c r="AE721" s="131"/>
    </row>
    <row r="722" spans="8:31" ht="14.25">
      <c r="H722" s="129"/>
      <c r="I722" s="129"/>
      <c r="J722" s="129"/>
      <c r="K722" s="304"/>
      <c r="N722" s="487"/>
      <c r="O722" s="305"/>
      <c r="Q722" s="305"/>
      <c r="R722" s="305"/>
      <c r="S722" s="471"/>
      <c r="T722" s="471"/>
      <c r="U722" s="471"/>
      <c r="V722" s="471"/>
      <c r="W722" s="471"/>
      <c r="X722" s="471"/>
      <c r="Y722" s="471"/>
      <c r="Z722" s="305"/>
      <c r="AA722" s="305"/>
      <c r="AB722" s="305"/>
      <c r="AC722" s="305"/>
      <c r="AD722" s="305"/>
      <c r="AE722" s="131"/>
    </row>
    <row r="723" spans="8:31" ht="14.25">
      <c r="H723" s="129"/>
      <c r="I723" s="129"/>
      <c r="J723" s="129"/>
      <c r="K723" s="304"/>
      <c r="N723" s="487"/>
      <c r="O723" s="305"/>
      <c r="Q723" s="305"/>
      <c r="R723" s="305"/>
      <c r="S723" s="471"/>
      <c r="T723" s="471"/>
      <c r="U723" s="471"/>
      <c r="V723" s="471"/>
      <c r="W723" s="471"/>
      <c r="X723" s="471"/>
      <c r="Y723" s="471"/>
      <c r="Z723" s="305"/>
      <c r="AA723" s="305"/>
      <c r="AB723" s="305"/>
      <c r="AC723" s="305"/>
      <c r="AD723" s="305"/>
      <c r="AE723" s="131"/>
    </row>
    <row r="724" spans="8:31" ht="14.25">
      <c r="H724" s="129"/>
      <c r="I724" s="129"/>
      <c r="J724" s="129"/>
      <c r="K724" s="304"/>
      <c r="N724" s="487"/>
      <c r="O724" s="305"/>
      <c r="Q724" s="305"/>
      <c r="R724" s="305"/>
      <c r="S724" s="471"/>
      <c r="T724" s="471"/>
      <c r="U724" s="471"/>
      <c r="V724" s="471"/>
      <c r="W724" s="471"/>
      <c r="X724" s="471"/>
      <c r="Y724" s="471"/>
      <c r="Z724" s="305"/>
      <c r="AA724" s="305"/>
      <c r="AB724" s="305"/>
      <c r="AC724" s="305"/>
      <c r="AD724" s="305"/>
      <c r="AE724" s="131"/>
    </row>
    <row r="725" spans="8:31" ht="14.25">
      <c r="H725" s="129"/>
      <c r="I725" s="129"/>
      <c r="J725" s="129"/>
      <c r="K725" s="304"/>
      <c r="N725" s="487"/>
      <c r="O725" s="305"/>
      <c r="Q725" s="305"/>
      <c r="R725" s="305"/>
      <c r="S725" s="471"/>
      <c r="T725" s="471"/>
      <c r="U725" s="471"/>
      <c r="V725" s="471"/>
      <c r="W725" s="471"/>
      <c r="X725" s="471"/>
      <c r="Y725" s="471"/>
      <c r="Z725" s="305"/>
      <c r="AA725" s="305"/>
      <c r="AB725" s="305"/>
      <c r="AC725" s="305"/>
      <c r="AD725" s="305"/>
      <c r="AE725" s="131"/>
    </row>
    <row r="726" spans="8:31" ht="14.25">
      <c r="H726" s="129"/>
      <c r="I726" s="129"/>
      <c r="J726" s="129"/>
      <c r="K726" s="304"/>
      <c r="N726" s="487"/>
      <c r="O726" s="305"/>
      <c r="Q726" s="305"/>
      <c r="R726" s="305"/>
      <c r="S726" s="471"/>
      <c r="T726" s="471"/>
      <c r="U726" s="471"/>
      <c r="V726" s="471"/>
      <c r="W726" s="471"/>
      <c r="X726" s="471"/>
      <c r="Y726" s="471"/>
      <c r="Z726" s="305"/>
      <c r="AA726" s="305"/>
      <c r="AB726" s="305"/>
      <c r="AC726" s="305"/>
      <c r="AD726" s="305"/>
      <c r="AE726" s="131"/>
    </row>
    <row r="727" spans="8:31" ht="14.25">
      <c r="H727" s="129"/>
      <c r="I727" s="129"/>
      <c r="J727" s="129"/>
      <c r="K727" s="304"/>
      <c r="N727" s="487"/>
      <c r="O727" s="305"/>
      <c r="Q727" s="305"/>
      <c r="R727" s="305"/>
      <c r="S727" s="471"/>
      <c r="T727" s="471"/>
      <c r="U727" s="471"/>
      <c r="V727" s="471"/>
      <c r="W727" s="471"/>
      <c r="X727" s="471"/>
      <c r="Y727" s="471"/>
      <c r="Z727" s="305"/>
      <c r="AA727" s="305"/>
      <c r="AB727" s="305"/>
      <c r="AC727" s="305"/>
      <c r="AD727" s="305"/>
      <c r="AE727" s="131"/>
    </row>
    <row r="728" spans="8:31" ht="14.25">
      <c r="H728" s="129"/>
      <c r="I728" s="129"/>
      <c r="J728" s="129"/>
      <c r="K728" s="304"/>
      <c r="N728" s="487"/>
      <c r="O728" s="305"/>
      <c r="Q728" s="305"/>
      <c r="R728" s="305"/>
      <c r="S728" s="471"/>
      <c r="T728" s="471"/>
      <c r="U728" s="471"/>
      <c r="V728" s="471"/>
      <c r="W728" s="471"/>
      <c r="X728" s="471"/>
      <c r="Y728" s="471"/>
      <c r="Z728" s="305"/>
      <c r="AA728" s="305"/>
      <c r="AB728" s="305"/>
      <c r="AC728" s="305"/>
      <c r="AD728" s="305"/>
      <c r="AE728" s="131"/>
    </row>
    <row r="729" spans="8:31" ht="14.25">
      <c r="H729" s="129"/>
      <c r="I729" s="129"/>
      <c r="J729" s="129"/>
      <c r="K729" s="304"/>
      <c r="N729" s="487"/>
      <c r="O729" s="305"/>
      <c r="Q729" s="305"/>
      <c r="R729" s="305"/>
      <c r="S729" s="471"/>
      <c r="T729" s="471"/>
      <c r="U729" s="471"/>
      <c r="V729" s="471"/>
      <c r="W729" s="471"/>
      <c r="X729" s="471"/>
      <c r="Y729" s="471"/>
      <c r="Z729" s="305"/>
      <c r="AA729" s="305"/>
      <c r="AB729" s="305"/>
      <c r="AC729" s="305"/>
      <c r="AD729" s="305"/>
      <c r="AE729" s="131"/>
    </row>
    <row r="730" spans="8:31" ht="14.25">
      <c r="H730" s="129"/>
      <c r="I730" s="129"/>
      <c r="J730" s="129"/>
      <c r="K730" s="304"/>
      <c r="N730" s="487"/>
      <c r="O730" s="305"/>
      <c r="Q730" s="305"/>
      <c r="R730" s="305"/>
      <c r="S730" s="471"/>
      <c r="T730" s="471"/>
      <c r="U730" s="471"/>
      <c r="V730" s="471"/>
      <c r="W730" s="471"/>
      <c r="X730" s="471"/>
      <c r="Y730" s="471"/>
      <c r="Z730" s="305"/>
      <c r="AA730" s="305"/>
      <c r="AB730" s="305"/>
      <c r="AC730" s="305"/>
      <c r="AD730" s="305"/>
      <c r="AE730" s="131"/>
    </row>
    <row r="731" spans="8:31" ht="14.25">
      <c r="H731" s="129"/>
      <c r="I731" s="129"/>
      <c r="J731" s="129"/>
      <c r="K731" s="304"/>
      <c r="N731" s="487"/>
      <c r="O731" s="305"/>
      <c r="Q731" s="305"/>
      <c r="R731" s="305"/>
      <c r="S731" s="471"/>
      <c r="T731" s="471"/>
      <c r="U731" s="471"/>
      <c r="V731" s="471"/>
      <c r="W731" s="471"/>
      <c r="X731" s="471"/>
      <c r="Y731" s="471"/>
      <c r="Z731" s="305"/>
      <c r="AA731" s="305"/>
      <c r="AB731" s="305"/>
      <c r="AC731" s="305"/>
      <c r="AD731" s="305"/>
      <c r="AE731" s="131"/>
    </row>
    <row r="732" spans="8:31" ht="14.25">
      <c r="H732" s="129"/>
      <c r="I732" s="129"/>
      <c r="J732" s="129"/>
      <c r="K732" s="304"/>
      <c r="N732" s="487"/>
      <c r="O732" s="305"/>
      <c r="Q732" s="305"/>
      <c r="R732" s="305"/>
      <c r="S732" s="471"/>
      <c r="T732" s="471"/>
      <c r="U732" s="471"/>
      <c r="V732" s="471"/>
      <c r="W732" s="471"/>
      <c r="X732" s="471"/>
      <c r="Y732" s="471"/>
      <c r="Z732" s="305"/>
      <c r="AA732" s="305"/>
      <c r="AB732" s="305"/>
      <c r="AC732" s="305"/>
      <c r="AD732" s="305"/>
      <c r="AE732" s="131"/>
    </row>
    <row r="733" spans="8:31" ht="14.25">
      <c r="H733" s="129"/>
      <c r="I733" s="129"/>
      <c r="J733" s="129"/>
      <c r="K733" s="304"/>
      <c r="N733" s="487"/>
      <c r="O733" s="305"/>
      <c r="Q733" s="305"/>
      <c r="R733" s="305"/>
      <c r="S733" s="471"/>
      <c r="T733" s="471"/>
      <c r="U733" s="471"/>
      <c r="V733" s="471"/>
      <c r="W733" s="471"/>
      <c r="X733" s="471"/>
      <c r="Y733" s="471"/>
      <c r="Z733" s="305"/>
      <c r="AA733" s="305"/>
      <c r="AB733" s="305"/>
      <c r="AC733" s="305"/>
      <c r="AD733" s="305"/>
      <c r="AE733" s="131"/>
    </row>
    <row r="734" spans="8:31" ht="14.25">
      <c r="H734" s="129"/>
      <c r="I734" s="129"/>
      <c r="J734" s="129"/>
      <c r="K734" s="304"/>
      <c r="N734" s="487"/>
      <c r="O734" s="305"/>
      <c r="Q734" s="305"/>
      <c r="R734" s="305"/>
      <c r="S734" s="471"/>
      <c r="T734" s="471"/>
      <c r="U734" s="471"/>
      <c r="V734" s="471"/>
      <c r="W734" s="471"/>
      <c r="X734" s="471"/>
      <c r="Y734" s="471"/>
      <c r="Z734" s="305"/>
      <c r="AA734" s="305"/>
      <c r="AB734" s="305"/>
      <c r="AC734" s="305"/>
      <c r="AD734" s="305"/>
      <c r="AE734" s="131"/>
    </row>
    <row r="735" spans="8:31" ht="14.25">
      <c r="H735" s="129"/>
      <c r="I735" s="129"/>
      <c r="J735" s="129"/>
      <c r="K735" s="304"/>
      <c r="N735" s="487"/>
      <c r="O735" s="305"/>
      <c r="Q735" s="305"/>
      <c r="R735" s="305"/>
      <c r="S735" s="471"/>
      <c r="T735" s="471"/>
      <c r="U735" s="471"/>
      <c r="V735" s="471"/>
      <c r="W735" s="471"/>
      <c r="X735" s="471"/>
      <c r="Y735" s="471"/>
      <c r="Z735" s="305"/>
      <c r="AA735" s="305"/>
      <c r="AB735" s="305"/>
      <c r="AC735" s="305"/>
      <c r="AD735" s="305"/>
      <c r="AE735" s="131"/>
    </row>
    <row r="736" spans="8:31" ht="14.25">
      <c r="H736" s="129"/>
      <c r="I736" s="129"/>
      <c r="J736" s="129"/>
      <c r="K736" s="304"/>
      <c r="N736" s="487"/>
      <c r="O736" s="305"/>
      <c r="Q736" s="305"/>
      <c r="R736" s="305"/>
      <c r="S736" s="471"/>
      <c r="T736" s="471"/>
      <c r="U736" s="471"/>
      <c r="V736" s="471"/>
      <c r="W736" s="471"/>
      <c r="X736" s="471"/>
      <c r="Y736" s="471"/>
      <c r="Z736" s="305"/>
      <c r="AA736" s="305"/>
      <c r="AB736" s="305"/>
      <c r="AC736" s="305"/>
      <c r="AD736" s="305"/>
      <c r="AE736" s="131"/>
    </row>
    <row r="737" spans="8:31" ht="14.25">
      <c r="H737" s="129"/>
      <c r="I737" s="129"/>
      <c r="J737" s="129"/>
      <c r="K737" s="304"/>
      <c r="N737" s="487"/>
      <c r="O737" s="305"/>
      <c r="Q737" s="305"/>
      <c r="R737" s="305"/>
      <c r="S737" s="471"/>
      <c r="T737" s="471"/>
      <c r="U737" s="471"/>
      <c r="V737" s="471"/>
      <c r="W737" s="471"/>
      <c r="X737" s="471"/>
      <c r="Y737" s="471"/>
      <c r="Z737" s="305"/>
      <c r="AA737" s="305"/>
      <c r="AB737" s="305"/>
      <c r="AC737" s="305"/>
      <c r="AD737" s="305"/>
      <c r="AE737" s="131"/>
    </row>
    <row r="738" spans="8:31" ht="14.25">
      <c r="H738" s="129"/>
      <c r="I738" s="129"/>
      <c r="J738" s="129"/>
      <c r="K738" s="304"/>
      <c r="N738" s="487"/>
      <c r="O738" s="305"/>
      <c r="Q738" s="305"/>
      <c r="R738" s="305"/>
      <c r="S738" s="471"/>
      <c r="T738" s="471"/>
      <c r="U738" s="471"/>
      <c r="V738" s="471"/>
      <c r="W738" s="471"/>
      <c r="X738" s="471"/>
      <c r="Y738" s="471"/>
      <c r="Z738" s="305"/>
      <c r="AA738" s="305"/>
      <c r="AB738" s="305"/>
      <c r="AC738" s="305"/>
      <c r="AD738" s="305"/>
      <c r="AE738" s="131"/>
    </row>
    <row r="739" spans="8:31" ht="14.25">
      <c r="H739" s="129"/>
      <c r="I739" s="129"/>
      <c r="J739" s="129"/>
      <c r="K739" s="304"/>
      <c r="N739" s="487"/>
      <c r="O739" s="305"/>
      <c r="Q739" s="305"/>
      <c r="R739" s="305"/>
      <c r="S739" s="471"/>
      <c r="T739" s="471"/>
      <c r="U739" s="471"/>
      <c r="V739" s="471"/>
      <c r="W739" s="471"/>
      <c r="X739" s="471"/>
      <c r="Y739" s="471"/>
      <c r="Z739" s="305"/>
      <c r="AA739" s="305"/>
      <c r="AB739" s="305"/>
      <c r="AC739" s="305"/>
      <c r="AD739" s="305"/>
      <c r="AE739" s="131"/>
    </row>
    <row r="740" spans="8:31" ht="14.25">
      <c r="H740" s="129"/>
      <c r="I740" s="129"/>
      <c r="J740" s="129"/>
      <c r="K740" s="304"/>
      <c r="N740" s="487"/>
      <c r="O740" s="305"/>
      <c r="Q740" s="305"/>
      <c r="R740" s="305"/>
      <c r="S740" s="471"/>
      <c r="T740" s="471"/>
      <c r="U740" s="471"/>
      <c r="V740" s="471"/>
      <c r="W740" s="471"/>
      <c r="X740" s="471"/>
      <c r="Y740" s="471"/>
      <c r="Z740" s="305"/>
      <c r="AA740" s="305"/>
      <c r="AB740" s="305"/>
      <c r="AC740" s="305"/>
      <c r="AD740" s="305"/>
      <c r="AE740" s="131"/>
    </row>
    <row r="741" spans="8:31" ht="14.25">
      <c r="H741" s="129"/>
      <c r="I741" s="129"/>
      <c r="J741" s="129"/>
      <c r="K741" s="304"/>
      <c r="N741" s="487"/>
      <c r="O741" s="305"/>
      <c r="Q741" s="305"/>
      <c r="R741" s="305"/>
      <c r="S741" s="471"/>
      <c r="T741" s="471"/>
      <c r="U741" s="471"/>
      <c r="V741" s="471"/>
      <c r="W741" s="471"/>
      <c r="X741" s="471"/>
      <c r="Y741" s="471"/>
      <c r="Z741" s="305"/>
      <c r="AA741" s="305"/>
      <c r="AB741" s="305"/>
      <c r="AC741" s="305"/>
      <c r="AD741" s="305"/>
      <c r="AE741" s="131"/>
    </row>
    <row r="742" spans="8:31" ht="14.25">
      <c r="H742" s="129"/>
      <c r="I742" s="129"/>
      <c r="J742" s="129"/>
      <c r="K742" s="304"/>
      <c r="N742" s="487"/>
      <c r="O742" s="305"/>
      <c r="Q742" s="305"/>
      <c r="R742" s="305"/>
      <c r="S742" s="471"/>
      <c r="T742" s="471"/>
      <c r="U742" s="471"/>
      <c r="V742" s="471"/>
      <c r="W742" s="471"/>
      <c r="X742" s="471"/>
      <c r="Y742" s="471"/>
      <c r="Z742" s="305"/>
      <c r="AA742" s="305"/>
      <c r="AB742" s="305"/>
      <c r="AC742" s="305"/>
      <c r="AD742" s="305"/>
      <c r="AE742" s="131"/>
    </row>
    <row r="743" spans="8:31" ht="14.25">
      <c r="H743" s="129"/>
      <c r="I743" s="129"/>
      <c r="J743" s="129"/>
      <c r="K743" s="304"/>
      <c r="N743" s="487"/>
      <c r="O743" s="305"/>
      <c r="Q743" s="305"/>
      <c r="R743" s="305"/>
      <c r="S743" s="471"/>
      <c r="T743" s="471"/>
      <c r="U743" s="471"/>
      <c r="V743" s="471"/>
      <c r="W743" s="471"/>
      <c r="X743" s="471"/>
      <c r="Y743" s="471"/>
      <c r="Z743" s="305"/>
      <c r="AA743" s="305"/>
      <c r="AB743" s="305"/>
      <c r="AC743" s="305"/>
      <c r="AD743" s="305"/>
      <c r="AE743" s="131"/>
    </row>
    <row r="744" spans="8:31" ht="14.25">
      <c r="H744" s="129"/>
      <c r="I744" s="129"/>
      <c r="J744" s="129"/>
      <c r="K744" s="304"/>
      <c r="N744" s="487"/>
      <c r="O744" s="305"/>
      <c r="Q744" s="305"/>
      <c r="R744" s="305"/>
      <c r="S744" s="471"/>
      <c r="T744" s="471"/>
      <c r="U744" s="471"/>
      <c r="V744" s="471"/>
      <c r="W744" s="471"/>
      <c r="X744" s="471"/>
      <c r="Y744" s="471"/>
      <c r="Z744" s="305"/>
      <c r="AA744" s="305"/>
      <c r="AB744" s="305"/>
      <c r="AC744" s="305"/>
      <c r="AD744" s="305"/>
      <c r="AE744" s="131"/>
    </row>
    <row r="745" spans="8:31" ht="14.25">
      <c r="H745" s="129"/>
      <c r="I745" s="129"/>
      <c r="J745" s="129"/>
      <c r="K745" s="304"/>
      <c r="N745" s="487"/>
      <c r="O745" s="305"/>
      <c r="Q745" s="305"/>
      <c r="R745" s="305"/>
      <c r="S745" s="471"/>
      <c r="T745" s="471"/>
      <c r="U745" s="471"/>
      <c r="V745" s="471"/>
      <c r="W745" s="471"/>
      <c r="X745" s="471"/>
      <c r="Y745" s="471"/>
      <c r="Z745" s="305"/>
      <c r="AA745" s="305"/>
      <c r="AB745" s="305"/>
      <c r="AC745" s="305"/>
      <c r="AD745" s="305"/>
      <c r="AE745" s="131"/>
    </row>
    <row r="746" spans="8:31" ht="14.25">
      <c r="H746" s="129"/>
      <c r="I746" s="129"/>
      <c r="J746" s="129"/>
      <c r="K746" s="304"/>
      <c r="N746" s="487"/>
      <c r="O746" s="305"/>
      <c r="Q746" s="305"/>
      <c r="R746" s="305"/>
      <c r="S746" s="471"/>
      <c r="T746" s="471"/>
      <c r="U746" s="471"/>
      <c r="V746" s="471"/>
      <c r="W746" s="471"/>
      <c r="X746" s="471"/>
      <c r="Y746" s="471"/>
      <c r="Z746" s="305"/>
      <c r="AA746" s="305"/>
      <c r="AB746" s="305"/>
      <c r="AC746" s="305"/>
      <c r="AD746" s="305"/>
      <c r="AE746" s="131"/>
    </row>
    <row r="747" spans="8:31" ht="14.25">
      <c r="H747" s="129"/>
      <c r="I747" s="129"/>
      <c r="J747" s="129"/>
      <c r="K747" s="304"/>
      <c r="N747" s="487"/>
      <c r="O747" s="305"/>
      <c r="Q747" s="305"/>
      <c r="R747" s="305"/>
      <c r="S747" s="471"/>
      <c r="T747" s="471"/>
      <c r="U747" s="471"/>
      <c r="V747" s="471"/>
      <c r="W747" s="471"/>
      <c r="X747" s="471"/>
      <c r="Y747" s="471"/>
      <c r="Z747" s="305"/>
      <c r="AA747" s="305"/>
      <c r="AB747" s="305"/>
      <c r="AC747" s="305"/>
      <c r="AD747" s="305"/>
      <c r="AE747" s="131"/>
    </row>
    <row r="748" spans="8:31" ht="14.25">
      <c r="H748" s="129"/>
      <c r="I748" s="129"/>
      <c r="J748" s="129"/>
      <c r="K748" s="304"/>
      <c r="N748" s="487"/>
      <c r="O748" s="305"/>
      <c r="Q748" s="305"/>
      <c r="R748" s="305"/>
      <c r="S748" s="471"/>
      <c r="T748" s="471"/>
      <c r="U748" s="471"/>
      <c r="V748" s="471"/>
      <c r="W748" s="471"/>
      <c r="X748" s="471"/>
      <c r="Y748" s="471"/>
      <c r="Z748" s="305"/>
      <c r="AA748" s="305"/>
      <c r="AB748" s="305"/>
      <c r="AC748" s="305"/>
      <c r="AD748" s="305"/>
      <c r="AE748" s="131"/>
    </row>
    <row r="749" spans="8:31" ht="14.25">
      <c r="H749" s="129"/>
      <c r="I749" s="129"/>
      <c r="J749" s="129"/>
      <c r="K749" s="304"/>
      <c r="N749" s="487"/>
      <c r="O749" s="305"/>
      <c r="Q749" s="305"/>
      <c r="R749" s="305"/>
      <c r="S749" s="471"/>
      <c r="T749" s="471"/>
      <c r="U749" s="471"/>
      <c r="V749" s="471"/>
      <c r="W749" s="471"/>
      <c r="X749" s="471"/>
      <c r="Y749" s="471"/>
      <c r="Z749" s="305"/>
      <c r="AA749" s="305"/>
      <c r="AB749" s="305"/>
      <c r="AC749" s="305"/>
      <c r="AD749" s="305"/>
      <c r="AE749" s="131"/>
    </row>
    <row r="750" spans="8:31" ht="14.25">
      <c r="H750" s="129"/>
      <c r="I750" s="129"/>
      <c r="J750" s="129"/>
      <c r="K750" s="304"/>
      <c r="N750" s="487"/>
      <c r="O750" s="305"/>
      <c r="Q750" s="305"/>
      <c r="R750" s="305"/>
      <c r="S750" s="471"/>
      <c r="T750" s="471"/>
      <c r="U750" s="471"/>
      <c r="V750" s="471"/>
      <c r="W750" s="471"/>
      <c r="X750" s="471"/>
      <c r="Y750" s="471"/>
      <c r="Z750" s="305"/>
      <c r="AA750" s="305"/>
      <c r="AB750" s="305"/>
      <c r="AC750" s="305"/>
      <c r="AD750" s="305"/>
      <c r="AE750" s="131"/>
    </row>
    <row r="751" spans="8:31" ht="14.25">
      <c r="H751" s="129"/>
      <c r="I751" s="129"/>
      <c r="J751" s="129"/>
      <c r="K751" s="304"/>
      <c r="N751" s="487"/>
      <c r="O751" s="305"/>
      <c r="Q751" s="305"/>
      <c r="R751" s="305"/>
      <c r="S751" s="471"/>
      <c r="T751" s="471"/>
      <c r="U751" s="471"/>
      <c r="V751" s="471"/>
      <c r="W751" s="471"/>
      <c r="X751" s="471"/>
      <c r="Y751" s="471"/>
      <c r="Z751" s="305"/>
      <c r="AA751" s="305"/>
      <c r="AB751" s="305"/>
      <c r="AC751" s="305"/>
      <c r="AD751" s="305"/>
      <c r="AE751" s="131"/>
    </row>
    <row r="752" spans="8:31" ht="14.25">
      <c r="H752" s="129"/>
      <c r="I752" s="129"/>
      <c r="J752" s="129"/>
      <c r="K752" s="304"/>
      <c r="N752" s="487"/>
      <c r="O752" s="305"/>
      <c r="Q752" s="305"/>
      <c r="R752" s="305"/>
      <c r="S752" s="471"/>
      <c r="T752" s="471"/>
      <c r="U752" s="471"/>
      <c r="V752" s="471"/>
      <c r="W752" s="471"/>
      <c r="X752" s="471"/>
      <c r="Y752" s="471"/>
      <c r="Z752" s="305"/>
      <c r="AA752" s="305"/>
      <c r="AB752" s="305"/>
      <c r="AC752" s="305"/>
      <c r="AD752" s="305"/>
      <c r="AE752" s="131"/>
    </row>
    <row r="753" spans="8:31" ht="14.25">
      <c r="H753" s="129"/>
      <c r="I753" s="129"/>
      <c r="J753" s="129"/>
      <c r="K753" s="304"/>
      <c r="N753" s="487"/>
      <c r="O753" s="305"/>
      <c r="Q753" s="305"/>
      <c r="R753" s="305"/>
      <c r="S753" s="471"/>
      <c r="T753" s="471"/>
      <c r="U753" s="471"/>
      <c r="V753" s="471"/>
      <c r="W753" s="471"/>
      <c r="X753" s="471"/>
      <c r="Y753" s="471"/>
      <c r="Z753" s="305"/>
      <c r="AA753" s="305"/>
      <c r="AB753" s="305"/>
      <c r="AC753" s="305"/>
      <c r="AD753" s="305"/>
      <c r="AE753" s="131"/>
    </row>
    <row r="754" spans="8:31" ht="14.25">
      <c r="H754" s="129"/>
      <c r="I754" s="129"/>
      <c r="J754" s="129"/>
      <c r="K754" s="304"/>
      <c r="N754" s="487"/>
      <c r="O754" s="305"/>
      <c r="Q754" s="305"/>
      <c r="R754" s="305"/>
      <c r="S754" s="471"/>
      <c r="T754" s="471"/>
      <c r="U754" s="471"/>
      <c r="V754" s="471"/>
      <c r="W754" s="471"/>
      <c r="X754" s="471"/>
      <c r="Y754" s="471"/>
      <c r="Z754" s="305"/>
      <c r="AA754" s="305"/>
      <c r="AB754" s="305"/>
      <c r="AC754" s="305"/>
      <c r="AD754" s="305"/>
      <c r="AE754" s="131"/>
    </row>
    <row r="755" spans="8:31" ht="14.25">
      <c r="H755" s="129"/>
      <c r="I755" s="129"/>
      <c r="J755" s="129"/>
      <c r="K755" s="304"/>
      <c r="N755" s="487"/>
      <c r="O755" s="305"/>
      <c r="Q755" s="305"/>
      <c r="R755" s="305"/>
      <c r="S755" s="471"/>
      <c r="T755" s="471"/>
      <c r="U755" s="471"/>
      <c r="V755" s="471"/>
      <c r="W755" s="471"/>
      <c r="X755" s="471"/>
      <c r="Y755" s="471"/>
      <c r="Z755" s="305"/>
      <c r="AA755" s="305"/>
      <c r="AB755" s="305"/>
      <c r="AC755" s="305"/>
      <c r="AD755" s="305"/>
      <c r="AE755" s="131"/>
    </row>
    <row r="756" spans="8:31" ht="14.25">
      <c r="H756" s="129"/>
      <c r="I756" s="129"/>
      <c r="J756" s="129"/>
      <c r="K756" s="304"/>
      <c r="N756" s="487"/>
      <c r="O756" s="305"/>
      <c r="Q756" s="305"/>
      <c r="R756" s="305"/>
      <c r="S756" s="471"/>
      <c r="T756" s="471"/>
      <c r="U756" s="471"/>
      <c r="V756" s="471"/>
      <c r="W756" s="471"/>
      <c r="X756" s="471"/>
      <c r="Y756" s="471"/>
      <c r="Z756" s="305"/>
      <c r="AA756" s="305"/>
      <c r="AB756" s="305"/>
      <c r="AC756" s="305"/>
      <c r="AD756" s="305"/>
      <c r="AE756" s="131"/>
    </row>
    <row r="757" spans="8:31" ht="14.25">
      <c r="H757" s="129"/>
      <c r="I757" s="129"/>
      <c r="J757" s="129"/>
      <c r="K757" s="304"/>
      <c r="N757" s="487"/>
      <c r="O757" s="305"/>
      <c r="Q757" s="305"/>
      <c r="R757" s="305"/>
      <c r="S757" s="471"/>
      <c r="T757" s="471"/>
      <c r="U757" s="471"/>
      <c r="V757" s="471"/>
      <c r="W757" s="471"/>
      <c r="X757" s="471"/>
      <c r="Y757" s="471"/>
      <c r="Z757" s="305"/>
      <c r="AA757" s="305"/>
      <c r="AB757" s="305"/>
      <c r="AC757" s="305"/>
      <c r="AD757" s="305"/>
      <c r="AE757" s="131"/>
    </row>
    <row r="758" spans="8:31" ht="14.25">
      <c r="H758" s="129"/>
      <c r="I758" s="129"/>
      <c r="J758" s="129"/>
      <c r="K758" s="304"/>
      <c r="N758" s="487"/>
      <c r="O758" s="305"/>
      <c r="Q758" s="305"/>
      <c r="R758" s="305"/>
      <c r="S758" s="471"/>
      <c r="T758" s="471"/>
      <c r="U758" s="471"/>
      <c r="V758" s="471"/>
      <c r="W758" s="471"/>
      <c r="X758" s="471"/>
      <c r="Y758" s="471"/>
      <c r="Z758" s="305"/>
      <c r="AA758" s="305"/>
      <c r="AB758" s="305"/>
      <c r="AC758" s="305"/>
      <c r="AD758" s="305"/>
      <c r="AE758" s="131"/>
    </row>
    <row r="759" spans="8:31" ht="14.25">
      <c r="H759" s="129"/>
      <c r="I759" s="129"/>
      <c r="J759" s="129"/>
      <c r="K759" s="304"/>
      <c r="N759" s="487"/>
      <c r="O759" s="305"/>
      <c r="Q759" s="305"/>
      <c r="R759" s="305"/>
      <c r="S759" s="471"/>
      <c r="T759" s="471"/>
      <c r="U759" s="471"/>
      <c r="V759" s="471"/>
      <c r="W759" s="471"/>
      <c r="X759" s="471"/>
      <c r="Y759" s="471"/>
      <c r="Z759" s="305"/>
      <c r="AA759" s="305"/>
      <c r="AB759" s="305"/>
      <c r="AC759" s="305"/>
      <c r="AD759" s="305"/>
      <c r="AE759" s="131"/>
    </row>
    <row r="760" spans="8:31" ht="14.25">
      <c r="H760" s="129"/>
      <c r="I760" s="129"/>
      <c r="J760" s="129"/>
      <c r="K760" s="304"/>
      <c r="N760" s="487"/>
      <c r="O760" s="305"/>
      <c r="Q760" s="305"/>
      <c r="R760" s="305"/>
      <c r="S760" s="471"/>
      <c r="T760" s="471"/>
      <c r="U760" s="471"/>
      <c r="V760" s="471"/>
      <c r="W760" s="471"/>
      <c r="X760" s="471"/>
      <c r="Y760" s="471"/>
      <c r="Z760" s="305"/>
      <c r="AA760" s="305"/>
      <c r="AB760" s="305"/>
      <c r="AC760" s="305"/>
      <c r="AD760" s="305"/>
      <c r="AE760" s="131"/>
    </row>
    <row r="761" spans="8:31" ht="14.25">
      <c r="H761" s="129"/>
      <c r="I761" s="129"/>
      <c r="J761" s="129"/>
      <c r="K761" s="304"/>
      <c r="N761" s="487"/>
      <c r="O761" s="305"/>
      <c r="Q761" s="305"/>
      <c r="R761" s="305"/>
      <c r="S761" s="471"/>
      <c r="T761" s="471"/>
      <c r="U761" s="471"/>
      <c r="V761" s="471"/>
      <c r="W761" s="471"/>
      <c r="X761" s="471"/>
      <c r="Y761" s="471"/>
      <c r="Z761" s="305"/>
      <c r="AA761" s="305"/>
      <c r="AB761" s="305"/>
      <c r="AC761" s="305"/>
      <c r="AD761" s="305"/>
      <c r="AE761" s="131"/>
    </row>
    <row r="762" spans="8:31" ht="14.25">
      <c r="H762" s="129"/>
      <c r="I762" s="129"/>
      <c r="J762" s="129"/>
      <c r="K762" s="304"/>
      <c r="N762" s="487"/>
      <c r="O762" s="305"/>
      <c r="Q762" s="305"/>
      <c r="R762" s="305"/>
      <c r="S762" s="471"/>
      <c r="T762" s="471"/>
      <c r="U762" s="471"/>
      <c r="V762" s="471"/>
      <c r="W762" s="471"/>
      <c r="X762" s="471"/>
      <c r="Y762" s="471"/>
      <c r="Z762" s="305"/>
      <c r="AA762" s="305"/>
      <c r="AB762" s="305"/>
      <c r="AC762" s="305"/>
      <c r="AD762" s="305"/>
      <c r="AE762" s="131"/>
    </row>
    <row r="763" spans="8:31" ht="14.25">
      <c r="H763" s="129"/>
      <c r="I763" s="129"/>
      <c r="J763" s="129"/>
      <c r="K763" s="304"/>
      <c r="N763" s="487"/>
      <c r="O763" s="305"/>
      <c r="Q763" s="305"/>
      <c r="R763" s="305"/>
      <c r="S763" s="471"/>
      <c r="T763" s="471"/>
      <c r="U763" s="471"/>
      <c r="V763" s="471"/>
      <c r="W763" s="471"/>
      <c r="X763" s="471"/>
      <c r="Y763" s="471"/>
      <c r="Z763" s="305"/>
      <c r="AA763" s="305"/>
      <c r="AB763" s="305"/>
      <c r="AC763" s="305"/>
      <c r="AD763" s="305"/>
      <c r="AE763" s="131"/>
    </row>
    <row r="764" spans="8:31" ht="14.25">
      <c r="H764" s="129"/>
      <c r="I764" s="129"/>
      <c r="J764" s="129"/>
      <c r="K764" s="304"/>
      <c r="N764" s="487"/>
      <c r="O764" s="305"/>
      <c r="Q764" s="305"/>
      <c r="R764" s="305"/>
      <c r="S764" s="471"/>
      <c r="T764" s="471"/>
      <c r="U764" s="471"/>
      <c r="V764" s="471"/>
      <c r="W764" s="471"/>
      <c r="X764" s="471"/>
      <c r="Y764" s="471"/>
      <c r="Z764" s="305"/>
      <c r="AA764" s="305"/>
      <c r="AB764" s="305"/>
      <c r="AC764" s="305"/>
      <c r="AD764" s="305"/>
      <c r="AE764" s="131"/>
    </row>
    <row r="765" spans="8:31" ht="14.25">
      <c r="H765" s="129"/>
      <c r="I765" s="129"/>
      <c r="J765" s="129"/>
      <c r="K765" s="304"/>
      <c r="N765" s="487"/>
      <c r="O765" s="305"/>
      <c r="Q765" s="305"/>
      <c r="R765" s="305"/>
      <c r="S765" s="471"/>
      <c r="T765" s="471"/>
      <c r="U765" s="471"/>
      <c r="V765" s="471"/>
      <c r="W765" s="471"/>
      <c r="X765" s="471"/>
      <c r="Y765" s="471"/>
      <c r="Z765" s="305"/>
      <c r="AA765" s="305"/>
      <c r="AB765" s="305"/>
      <c r="AC765" s="305"/>
      <c r="AD765" s="305"/>
      <c r="AE765" s="131"/>
    </row>
    <row r="766" spans="8:31" ht="14.25">
      <c r="H766" s="129"/>
      <c r="I766" s="129"/>
      <c r="J766" s="129"/>
      <c r="K766" s="304"/>
      <c r="N766" s="487"/>
      <c r="O766" s="305"/>
      <c r="Q766" s="305"/>
      <c r="R766" s="305"/>
      <c r="S766" s="471"/>
      <c r="T766" s="471"/>
      <c r="U766" s="471"/>
      <c r="V766" s="471"/>
      <c r="W766" s="471"/>
      <c r="X766" s="471"/>
      <c r="Y766" s="471"/>
      <c r="Z766" s="305"/>
      <c r="AA766" s="305"/>
      <c r="AB766" s="305"/>
      <c r="AC766" s="305"/>
      <c r="AD766" s="305"/>
      <c r="AE766" s="131"/>
    </row>
    <row r="767" spans="8:31" ht="14.25">
      <c r="H767" s="129"/>
      <c r="I767" s="129"/>
      <c r="J767" s="129"/>
      <c r="K767" s="304"/>
      <c r="N767" s="487"/>
      <c r="O767" s="305"/>
      <c r="Q767" s="305"/>
      <c r="R767" s="305"/>
      <c r="S767" s="471"/>
      <c r="T767" s="471"/>
      <c r="U767" s="471"/>
      <c r="V767" s="471"/>
      <c r="W767" s="471"/>
      <c r="X767" s="471"/>
      <c r="Y767" s="471"/>
      <c r="Z767" s="305"/>
      <c r="AA767" s="305"/>
      <c r="AB767" s="305"/>
      <c r="AC767" s="305"/>
      <c r="AD767" s="305"/>
      <c r="AE767" s="131"/>
    </row>
    <row r="768" spans="8:31" ht="14.25">
      <c r="H768" s="129"/>
      <c r="I768" s="129"/>
      <c r="J768" s="129"/>
      <c r="K768" s="304"/>
      <c r="N768" s="487"/>
      <c r="O768" s="305"/>
      <c r="Q768" s="305"/>
      <c r="R768" s="305"/>
      <c r="S768" s="471"/>
      <c r="T768" s="471"/>
      <c r="U768" s="471"/>
      <c r="V768" s="471"/>
      <c r="W768" s="471"/>
      <c r="X768" s="471"/>
      <c r="Y768" s="471"/>
      <c r="Z768" s="305"/>
      <c r="AA768" s="305"/>
      <c r="AB768" s="305"/>
      <c r="AC768" s="305"/>
      <c r="AD768" s="305"/>
      <c r="AE768" s="131"/>
    </row>
    <row r="769" spans="8:31" ht="14.25">
      <c r="H769" s="129"/>
      <c r="I769" s="129"/>
      <c r="J769" s="129"/>
      <c r="K769" s="304"/>
      <c r="N769" s="487"/>
      <c r="O769" s="305"/>
      <c r="Q769" s="305"/>
      <c r="R769" s="305"/>
      <c r="S769" s="471"/>
      <c r="T769" s="471"/>
      <c r="U769" s="471"/>
      <c r="V769" s="471"/>
      <c r="W769" s="471"/>
      <c r="X769" s="471"/>
      <c r="Y769" s="471"/>
      <c r="Z769" s="305"/>
      <c r="AA769" s="305"/>
      <c r="AB769" s="305"/>
      <c r="AC769" s="305"/>
      <c r="AD769" s="305"/>
      <c r="AE769" s="131"/>
    </row>
    <row r="770" spans="8:31" ht="14.25">
      <c r="H770" s="129"/>
      <c r="I770" s="129"/>
      <c r="J770" s="129"/>
      <c r="K770" s="304"/>
      <c r="N770" s="487"/>
      <c r="O770" s="305"/>
      <c r="Q770" s="305"/>
      <c r="R770" s="305"/>
      <c r="S770" s="471"/>
      <c r="T770" s="471"/>
      <c r="U770" s="471"/>
      <c r="V770" s="471"/>
      <c r="W770" s="471"/>
      <c r="X770" s="471"/>
      <c r="Y770" s="471"/>
      <c r="Z770" s="305"/>
      <c r="AA770" s="305"/>
      <c r="AB770" s="305"/>
      <c r="AC770" s="305"/>
      <c r="AD770" s="305"/>
      <c r="AE770" s="131"/>
    </row>
    <row r="771" spans="8:31" ht="14.25">
      <c r="H771" s="129"/>
      <c r="I771" s="129"/>
      <c r="J771" s="129"/>
      <c r="K771" s="304"/>
      <c r="N771" s="487"/>
      <c r="O771" s="305"/>
      <c r="Q771" s="305"/>
      <c r="R771" s="305"/>
      <c r="S771" s="471"/>
      <c r="T771" s="471"/>
      <c r="U771" s="471"/>
      <c r="V771" s="471"/>
      <c r="W771" s="471"/>
      <c r="X771" s="471"/>
      <c r="Y771" s="471"/>
      <c r="Z771" s="305"/>
      <c r="AA771" s="305"/>
      <c r="AB771" s="305"/>
      <c r="AC771" s="305"/>
      <c r="AD771" s="305"/>
      <c r="AE771" s="131"/>
    </row>
    <row r="772" spans="8:31" ht="14.25">
      <c r="H772" s="129"/>
      <c r="I772" s="129"/>
      <c r="J772" s="129"/>
      <c r="K772" s="304"/>
      <c r="N772" s="487"/>
      <c r="O772" s="305"/>
      <c r="Q772" s="305"/>
      <c r="R772" s="305"/>
      <c r="S772" s="471"/>
      <c r="T772" s="471"/>
      <c r="U772" s="471"/>
      <c r="V772" s="471"/>
      <c r="W772" s="471"/>
      <c r="X772" s="471"/>
      <c r="Y772" s="471"/>
      <c r="Z772" s="305"/>
      <c r="AA772" s="305"/>
      <c r="AB772" s="305"/>
      <c r="AC772" s="305"/>
      <c r="AD772" s="305"/>
      <c r="AE772" s="131"/>
    </row>
    <row r="773" spans="8:31" ht="14.25">
      <c r="H773" s="129"/>
      <c r="I773" s="129"/>
      <c r="J773" s="129"/>
      <c r="K773" s="304"/>
      <c r="N773" s="487"/>
      <c r="O773" s="305"/>
      <c r="Q773" s="305"/>
      <c r="R773" s="305"/>
      <c r="S773" s="471"/>
      <c r="T773" s="471"/>
      <c r="U773" s="471"/>
      <c r="V773" s="471"/>
      <c r="W773" s="471"/>
      <c r="X773" s="471"/>
      <c r="Y773" s="471"/>
      <c r="Z773" s="305"/>
      <c r="AA773" s="305"/>
      <c r="AB773" s="305"/>
      <c r="AC773" s="305"/>
      <c r="AD773" s="305"/>
      <c r="AE773" s="131"/>
    </row>
    <row r="774" spans="8:31" ht="14.25">
      <c r="H774" s="129"/>
      <c r="I774" s="129"/>
      <c r="J774" s="129"/>
      <c r="K774" s="304"/>
      <c r="N774" s="487"/>
      <c r="O774" s="305"/>
      <c r="Q774" s="305"/>
      <c r="R774" s="305"/>
      <c r="S774" s="471"/>
      <c r="T774" s="471"/>
      <c r="U774" s="471"/>
      <c r="V774" s="471"/>
      <c r="W774" s="471"/>
      <c r="X774" s="471"/>
      <c r="Y774" s="471"/>
      <c r="Z774" s="305"/>
      <c r="AA774" s="305"/>
      <c r="AB774" s="305"/>
      <c r="AC774" s="305"/>
      <c r="AD774" s="305"/>
      <c r="AE774" s="131"/>
    </row>
    <row r="775" spans="8:31" ht="14.25">
      <c r="H775" s="129"/>
      <c r="I775" s="129"/>
      <c r="J775" s="129"/>
      <c r="K775" s="304"/>
      <c r="N775" s="487"/>
      <c r="O775" s="305"/>
      <c r="Q775" s="305"/>
      <c r="R775" s="305"/>
      <c r="S775" s="471"/>
      <c r="T775" s="471"/>
      <c r="U775" s="471"/>
      <c r="V775" s="471"/>
      <c r="W775" s="471"/>
      <c r="X775" s="471"/>
      <c r="Y775" s="471"/>
      <c r="Z775" s="305"/>
      <c r="AA775" s="305"/>
      <c r="AB775" s="305"/>
      <c r="AC775" s="305"/>
      <c r="AD775" s="305"/>
      <c r="AE775" s="131"/>
    </row>
    <row r="776" spans="8:31" ht="14.25">
      <c r="H776" s="129"/>
      <c r="I776" s="129"/>
      <c r="J776" s="129"/>
      <c r="K776" s="304"/>
      <c r="N776" s="487"/>
      <c r="O776" s="305"/>
      <c r="Q776" s="305"/>
      <c r="R776" s="305"/>
      <c r="S776" s="471"/>
      <c r="T776" s="471"/>
      <c r="U776" s="471"/>
      <c r="V776" s="471"/>
      <c r="W776" s="471"/>
      <c r="X776" s="471"/>
      <c r="Y776" s="471"/>
      <c r="Z776" s="305"/>
      <c r="AA776" s="305"/>
      <c r="AB776" s="305"/>
      <c r="AC776" s="305"/>
      <c r="AD776" s="305"/>
      <c r="AE776" s="131"/>
    </row>
    <row r="777" spans="8:31" ht="14.25">
      <c r="H777" s="129"/>
      <c r="I777" s="129"/>
      <c r="J777" s="129"/>
      <c r="K777" s="304"/>
      <c r="N777" s="487"/>
      <c r="O777" s="305"/>
      <c r="Q777" s="305"/>
      <c r="R777" s="305"/>
      <c r="S777" s="471"/>
      <c r="T777" s="471"/>
      <c r="U777" s="471"/>
      <c r="V777" s="471"/>
      <c r="W777" s="471"/>
      <c r="X777" s="471"/>
      <c r="Y777" s="471"/>
      <c r="Z777" s="305"/>
      <c r="AA777" s="305"/>
      <c r="AB777" s="305"/>
      <c r="AC777" s="305"/>
      <c r="AD777" s="305"/>
      <c r="AE777" s="131"/>
    </row>
    <row r="778" spans="8:31" ht="14.25">
      <c r="H778" s="129"/>
      <c r="I778" s="129"/>
      <c r="J778" s="129"/>
      <c r="K778" s="304"/>
      <c r="N778" s="487"/>
      <c r="O778" s="305"/>
      <c r="Q778" s="305"/>
      <c r="R778" s="305"/>
      <c r="S778" s="471"/>
      <c r="T778" s="471"/>
      <c r="U778" s="471"/>
      <c r="V778" s="471"/>
      <c r="W778" s="471"/>
      <c r="X778" s="471"/>
      <c r="Y778" s="471"/>
      <c r="Z778" s="305"/>
      <c r="AA778" s="305"/>
      <c r="AB778" s="305"/>
      <c r="AC778" s="305"/>
      <c r="AD778" s="305"/>
      <c r="AE778" s="131"/>
    </row>
    <row r="779" spans="8:31" ht="14.25">
      <c r="H779" s="129"/>
      <c r="I779" s="129"/>
      <c r="J779" s="129"/>
      <c r="K779" s="304"/>
      <c r="N779" s="487"/>
      <c r="O779" s="305"/>
      <c r="Q779" s="305"/>
      <c r="R779" s="305"/>
      <c r="S779" s="471"/>
      <c r="T779" s="471"/>
      <c r="U779" s="471"/>
      <c r="V779" s="471"/>
      <c r="W779" s="471"/>
      <c r="X779" s="471"/>
      <c r="Y779" s="471"/>
      <c r="Z779" s="305"/>
      <c r="AA779" s="305"/>
      <c r="AB779" s="305"/>
      <c r="AC779" s="305"/>
      <c r="AD779" s="305"/>
      <c r="AE779" s="131"/>
    </row>
    <row r="780" spans="8:31" ht="14.25">
      <c r="H780" s="129"/>
      <c r="I780" s="129"/>
      <c r="J780" s="129"/>
      <c r="K780" s="304"/>
      <c r="N780" s="487"/>
      <c r="O780" s="305"/>
      <c r="Q780" s="305"/>
      <c r="R780" s="305"/>
      <c r="S780" s="471"/>
      <c r="T780" s="471"/>
      <c r="U780" s="471"/>
      <c r="V780" s="471"/>
      <c r="W780" s="471"/>
      <c r="X780" s="471"/>
      <c r="Y780" s="471"/>
      <c r="Z780" s="305"/>
      <c r="AA780" s="305"/>
      <c r="AB780" s="305"/>
      <c r="AC780" s="305"/>
      <c r="AD780" s="305"/>
      <c r="AE780" s="131"/>
    </row>
    <row r="781" spans="8:31" ht="14.25">
      <c r="H781" s="129"/>
      <c r="I781" s="129"/>
      <c r="J781" s="129"/>
      <c r="K781" s="304"/>
      <c r="N781" s="487"/>
      <c r="O781" s="305"/>
      <c r="Q781" s="305"/>
      <c r="R781" s="305"/>
      <c r="S781" s="471"/>
      <c r="T781" s="471"/>
      <c r="U781" s="471"/>
      <c r="V781" s="471"/>
      <c r="W781" s="471"/>
      <c r="X781" s="471"/>
      <c r="Y781" s="471"/>
      <c r="Z781" s="305"/>
      <c r="AA781" s="305"/>
      <c r="AB781" s="305"/>
      <c r="AC781" s="305"/>
      <c r="AD781" s="305"/>
      <c r="AE781" s="131"/>
    </row>
    <row r="782" spans="8:31" ht="14.25">
      <c r="H782" s="129"/>
      <c r="I782" s="129"/>
      <c r="J782" s="129"/>
      <c r="K782" s="304"/>
      <c r="N782" s="487"/>
      <c r="O782" s="305"/>
      <c r="Q782" s="305"/>
      <c r="R782" s="305"/>
      <c r="S782" s="471"/>
      <c r="T782" s="471"/>
      <c r="U782" s="471"/>
      <c r="V782" s="471"/>
      <c r="W782" s="471"/>
      <c r="X782" s="471"/>
      <c r="Y782" s="471"/>
      <c r="Z782" s="305"/>
      <c r="AA782" s="305"/>
      <c r="AB782" s="305"/>
      <c r="AC782" s="305"/>
      <c r="AD782" s="305"/>
      <c r="AE782" s="131"/>
    </row>
    <row r="783" spans="8:31" ht="14.25">
      <c r="H783" s="129"/>
      <c r="I783" s="129"/>
      <c r="J783" s="129"/>
      <c r="K783" s="304"/>
      <c r="N783" s="487"/>
      <c r="O783" s="305"/>
      <c r="Q783" s="305"/>
      <c r="R783" s="305"/>
      <c r="S783" s="471"/>
      <c r="T783" s="471"/>
      <c r="U783" s="471"/>
      <c r="V783" s="471"/>
      <c r="W783" s="471"/>
      <c r="X783" s="471"/>
      <c r="Y783" s="471"/>
      <c r="Z783" s="305"/>
      <c r="AA783" s="305"/>
      <c r="AB783" s="305"/>
      <c r="AC783" s="305"/>
      <c r="AD783" s="305"/>
      <c r="AE783" s="131"/>
    </row>
    <row r="784" spans="8:31" ht="14.25">
      <c r="H784" s="129"/>
      <c r="I784" s="129"/>
      <c r="J784" s="129"/>
      <c r="K784" s="304"/>
      <c r="N784" s="487"/>
      <c r="O784" s="305"/>
      <c r="Q784" s="305"/>
      <c r="R784" s="305"/>
      <c r="S784" s="471"/>
      <c r="T784" s="471"/>
      <c r="U784" s="471"/>
      <c r="V784" s="471"/>
      <c r="W784" s="471"/>
      <c r="X784" s="471"/>
      <c r="Y784" s="471"/>
      <c r="Z784" s="305"/>
      <c r="AA784" s="305"/>
      <c r="AB784" s="305"/>
      <c r="AC784" s="305"/>
      <c r="AD784" s="305"/>
      <c r="AE784" s="131"/>
    </row>
    <row r="785" spans="8:31" ht="14.25">
      <c r="H785" s="129"/>
      <c r="I785" s="129"/>
      <c r="J785" s="129"/>
      <c r="K785" s="304"/>
      <c r="N785" s="487"/>
      <c r="O785" s="305"/>
      <c r="Q785" s="305"/>
      <c r="R785" s="305"/>
      <c r="S785" s="471"/>
      <c r="T785" s="471"/>
      <c r="U785" s="471"/>
      <c r="V785" s="471"/>
      <c r="W785" s="471"/>
      <c r="X785" s="471"/>
      <c r="Y785" s="471"/>
      <c r="Z785" s="305"/>
      <c r="AA785" s="305"/>
      <c r="AB785" s="305"/>
      <c r="AC785" s="305"/>
      <c r="AD785" s="305"/>
      <c r="AE785" s="131"/>
    </row>
    <row r="786" spans="8:31" ht="14.25">
      <c r="H786" s="129"/>
      <c r="I786" s="129"/>
      <c r="J786" s="129"/>
      <c r="K786" s="304"/>
      <c r="N786" s="487"/>
      <c r="O786" s="305"/>
      <c r="Q786" s="305"/>
      <c r="R786" s="305"/>
      <c r="S786" s="471"/>
      <c r="T786" s="471"/>
      <c r="U786" s="471"/>
      <c r="V786" s="471"/>
      <c r="W786" s="471"/>
      <c r="X786" s="471"/>
      <c r="Y786" s="471"/>
      <c r="Z786" s="305"/>
      <c r="AA786" s="305"/>
      <c r="AB786" s="305"/>
      <c r="AC786" s="305"/>
      <c r="AD786" s="305"/>
      <c r="AE786" s="131"/>
    </row>
    <row r="787" spans="8:31" ht="14.25">
      <c r="H787" s="129"/>
      <c r="I787" s="129"/>
      <c r="J787" s="129"/>
      <c r="K787" s="304"/>
      <c r="N787" s="487"/>
      <c r="O787" s="305"/>
      <c r="Q787" s="305"/>
      <c r="R787" s="305"/>
      <c r="S787" s="471"/>
      <c r="T787" s="471"/>
      <c r="U787" s="471"/>
      <c r="V787" s="471"/>
      <c r="W787" s="471"/>
      <c r="X787" s="471"/>
      <c r="Y787" s="471"/>
      <c r="Z787" s="305"/>
      <c r="AA787" s="305"/>
      <c r="AB787" s="305"/>
      <c r="AC787" s="305"/>
      <c r="AD787" s="305"/>
      <c r="AE787" s="131"/>
    </row>
    <row r="788" spans="8:31" ht="14.25">
      <c r="H788" s="129"/>
      <c r="I788" s="129"/>
      <c r="J788" s="129"/>
      <c r="K788" s="304"/>
      <c r="N788" s="487"/>
      <c r="O788" s="305"/>
      <c r="Q788" s="305"/>
      <c r="R788" s="305"/>
      <c r="S788" s="471"/>
      <c r="T788" s="471"/>
      <c r="U788" s="471"/>
      <c r="V788" s="471"/>
      <c r="W788" s="471"/>
      <c r="X788" s="471"/>
      <c r="Y788" s="471"/>
      <c r="Z788" s="305"/>
      <c r="AA788" s="305"/>
      <c r="AB788" s="305"/>
      <c r="AC788" s="305"/>
      <c r="AD788" s="305"/>
      <c r="AE788" s="131"/>
    </row>
    <row r="789" spans="8:31" ht="14.25">
      <c r="H789" s="129"/>
      <c r="I789" s="129"/>
      <c r="J789" s="129"/>
      <c r="K789" s="304"/>
      <c r="N789" s="487"/>
      <c r="O789" s="305"/>
      <c r="Q789" s="305"/>
      <c r="R789" s="305"/>
      <c r="S789" s="471"/>
      <c r="T789" s="471"/>
      <c r="U789" s="471"/>
      <c r="V789" s="471"/>
      <c r="W789" s="471"/>
      <c r="X789" s="471"/>
      <c r="Y789" s="471"/>
      <c r="Z789" s="305"/>
      <c r="AA789" s="305"/>
      <c r="AB789" s="305"/>
      <c r="AC789" s="305"/>
      <c r="AD789" s="305"/>
      <c r="AE789" s="131"/>
    </row>
    <row r="790" spans="8:31" ht="14.25">
      <c r="H790" s="129"/>
      <c r="I790" s="129"/>
      <c r="J790" s="129"/>
      <c r="K790" s="304"/>
      <c r="N790" s="487"/>
      <c r="O790" s="305"/>
      <c r="Q790" s="305"/>
      <c r="R790" s="305"/>
      <c r="S790" s="471"/>
      <c r="T790" s="471"/>
      <c r="U790" s="471"/>
      <c r="V790" s="471"/>
      <c r="W790" s="471"/>
      <c r="X790" s="471"/>
      <c r="Y790" s="471"/>
      <c r="Z790" s="305"/>
      <c r="AA790" s="305"/>
      <c r="AB790" s="305"/>
      <c r="AC790" s="305"/>
      <c r="AD790" s="305"/>
      <c r="AE790" s="131"/>
    </row>
    <row r="791" spans="8:31" ht="14.25">
      <c r="H791" s="129"/>
      <c r="I791" s="129"/>
      <c r="J791" s="129"/>
      <c r="K791" s="304"/>
      <c r="N791" s="487"/>
      <c r="O791" s="305"/>
      <c r="Q791" s="305"/>
      <c r="R791" s="305"/>
      <c r="S791" s="471"/>
      <c r="T791" s="471"/>
      <c r="U791" s="471"/>
      <c r="V791" s="471"/>
      <c r="W791" s="471"/>
      <c r="X791" s="471"/>
      <c r="Y791" s="471"/>
      <c r="Z791" s="305"/>
      <c r="AA791" s="305"/>
      <c r="AB791" s="305"/>
      <c r="AC791" s="305"/>
      <c r="AD791" s="305"/>
      <c r="AE791" s="131"/>
    </row>
    <row r="792" spans="8:31" ht="14.25">
      <c r="H792" s="129"/>
      <c r="I792" s="129"/>
      <c r="J792" s="129"/>
      <c r="K792" s="304"/>
      <c r="N792" s="487"/>
      <c r="O792" s="305"/>
      <c r="Q792" s="305"/>
      <c r="R792" s="305"/>
      <c r="S792" s="471"/>
      <c r="T792" s="471"/>
      <c r="U792" s="471"/>
      <c r="V792" s="471"/>
      <c r="W792" s="471"/>
      <c r="X792" s="471"/>
      <c r="Y792" s="471"/>
      <c r="Z792" s="305"/>
      <c r="AA792" s="305"/>
      <c r="AB792" s="305"/>
      <c r="AC792" s="305"/>
      <c r="AD792" s="305"/>
      <c r="AE792" s="131"/>
    </row>
    <row r="793" spans="8:31" ht="14.25">
      <c r="H793" s="129"/>
      <c r="I793" s="129"/>
      <c r="J793" s="129"/>
      <c r="K793" s="304"/>
      <c r="N793" s="487"/>
      <c r="O793" s="305"/>
      <c r="Q793" s="305"/>
      <c r="R793" s="305"/>
      <c r="S793" s="471"/>
      <c r="T793" s="471"/>
      <c r="U793" s="471"/>
      <c r="V793" s="471"/>
      <c r="W793" s="471"/>
      <c r="X793" s="471"/>
      <c r="Y793" s="471"/>
      <c r="Z793" s="305"/>
      <c r="AA793" s="305"/>
      <c r="AB793" s="305"/>
      <c r="AC793" s="305"/>
      <c r="AD793" s="305"/>
      <c r="AE793" s="131"/>
    </row>
    <row r="794" spans="8:31" ht="14.25">
      <c r="H794" s="129"/>
      <c r="I794" s="129"/>
      <c r="J794" s="129"/>
      <c r="K794" s="304"/>
      <c r="N794" s="487"/>
      <c r="O794" s="305"/>
      <c r="Q794" s="305"/>
      <c r="R794" s="305"/>
      <c r="S794" s="471"/>
      <c r="T794" s="471"/>
      <c r="U794" s="471"/>
      <c r="V794" s="471"/>
      <c r="W794" s="471"/>
      <c r="X794" s="471"/>
      <c r="Y794" s="471"/>
      <c r="Z794" s="305"/>
      <c r="AA794" s="305"/>
      <c r="AB794" s="305"/>
      <c r="AC794" s="305"/>
      <c r="AD794" s="305"/>
      <c r="AE794" s="131"/>
    </row>
    <row r="795" spans="8:31" ht="14.25">
      <c r="H795" s="129"/>
      <c r="I795" s="129"/>
      <c r="J795" s="129"/>
      <c r="K795" s="304"/>
      <c r="N795" s="487"/>
      <c r="O795" s="305"/>
      <c r="Q795" s="305"/>
      <c r="R795" s="305"/>
      <c r="S795" s="471"/>
      <c r="T795" s="471"/>
      <c r="U795" s="471"/>
      <c r="V795" s="471"/>
      <c r="W795" s="471"/>
      <c r="X795" s="471"/>
      <c r="Y795" s="471"/>
      <c r="Z795" s="305"/>
      <c r="AA795" s="305"/>
      <c r="AB795" s="305"/>
      <c r="AC795" s="305"/>
      <c r="AD795" s="305"/>
      <c r="AE795" s="131"/>
    </row>
    <row r="796" spans="8:31" ht="14.25">
      <c r="H796" s="129"/>
      <c r="I796" s="129"/>
      <c r="J796" s="129"/>
      <c r="K796" s="304"/>
      <c r="N796" s="487"/>
      <c r="O796" s="305"/>
      <c r="Q796" s="305"/>
      <c r="R796" s="305"/>
      <c r="S796" s="471"/>
      <c r="T796" s="471"/>
      <c r="U796" s="471"/>
      <c r="V796" s="471"/>
      <c r="W796" s="471"/>
      <c r="X796" s="471"/>
      <c r="Y796" s="471"/>
      <c r="Z796" s="305"/>
      <c r="AA796" s="305"/>
      <c r="AB796" s="305"/>
      <c r="AC796" s="305"/>
      <c r="AD796" s="305"/>
      <c r="AE796" s="131"/>
    </row>
    <row r="797" spans="8:31" ht="14.25">
      <c r="H797" s="129"/>
      <c r="I797" s="129"/>
      <c r="J797" s="129"/>
      <c r="K797" s="304"/>
      <c r="N797" s="487"/>
      <c r="O797" s="305"/>
      <c r="Q797" s="305"/>
      <c r="R797" s="305"/>
      <c r="S797" s="471"/>
      <c r="T797" s="471"/>
      <c r="U797" s="471"/>
      <c r="V797" s="471"/>
      <c r="W797" s="471"/>
      <c r="X797" s="471"/>
      <c r="Y797" s="471"/>
      <c r="Z797" s="305"/>
      <c r="AA797" s="305"/>
      <c r="AB797" s="305"/>
      <c r="AC797" s="305"/>
      <c r="AD797" s="305"/>
      <c r="AE797" s="131"/>
    </row>
    <row r="798" spans="8:31" ht="14.25">
      <c r="H798" s="129"/>
      <c r="I798" s="129"/>
      <c r="J798" s="129"/>
      <c r="K798" s="304"/>
      <c r="N798" s="487"/>
      <c r="O798" s="305"/>
      <c r="Q798" s="305"/>
      <c r="R798" s="305"/>
      <c r="S798" s="471"/>
      <c r="T798" s="471"/>
      <c r="U798" s="471"/>
      <c r="V798" s="471"/>
      <c r="W798" s="471"/>
      <c r="X798" s="471"/>
      <c r="Y798" s="471"/>
      <c r="Z798" s="305"/>
      <c r="AA798" s="305"/>
      <c r="AB798" s="305"/>
      <c r="AC798" s="305"/>
      <c r="AD798" s="305"/>
      <c r="AE798" s="131"/>
    </row>
    <row r="799" spans="8:31" ht="14.25">
      <c r="H799" s="129"/>
      <c r="I799" s="129"/>
      <c r="J799" s="129"/>
      <c r="K799" s="304"/>
      <c r="N799" s="487"/>
      <c r="O799" s="305"/>
      <c r="Q799" s="305"/>
      <c r="R799" s="305"/>
      <c r="S799" s="471"/>
      <c r="T799" s="471"/>
      <c r="U799" s="471"/>
      <c r="V799" s="471"/>
      <c r="W799" s="471"/>
      <c r="X799" s="471"/>
      <c r="Y799" s="471"/>
      <c r="Z799" s="305"/>
      <c r="AA799" s="305"/>
      <c r="AB799" s="305"/>
      <c r="AC799" s="305"/>
      <c r="AD799" s="305"/>
      <c r="AE799" s="131"/>
    </row>
    <row r="800" spans="8:31" ht="14.25">
      <c r="H800" s="129"/>
      <c r="I800" s="129"/>
      <c r="J800" s="129"/>
      <c r="K800" s="304"/>
      <c r="N800" s="487"/>
      <c r="O800" s="305"/>
      <c r="Q800" s="305"/>
      <c r="R800" s="305"/>
      <c r="S800" s="471"/>
      <c r="T800" s="471"/>
      <c r="U800" s="471"/>
      <c r="V800" s="471"/>
      <c r="W800" s="471"/>
      <c r="X800" s="471"/>
      <c r="Y800" s="471"/>
      <c r="Z800" s="305"/>
      <c r="AA800" s="305"/>
      <c r="AB800" s="305"/>
      <c r="AC800" s="305"/>
      <c r="AD800" s="305"/>
      <c r="AE800" s="131"/>
    </row>
    <row r="801" spans="8:31" ht="14.25">
      <c r="H801" s="129"/>
      <c r="I801" s="129"/>
      <c r="J801" s="129"/>
      <c r="K801" s="304"/>
      <c r="N801" s="487"/>
      <c r="O801" s="305"/>
      <c r="Q801" s="305"/>
      <c r="R801" s="305"/>
      <c r="S801" s="471"/>
      <c r="T801" s="471"/>
      <c r="U801" s="471"/>
      <c r="V801" s="471"/>
      <c r="W801" s="471"/>
      <c r="X801" s="471"/>
      <c r="Y801" s="471"/>
      <c r="Z801" s="305"/>
      <c r="AA801" s="305"/>
      <c r="AB801" s="305"/>
      <c r="AC801" s="305"/>
      <c r="AD801" s="305"/>
      <c r="AE801" s="131"/>
    </row>
    <row r="802" spans="8:31" ht="14.25">
      <c r="H802" s="129"/>
      <c r="I802" s="129"/>
      <c r="J802" s="129"/>
      <c r="K802" s="304"/>
      <c r="N802" s="487"/>
      <c r="O802" s="305"/>
      <c r="Q802" s="305"/>
      <c r="R802" s="305"/>
      <c r="S802" s="471"/>
      <c r="T802" s="471"/>
      <c r="U802" s="471"/>
      <c r="V802" s="471"/>
      <c r="W802" s="471"/>
      <c r="X802" s="471"/>
      <c r="Y802" s="471"/>
      <c r="Z802" s="305"/>
      <c r="AA802" s="305"/>
      <c r="AB802" s="305"/>
      <c r="AC802" s="305"/>
      <c r="AD802" s="305"/>
      <c r="AE802" s="131"/>
    </row>
    <row r="803" spans="8:31" ht="14.25">
      <c r="H803" s="129"/>
      <c r="I803" s="129"/>
      <c r="J803" s="129"/>
      <c r="K803" s="304"/>
      <c r="N803" s="487"/>
      <c r="O803" s="305"/>
      <c r="Q803" s="305"/>
      <c r="R803" s="305"/>
      <c r="S803" s="471"/>
      <c r="T803" s="471"/>
      <c r="U803" s="471"/>
      <c r="V803" s="471"/>
      <c r="W803" s="471"/>
      <c r="X803" s="471"/>
      <c r="Y803" s="471"/>
      <c r="Z803" s="305"/>
      <c r="AA803" s="305"/>
      <c r="AB803" s="305"/>
      <c r="AC803" s="305"/>
      <c r="AD803" s="305"/>
      <c r="AE803" s="131"/>
    </row>
    <row r="804" spans="8:31" ht="14.25">
      <c r="H804" s="129"/>
      <c r="I804" s="129"/>
      <c r="J804" s="129"/>
      <c r="K804" s="304"/>
      <c r="N804" s="487"/>
      <c r="O804" s="305"/>
      <c r="Q804" s="305"/>
      <c r="R804" s="305"/>
      <c r="S804" s="471"/>
      <c r="T804" s="471"/>
      <c r="U804" s="471"/>
      <c r="V804" s="471"/>
      <c r="W804" s="471"/>
      <c r="X804" s="471"/>
      <c r="Y804" s="471"/>
      <c r="Z804" s="305"/>
      <c r="AA804" s="305"/>
      <c r="AB804" s="305"/>
      <c r="AC804" s="305"/>
      <c r="AD804" s="305"/>
      <c r="AE804" s="131"/>
    </row>
    <row r="805" spans="8:31" ht="14.25">
      <c r="H805" s="129"/>
      <c r="I805" s="129"/>
      <c r="J805" s="129"/>
      <c r="K805" s="304"/>
      <c r="N805" s="487"/>
      <c r="O805" s="305"/>
      <c r="Q805" s="305"/>
      <c r="R805" s="305"/>
      <c r="S805" s="471"/>
      <c r="T805" s="471"/>
      <c r="U805" s="471"/>
      <c r="V805" s="471"/>
      <c r="W805" s="471"/>
      <c r="X805" s="471"/>
      <c r="Y805" s="471"/>
      <c r="Z805" s="305"/>
      <c r="AA805" s="305"/>
      <c r="AB805" s="305"/>
      <c r="AC805" s="305"/>
      <c r="AD805" s="305"/>
      <c r="AE805" s="131"/>
    </row>
    <row r="806" spans="8:31" ht="14.25">
      <c r="H806" s="129"/>
      <c r="I806" s="129"/>
      <c r="J806" s="129"/>
      <c r="K806" s="304"/>
      <c r="N806" s="487"/>
      <c r="O806" s="305"/>
      <c r="Q806" s="305"/>
      <c r="R806" s="305"/>
      <c r="S806" s="471"/>
      <c r="T806" s="471"/>
      <c r="U806" s="471"/>
      <c r="V806" s="471"/>
      <c r="W806" s="471"/>
      <c r="X806" s="471"/>
      <c r="Y806" s="471"/>
      <c r="Z806" s="305"/>
      <c r="AA806" s="305"/>
      <c r="AB806" s="305"/>
      <c r="AC806" s="305"/>
      <c r="AD806" s="305"/>
      <c r="AE806" s="131"/>
    </row>
    <row r="807" spans="8:31" ht="14.25">
      <c r="H807" s="129"/>
      <c r="I807" s="129"/>
      <c r="J807" s="129"/>
      <c r="K807" s="304"/>
      <c r="N807" s="487"/>
      <c r="O807" s="305"/>
      <c r="Q807" s="305"/>
      <c r="R807" s="305"/>
      <c r="S807" s="471"/>
      <c r="T807" s="471"/>
      <c r="U807" s="471"/>
      <c r="V807" s="471"/>
      <c r="W807" s="471"/>
      <c r="X807" s="471"/>
      <c r="Y807" s="471"/>
      <c r="Z807" s="305"/>
      <c r="AA807" s="305"/>
      <c r="AB807" s="305"/>
      <c r="AC807" s="305"/>
      <c r="AD807" s="305"/>
      <c r="AE807" s="131"/>
    </row>
    <row r="808" spans="8:31" ht="14.25">
      <c r="H808" s="129"/>
      <c r="I808" s="129"/>
      <c r="J808" s="129"/>
      <c r="K808" s="304"/>
      <c r="N808" s="487"/>
      <c r="O808" s="305"/>
      <c r="Q808" s="305"/>
      <c r="R808" s="305"/>
      <c r="S808" s="471"/>
      <c r="T808" s="471"/>
      <c r="U808" s="471"/>
      <c r="V808" s="471"/>
      <c r="W808" s="471"/>
      <c r="X808" s="471"/>
      <c r="Y808" s="471"/>
      <c r="Z808" s="305"/>
      <c r="AA808" s="305"/>
      <c r="AB808" s="305"/>
      <c r="AC808" s="305"/>
      <c r="AD808" s="305"/>
      <c r="AE808" s="131"/>
    </row>
    <row r="809" spans="8:31" ht="14.25">
      <c r="H809" s="129"/>
      <c r="I809" s="129"/>
      <c r="J809" s="129"/>
      <c r="K809" s="304"/>
      <c r="N809" s="487"/>
      <c r="O809" s="305"/>
      <c r="Q809" s="305"/>
      <c r="R809" s="305"/>
      <c r="S809" s="471"/>
      <c r="T809" s="471"/>
      <c r="U809" s="471"/>
      <c r="V809" s="471"/>
      <c r="W809" s="471"/>
      <c r="X809" s="471"/>
      <c r="Y809" s="471"/>
      <c r="Z809" s="305"/>
      <c r="AA809" s="305"/>
      <c r="AB809" s="305"/>
      <c r="AC809" s="305"/>
      <c r="AD809" s="305"/>
      <c r="AE809" s="131"/>
    </row>
    <row r="810" spans="8:31" ht="14.25">
      <c r="H810" s="129"/>
      <c r="I810" s="129"/>
      <c r="J810" s="129"/>
      <c r="K810" s="304"/>
      <c r="N810" s="487"/>
      <c r="O810" s="305"/>
      <c r="Q810" s="305"/>
      <c r="R810" s="305"/>
      <c r="S810" s="471"/>
      <c r="T810" s="471"/>
      <c r="U810" s="471"/>
      <c r="V810" s="471"/>
      <c r="W810" s="471"/>
      <c r="X810" s="471"/>
      <c r="Y810" s="471"/>
      <c r="Z810" s="305"/>
      <c r="AA810" s="305"/>
      <c r="AB810" s="305"/>
      <c r="AC810" s="305"/>
      <c r="AD810" s="305"/>
      <c r="AE810" s="131"/>
    </row>
    <row r="811" spans="8:31" ht="14.25">
      <c r="H811" s="129"/>
      <c r="I811" s="129"/>
      <c r="J811" s="129"/>
      <c r="K811" s="304"/>
      <c r="N811" s="487"/>
      <c r="O811" s="305"/>
      <c r="Q811" s="305"/>
      <c r="R811" s="305"/>
      <c r="S811" s="471"/>
      <c r="T811" s="471"/>
      <c r="U811" s="471"/>
      <c r="V811" s="471"/>
      <c r="W811" s="471"/>
      <c r="X811" s="471"/>
      <c r="Y811" s="471"/>
      <c r="Z811" s="305"/>
      <c r="AA811" s="305"/>
      <c r="AB811" s="305"/>
      <c r="AC811" s="305"/>
      <c r="AD811" s="305"/>
      <c r="AE811" s="131"/>
    </row>
    <row r="812" spans="8:31" ht="14.25">
      <c r="H812" s="129"/>
      <c r="I812" s="129"/>
      <c r="J812" s="129"/>
      <c r="K812" s="304"/>
      <c r="N812" s="487"/>
      <c r="O812" s="305"/>
      <c r="Q812" s="305"/>
      <c r="R812" s="305"/>
      <c r="S812" s="471"/>
      <c r="T812" s="471"/>
      <c r="U812" s="471"/>
      <c r="V812" s="471"/>
      <c r="W812" s="471"/>
      <c r="X812" s="471"/>
      <c r="Y812" s="471"/>
      <c r="Z812" s="305"/>
      <c r="AA812" s="305"/>
      <c r="AB812" s="305"/>
      <c r="AC812" s="305"/>
      <c r="AD812" s="305"/>
      <c r="AE812" s="131"/>
    </row>
    <row r="813" spans="8:31" ht="14.25">
      <c r="H813" s="129"/>
      <c r="I813" s="129"/>
      <c r="J813" s="129"/>
      <c r="K813" s="304"/>
      <c r="N813" s="487"/>
      <c r="O813" s="305"/>
      <c r="Q813" s="305"/>
      <c r="R813" s="305"/>
      <c r="S813" s="471"/>
      <c r="T813" s="471"/>
      <c r="U813" s="471"/>
      <c r="V813" s="471"/>
      <c r="W813" s="471"/>
      <c r="X813" s="471"/>
      <c r="Y813" s="471"/>
      <c r="Z813" s="305"/>
      <c r="AA813" s="305"/>
      <c r="AB813" s="305"/>
      <c r="AC813" s="305"/>
      <c r="AD813" s="305"/>
      <c r="AE813" s="131"/>
    </row>
    <row r="814" spans="8:31" ht="14.25">
      <c r="H814" s="129"/>
      <c r="I814" s="129"/>
      <c r="J814" s="129"/>
      <c r="K814" s="304"/>
      <c r="N814" s="487"/>
      <c r="O814" s="305"/>
      <c r="Q814" s="305"/>
      <c r="R814" s="305"/>
      <c r="S814" s="471"/>
      <c r="T814" s="471"/>
      <c r="U814" s="471"/>
      <c r="V814" s="471"/>
      <c r="W814" s="471"/>
      <c r="X814" s="471"/>
      <c r="Y814" s="471"/>
      <c r="Z814" s="305"/>
      <c r="AA814" s="305"/>
      <c r="AB814" s="305"/>
      <c r="AC814" s="305"/>
      <c r="AD814" s="305"/>
      <c r="AE814" s="131"/>
    </row>
    <row r="815" spans="8:31" ht="14.25">
      <c r="H815" s="129"/>
      <c r="I815" s="129"/>
      <c r="J815" s="129"/>
      <c r="K815" s="304"/>
      <c r="N815" s="487"/>
      <c r="O815" s="305"/>
      <c r="Q815" s="305"/>
      <c r="R815" s="305"/>
      <c r="S815" s="471"/>
      <c r="T815" s="471"/>
      <c r="U815" s="471"/>
      <c r="V815" s="471"/>
      <c r="W815" s="471"/>
      <c r="X815" s="471"/>
      <c r="Y815" s="471"/>
      <c r="Z815" s="305"/>
      <c r="AA815" s="305"/>
      <c r="AB815" s="305"/>
      <c r="AC815" s="305"/>
      <c r="AD815" s="305"/>
      <c r="AE815" s="131"/>
    </row>
    <row r="816" spans="8:31" ht="14.25">
      <c r="H816" s="129"/>
      <c r="I816" s="129"/>
      <c r="J816" s="129"/>
      <c r="K816" s="304"/>
      <c r="N816" s="487"/>
      <c r="O816" s="305"/>
      <c r="Q816" s="305"/>
      <c r="R816" s="305"/>
      <c r="S816" s="471"/>
      <c r="T816" s="471"/>
      <c r="U816" s="471"/>
      <c r="V816" s="471"/>
      <c r="W816" s="471"/>
      <c r="X816" s="471"/>
      <c r="Y816" s="471"/>
      <c r="Z816" s="305"/>
      <c r="AA816" s="305"/>
      <c r="AB816" s="305"/>
      <c r="AC816" s="305"/>
      <c r="AD816" s="305"/>
      <c r="AE816" s="131"/>
    </row>
    <row r="817" spans="8:31" ht="14.25">
      <c r="H817" s="129"/>
      <c r="I817" s="129"/>
      <c r="J817" s="129"/>
      <c r="K817" s="304"/>
      <c r="N817" s="487"/>
      <c r="O817" s="305"/>
      <c r="Q817" s="305"/>
      <c r="R817" s="305"/>
      <c r="S817" s="471"/>
      <c r="T817" s="471"/>
      <c r="U817" s="471"/>
      <c r="V817" s="471"/>
      <c r="W817" s="471"/>
      <c r="X817" s="471"/>
      <c r="Y817" s="471"/>
      <c r="Z817" s="305"/>
      <c r="AA817" s="305"/>
      <c r="AB817" s="305"/>
      <c r="AC817" s="305"/>
      <c r="AD817" s="305"/>
      <c r="AE817" s="131"/>
    </row>
    <row r="818" spans="8:31" ht="14.25">
      <c r="H818" s="129"/>
      <c r="I818" s="129"/>
      <c r="J818" s="129"/>
      <c r="K818" s="304"/>
      <c r="N818" s="487"/>
      <c r="O818" s="305"/>
      <c r="Q818" s="305"/>
      <c r="R818" s="305"/>
      <c r="S818" s="471"/>
      <c r="T818" s="471"/>
      <c r="U818" s="471"/>
      <c r="V818" s="471"/>
      <c r="W818" s="471"/>
      <c r="X818" s="471"/>
      <c r="Y818" s="471"/>
      <c r="Z818" s="305"/>
      <c r="AA818" s="305"/>
      <c r="AB818" s="305"/>
      <c r="AC818" s="305"/>
      <c r="AD818" s="305"/>
      <c r="AE818" s="131"/>
    </row>
    <row r="819" spans="8:31" ht="14.25">
      <c r="H819" s="129"/>
      <c r="I819" s="129"/>
      <c r="J819" s="129"/>
      <c r="K819" s="304"/>
      <c r="N819" s="487"/>
      <c r="O819" s="305"/>
      <c r="Q819" s="305"/>
      <c r="R819" s="305"/>
      <c r="S819" s="471"/>
      <c r="T819" s="471"/>
      <c r="U819" s="471"/>
      <c r="V819" s="471"/>
      <c r="W819" s="471"/>
      <c r="X819" s="471"/>
      <c r="Y819" s="471"/>
      <c r="Z819" s="305"/>
      <c r="AA819" s="305"/>
      <c r="AB819" s="305"/>
      <c r="AC819" s="305"/>
      <c r="AD819" s="305"/>
      <c r="AE819" s="131"/>
    </row>
    <row r="820" spans="8:31" ht="14.25">
      <c r="H820" s="129"/>
      <c r="I820" s="129"/>
      <c r="J820" s="129"/>
      <c r="K820" s="304"/>
      <c r="N820" s="487"/>
      <c r="O820" s="305"/>
      <c r="Q820" s="305"/>
      <c r="R820" s="305"/>
      <c r="S820" s="471"/>
      <c r="T820" s="471"/>
      <c r="U820" s="471"/>
      <c r="V820" s="471"/>
      <c r="W820" s="471"/>
      <c r="X820" s="471"/>
      <c r="Y820" s="471"/>
      <c r="Z820" s="305"/>
      <c r="AA820" s="305"/>
      <c r="AB820" s="305"/>
      <c r="AC820" s="305"/>
      <c r="AD820" s="305"/>
      <c r="AE820" s="131"/>
    </row>
    <row r="821" spans="8:31" ht="14.25">
      <c r="H821" s="129"/>
      <c r="I821" s="129"/>
      <c r="J821" s="129"/>
      <c r="K821" s="304"/>
      <c r="N821" s="487"/>
      <c r="O821" s="305"/>
      <c r="Q821" s="305"/>
      <c r="R821" s="305"/>
      <c r="S821" s="471"/>
      <c r="T821" s="471"/>
      <c r="U821" s="471"/>
      <c r="V821" s="471"/>
      <c r="W821" s="471"/>
      <c r="X821" s="471"/>
      <c r="Y821" s="471"/>
      <c r="Z821" s="305"/>
      <c r="AA821" s="305"/>
      <c r="AB821" s="305"/>
      <c r="AC821" s="305"/>
      <c r="AD821" s="305"/>
      <c r="AE821" s="131"/>
    </row>
    <row r="822" spans="8:31" ht="14.25">
      <c r="H822" s="129"/>
      <c r="I822" s="129"/>
      <c r="J822" s="129"/>
      <c r="K822" s="304"/>
      <c r="N822" s="487"/>
      <c r="O822" s="305"/>
      <c r="Q822" s="305"/>
      <c r="R822" s="305"/>
      <c r="S822" s="471"/>
      <c r="T822" s="471"/>
      <c r="U822" s="471"/>
      <c r="V822" s="471"/>
      <c r="W822" s="471"/>
      <c r="X822" s="471"/>
      <c r="Y822" s="471"/>
      <c r="Z822" s="305"/>
      <c r="AA822" s="305"/>
      <c r="AB822" s="305"/>
      <c r="AC822" s="305"/>
      <c r="AD822" s="305"/>
      <c r="AE822" s="131"/>
    </row>
    <row r="823" spans="8:31" ht="14.25">
      <c r="H823" s="129"/>
      <c r="I823" s="129"/>
      <c r="J823" s="129"/>
      <c r="K823" s="304"/>
      <c r="N823" s="487"/>
      <c r="O823" s="305"/>
      <c r="Q823" s="305"/>
      <c r="R823" s="305"/>
      <c r="S823" s="471"/>
      <c r="T823" s="471"/>
      <c r="U823" s="471"/>
      <c r="V823" s="471"/>
      <c r="W823" s="471"/>
      <c r="X823" s="471"/>
      <c r="Y823" s="471"/>
      <c r="Z823" s="305"/>
      <c r="AA823" s="305"/>
      <c r="AB823" s="305"/>
      <c r="AC823" s="305"/>
      <c r="AD823" s="305"/>
      <c r="AE823" s="131"/>
    </row>
    <row r="824" spans="8:31" ht="14.25">
      <c r="H824" s="129"/>
      <c r="I824" s="129"/>
      <c r="J824" s="129"/>
      <c r="K824" s="304"/>
      <c r="N824" s="487"/>
      <c r="O824" s="305"/>
      <c r="Q824" s="305"/>
      <c r="R824" s="305"/>
      <c r="S824" s="471"/>
      <c r="T824" s="471"/>
      <c r="U824" s="471"/>
      <c r="V824" s="471"/>
      <c r="W824" s="471"/>
      <c r="X824" s="471"/>
      <c r="Y824" s="471"/>
      <c r="Z824" s="305"/>
      <c r="AA824" s="305"/>
      <c r="AB824" s="305"/>
      <c r="AC824" s="305"/>
      <c r="AD824" s="305"/>
      <c r="AE824" s="131"/>
    </row>
    <row r="825" spans="8:31" ht="14.25">
      <c r="H825" s="129"/>
      <c r="I825" s="129"/>
      <c r="J825" s="129"/>
      <c r="K825" s="304"/>
      <c r="N825" s="487"/>
      <c r="O825" s="305"/>
      <c r="Q825" s="305"/>
      <c r="R825" s="305"/>
      <c r="S825" s="471"/>
      <c r="T825" s="471"/>
      <c r="U825" s="471"/>
      <c r="V825" s="471"/>
      <c r="W825" s="471"/>
      <c r="X825" s="471"/>
      <c r="Y825" s="471"/>
      <c r="Z825" s="305"/>
      <c r="AA825" s="305"/>
      <c r="AB825" s="305"/>
      <c r="AC825" s="305"/>
      <c r="AD825" s="305"/>
      <c r="AE825" s="131"/>
    </row>
    <row r="826" spans="8:31" ht="14.25">
      <c r="H826" s="129"/>
      <c r="I826" s="129"/>
      <c r="J826" s="129"/>
      <c r="K826" s="304"/>
      <c r="N826" s="487"/>
      <c r="O826" s="305"/>
      <c r="Q826" s="305"/>
      <c r="R826" s="305"/>
      <c r="S826" s="471"/>
      <c r="T826" s="471"/>
      <c r="U826" s="471"/>
      <c r="V826" s="471"/>
      <c r="W826" s="471"/>
      <c r="X826" s="471"/>
      <c r="Y826" s="471"/>
      <c r="Z826" s="305"/>
      <c r="AA826" s="305"/>
      <c r="AB826" s="305"/>
      <c r="AC826" s="305"/>
      <c r="AD826" s="305"/>
      <c r="AE826" s="131"/>
    </row>
    <row r="827" spans="8:31" ht="14.25">
      <c r="H827" s="129"/>
      <c r="I827" s="129"/>
      <c r="J827" s="129"/>
      <c r="K827" s="304"/>
      <c r="N827" s="487"/>
      <c r="O827" s="305"/>
      <c r="Q827" s="305"/>
      <c r="R827" s="305"/>
      <c r="S827" s="471"/>
      <c r="T827" s="471"/>
      <c r="U827" s="471"/>
      <c r="V827" s="471"/>
      <c r="W827" s="471"/>
      <c r="X827" s="471"/>
      <c r="Y827" s="471"/>
      <c r="Z827" s="305"/>
      <c r="AA827" s="305"/>
      <c r="AB827" s="305"/>
      <c r="AC827" s="305"/>
      <c r="AD827" s="305"/>
      <c r="AE827" s="131"/>
    </row>
    <row r="828" spans="8:31" ht="14.25">
      <c r="H828" s="129"/>
      <c r="I828" s="129"/>
      <c r="J828" s="129"/>
      <c r="K828" s="304"/>
      <c r="N828" s="487"/>
      <c r="O828" s="305"/>
      <c r="Q828" s="305"/>
      <c r="R828" s="305"/>
      <c r="S828" s="471"/>
      <c r="T828" s="471"/>
      <c r="U828" s="471"/>
      <c r="V828" s="471"/>
      <c r="W828" s="471"/>
      <c r="X828" s="471"/>
      <c r="Y828" s="471"/>
      <c r="Z828" s="305"/>
      <c r="AA828" s="305"/>
      <c r="AB828" s="305"/>
      <c r="AC828" s="305"/>
      <c r="AD828" s="305"/>
      <c r="AE828" s="131"/>
    </row>
    <row r="829" spans="8:31" ht="14.25">
      <c r="H829" s="129"/>
      <c r="I829" s="129"/>
      <c r="J829" s="129"/>
      <c r="K829" s="304"/>
      <c r="N829" s="487"/>
      <c r="O829" s="305"/>
      <c r="Q829" s="305"/>
      <c r="R829" s="305"/>
      <c r="S829" s="471"/>
      <c r="T829" s="471"/>
      <c r="U829" s="471"/>
      <c r="V829" s="471"/>
      <c r="W829" s="471"/>
      <c r="X829" s="471"/>
      <c r="Y829" s="471"/>
      <c r="Z829" s="305"/>
      <c r="AA829" s="305"/>
      <c r="AB829" s="305"/>
      <c r="AC829" s="305"/>
      <c r="AD829" s="305"/>
      <c r="AE829" s="131"/>
    </row>
    <row r="830" spans="8:31" ht="14.25">
      <c r="H830" s="129"/>
      <c r="I830" s="129"/>
      <c r="J830" s="129"/>
      <c r="K830" s="304"/>
      <c r="N830" s="487"/>
      <c r="O830" s="305"/>
      <c r="Q830" s="305"/>
      <c r="R830" s="305"/>
      <c r="S830" s="471"/>
      <c r="T830" s="471"/>
      <c r="U830" s="471"/>
      <c r="V830" s="471"/>
      <c r="W830" s="471"/>
      <c r="X830" s="471"/>
      <c r="Y830" s="471"/>
      <c r="Z830" s="305"/>
      <c r="AA830" s="305"/>
      <c r="AB830" s="305"/>
      <c r="AC830" s="305"/>
      <c r="AD830" s="305"/>
      <c r="AE830" s="131"/>
    </row>
    <row r="831" spans="8:31" ht="14.25">
      <c r="H831" s="129"/>
      <c r="I831" s="129"/>
      <c r="J831" s="129"/>
      <c r="K831" s="304"/>
      <c r="N831" s="487"/>
      <c r="O831" s="305"/>
      <c r="Q831" s="305"/>
      <c r="R831" s="305"/>
      <c r="S831" s="471"/>
      <c r="T831" s="471"/>
      <c r="U831" s="471"/>
      <c r="V831" s="471"/>
      <c r="W831" s="471"/>
      <c r="X831" s="471"/>
      <c r="Y831" s="471"/>
      <c r="Z831" s="305"/>
      <c r="AA831" s="305"/>
      <c r="AB831" s="305"/>
      <c r="AC831" s="305"/>
      <c r="AD831" s="305"/>
      <c r="AE831" s="131"/>
    </row>
    <row r="832" spans="8:31" ht="14.25">
      <c r="H832" s="129"/>
      <c r="I832" s="129"/>
      <c r="J832" s="129"/>
      <c r="K832" s="304"/>
      <c r="N832" s="487"/>
      <c r="O832" s="305"/>
      <c r="Q832" s="305"/>
      <c r="R832" s="305"/>
      <c r="S832" s="471"/>
      <c r="T832" s="471"/>
      <c r="U832" s="471"/>
      <c r="V832" s="471"/>
      <c r="W832" s="471"/>
      <c r="X832" s="471"/>
      <c r="Y832" s="471"/>
      <c r="Z832" s="305"/>
      <c r="AA832" s="305"/>
      <c r="AB832" s="305"/>
      <c r="AC832" s="305"/>
      <c r="AD832" s="305"/>
      <c r="AE832" s="131"/>
    </row>
    <row r="833" spans="8:31" ht="14.25">
      <c r="H833" s="129"/>
      <c r="I833" s="129"/>
      <c r="J833" s="129"/>
      <c r="K833" s="304"/>
      <c r="N833" s="487"/>
      <c r="O833" s="305"/>
      <c r="Q833" s="305"/>
      <c r="R833" s="305"/>
      <c r="S833" s="471"/>
      <c r="T833" s="471"/>
      <c r="U833" s="471"/>
      <c r="V833" s="471"/>
      <c r="W833" s="471"/>
      <c r="X833" s="471"/>
      <c r="Y833" s="471"/>
      <c r="Z833" s="305"/>
      <c r="AA833" s="305"/>
      <c r="AB833" s="305"/>
      <c r="AC833" s="305"/>
      <c r="AD833" s="305"/>
      <c r="AE833" s="131"/>
    </row>
    <row r="834" spans="8:31" ht="14.25">
      <c r="H834" s="129"/>
      <c r="I834" s="129"/>
      <c r="J834" s="129"/>
      <c r="K834" s="304"/>
      <c r="N834" s="487"/>
      <c r="O834" s="305"/>
      <c r="Q834" s="305"/>
      <c r="R834" s="305"/>
      <c r="S834" s="471"/>
      <c r="T834" s="471"/>
      <c r="U834" s="471"/>
      <c r="V834" s="471"/>
      <c r="W834" s="471"/>
      <c r="X834" s="471"/>
      <c r="Y834" s="471"/>
      <c r="Z834" s="305"/>
      <c r="AA834" s="305"/>
      <c r="AB834" s="305"/>
      <c r="AC834" s="305"/>
      <c r="AD834" s="305"/>
      <c r="AE834" s="131"/>
    </row>
    <row r="835" spans="8:31" ht="14.25">
      <c r="H835" s="129"/>
      <c r="I835" s="129"/>
      <c r="J835" s="129"/>
      <c r="K835" s="304"/>
      <c r="N835" s="487"/>
      <c r="O835" s="305"/>
      <c r="Q835" s="305"/>
      <c r="R835" s="305"/>
      <c r="S835" s="471"/>
      <c r="T835" s="471"/>
      <c r="U835" s="471"/>
      <c r="V835" s="471"/>
      <c r="W835" s="471"/>
      <c r="X835" s="471"/>
      <c r="Y835" s="471"/>
      <c r="Z835" s="305"/>
      <c r="AA835" s="305"/>
      <c r="AB835" s="305"/>
      <c r="AC835" s="305"/>
      <c r="AD835" s="305"/>
      <c r="AE835" s="131"/>
    </row>
    <row r="836" spans="8:31" ht="14.25">
      <c r="H836" s="129"/>
      <c r="I836" s="129"/>
      <c r="J836" s="129"/>
      <c r="K836" s="304"/>
      <c r="N836" s="487"/>
      <c r="O836" s="305"/>
      <c r="Q836" s="305"/>
      <c r="R836" s="305"/>
      <c r="S836" s="471"/>
      <c r="T836" s="471"/>
      <c r="U836" s="471"/>
      <c r="V836" s="471"/>
      <c r="W836" s="471"/>
      <c r="X836" s="471"/>
      <c r="Y836" s="471"/>
      <c r="Z836" s="305"/>
      <c r="AA836" s="305"/>
      <c r="AB836" s="305"/>
      <c r="AC836" s="305"/>
      <c r="AD836" s="305"/>
      <c r="AE836" s="131"/>
    </row>
    <row r="837" spans="8:31" ht="14.25">
      <c r="H837" s="129"/>
      <c r="I837" s="129"/>
      <c r="J837" s="129"/>
      <c r="K837" s="304"/>
      <c r="N837" s="487"/>
      <c r="O837" s="305"/>
      <c r="Q837" s="305"/>
      <c r="R837" s="305"/>
      <c r="S837" s="471"/>
      <c r="T837" s="471"/>
      <c r="U837" s="471"/>
      <c r="V837" s="471"/>
      <c r="W837" s="471"/>
      <c r="X837" s="471"/>
      <c r="Y837" s="471"/>
      <c r="Z837" s="305"/>
      <c r="AA837" s="305"/>
      <c r="AB837" s="305"/>
      <c r="AC837" s="305"/>
      <c r="AD837" s="305"/>
      <c r="AE837" s="131"/>
    </row>
    <row r="838" spans="8:31" ht="14.25">
      <c r="H838" s="129"/>
      <c r="I838" s="129"/>
      <c r="J838" s="129"/>
      <c r="K838" s="304"/>
      <c r="N838" s="487"/>
      <c r="O838" s="305"/>
      <c r="Q838" s="305"/>
      <c r="R838" s="305"/>
      <c r="S838" s="471"/>
      <c r="T838" s="471"/>
      <c r="U838" s="471"/>
      <c r="V838" s="471"/>
      <c r="W838" s="471"/>
      <c r="X838" s="471"/>
      <c r="Y838" s="471"/>
      <c r="Z838" s="305"/>
      <c r="AA838" s="305"/>
      <c r="AB838" s="305"/>
      <c r="AC838" s="305"/>
      <c r="AD838" s="305"/>
      <c r="AE838" s="131"/>
    </row>
    <row r="839" spans="8:31" ht="14.25">
      <c r="H839" s="129"/>
      <c r="I839" s="129"/>
      <c r="J839" s="129"/>
      <c r="K839" s="304"/>
      <c r="N839" s="487"/>
      <c r="O839" s="305"/>
      <c r="Q839" s="305"/>
      <c r="R839" s="305"/>
      <c r="S839" s="471"/>
      <c r="T839" s="471"/>
      <c r="U839" s="471"/>
      <c r="V839" s="471"/>
      <c r="W839" s="471"/>
      <c r="X839" s="471"/>
      <c r="Y839" s="471"/>
      <c r="Z839" s="305"/>
      <c r="AA839" s="305"/>
      <c r="AB839" s="305"/>
      <c r="AC839" s="305"/>
      <c r="AD839" s="305"/>
      <c r="AE839" s="131"/>
    </row>
    <row r="840" spans="8:31" ht="14.25">
      <c r="H840" s="129"/>
      <c r="I840" s="129"/>
      <c r="J840" s="129"/>
      <c r="K840" s="304"/>
      <c r="N840" s="487"/>
      <c r="O840" s="305"/>
      <c r="Q840" s="305"/>
      <c r="R840" s="305"/>
      <c r="S840" s="471"/>
      <c r="T840" s="471"/>
      <c r="U840" s="471"/>
      <c r="V840" s="471"/>
      <c r="W840" s="471"/>
      <c r="X840" s="471"/>
      <c r="Y840" s="471"/>
      <c r="Z840" s="305"/>
      <c r="AA840" s="305"/>
      <c r="AB840" s="305"/>
      <c r="AC840" s="305"/>
      <c r="AD840" s="305"/>
      <c r="AE840" s="131"/>
    </row>
    <row r="841" spans="8:31" ht="14.25">
      <c r="H841" s="129"/>
      <c r="I841" s="129"/>
      <c r="J841" s="129"/>
      <c r="K841" s="304"/>
      <c r="N841" s="487"/>
      <c r="O841" s="305"/>
      <c r="Q841" s="305"/>
      <c r="R841" s="305"/>
      <c r="S841" s="471"/>
      <c r="T841" s="471"/>
      <c r="U841" s="471"/>
      <c r="V841" s="471"/>
      <c r="W841" s="471"/>
      <c r="X841" s="471"/>
      <c r="Y841" s="471"/>
      <c r="Z841" s="305"/>
      <c r="AA841" s="305"/>
      <c r="AB841" s="305"/>
      <c r="AC841" s="305"/>
      <c r="AD841" s="305"/>
      <c r="AE841" s="131"/>
    </row>
    <row r="842" spans="8:31" ht="14.25">
      <c r="H842" s="129"/>
      <c r="I842" s="129"/>
      <c r="J842" s="129"/>
      <c r="K842" s="304"/>
      <c r="N842" s="487"/>
      <c r="O842" s="305"/>
      <c r="Q842" s="305"/>
      <c r="R842" s="305"/>
      <c r="S842" s="471"/>
      <c r="T842" s="471"/>
      <c r="U842" s="471"/>
      <c r="V842" s="471"/>
      <c r="W842" s="471"/>
      <c r="X842" s="471"/>
      <c r="Y842" s="471"/>
      <c r="Z842" s="305"/>
      <c r="AA842" s="305"/>
      <c r="AB842" s="305"/>
      <c r="AC842" s="305"/>
      <c r="AD842" s="305"/>
      <c r="AE842" s="131"/>
    </row>
    <row r="843" spans="8:31" ht="14.25">
      <c r="H843" s="129"/>
      <c r="I843" s="129"/>
      <c r="J843" s="129"/>
      <c r="K843" s="304"/>
      <c r="N843" s="487"/>
      <c r="O843" s="305"/>
      <c r="Q843" s="305"/>
      <c r="R843" s="305"/>
      <c r="S843" s="471"/>
      <c r="T843" s="471"/>
      <c r="U843" s="471"/>
      <c r="V843" s="471"/>
      <c r="W843" s="471"/>
      <c r="X843" s="471"/>
      <c r="Y843" s="471"/>
      <c r="Z843" s="305"/>
      <c r="AA843" s="305"/>
      <c r="AB843" s="305"/>
      <c r="AC843" s="305"/>
      <c r="AD843" s="305"/>
      <c r="AE843" s="131"/>
    </row>
    <row r="844" spans="8:31" ht="14.25">
      <c r="H844" s="129"/>
      <c r="I844" s="129"/>
      <c r="J844" s="129"/>
      <c r="K844" s="304"/>
      <c r="N844" s="487"/>
      <c r="O844" s="305"/>
      <c r="Q844" s="305"/>
      <c r="R844" s="305"/>
      <c r="S844" s="471"/>
      <c r="T844" s="471"/>
      <c r="U844" s="471"/>
      <c r="V844" s="471"/>
      <c r="W844" s="471"/>
      <c r="X844" s="471"/>
      <c r="Y844" s="471"/>
      <c r="Z844" s="305"/>
      <c r="AA844" s="305"/>
      <c r="AB844" s="305"/>
      <c r="AC844" s="305"/>
      <c r="AD844" s="305"/>
      <c r="AE844" s="131"/>
    </row>
    <row r="845" spans="8:31" ht="14.25">
      <c r="H845" s="129"/>
      <c r="I845" s="129"/>
      <c r="J845" s="129"/>
      <c r="K845" s="304"/>
      <c r="N845" s="487"/>
      <c r="O845" s="305"/>
      <c r="Q845" s="305"/>
      <c r="R845" s="305"/>
      <c r="S845" s="471"/>
      <c r="T845" s="471"/>
      <c r="U845" s="471"/>
      <c r="V845" s="471"/>
      <c r="W845" s="471"/>
      <c r="X845" s="471"/>
      <c r="Y845" s="471"/>
      <c r="Z845" s="305"/>
      <c r="AA845" s="305"/>
      <c r="AB845" s="305"/>
      <c r="AC845" s="305"/>
      <c r="AD845" s="305"/>
      <c r="AE845" s="131"/>
    </row>
    <row r="846" spans="8:31" ht="14.25">
      <c r="H846" s="129"/>
      <c r="I846" s="129"/>
      <c r="J846" s="129"/>
      <c r="K846" s="304"/>
      <c r="N846" s="487"/>
      <c r="O846" s="305"/>
      <c r="Q846" s="305"/>
      <c r="R846" s="305"/>
      <c r="S846" s="471"/>
      <c r="T846" s="471"/>
      <c r="U846" s="471"/>
      <c r="V846" s="471"/>
      <c r="W846" s="471"/>
      <c r="X846" s="471"/>
      <c r="Y846" s="471"/>
      <c r="Z846" s="305"/>
      <c r="AA846" s="305"/>
      <c r="AB846" s="305"/>
      <c r="AC846" s="305"/>
      <c r="AD846" s="305"/>
      <c r="AE846" s="131"/>
    </row>
    <row r="847" spans="8:31" ht="14.25">
      <c r="H847" s="129"/>
      <c r="I847" s="129"/>
      <c r="J847" s="129"/>
      <c r="K847" s="304"/>
      <c r="N847" s="487"/>
      <c r="O847" s="305"/>
      <c r="Q847" s="305"/>
      <c r="R847" s="305"/>
      <c r="S847" s="471"/>
      <c r="T847" s="471"/>
      <c r="U847" s="471"/>
      <c r="V847" s="471"/>
      <c r="W847" s="471"/>
      <c r="X847" s="471"/>
      <c r="Y847" s="471"/>
      <c r="Z847" s="305"/>
      <c r="AA847" s="305"/>
      <c r="AB847" s="305"/>
      <c r="AC847" s="305"/>
      <c r="AD847" s="305"/>
      <c r="AE847" s="131"/>
    </row>
    <row r="848" spans="8:31" ht="14.25">
      <c r="H848" s="129"/>
      <c r="I848" s="129"/>
      <c r="J848" s="129"/>
      <c r="K848" s="304"/>
      <c r="N848" s="487"/>
      <c r="O848" s="305"/>
      <c r="Q848" s="305"/>
      <c r="R848" s="305"/>
      <c r="S848" s="471"/>
      <c r="T848" s="471"/>
      <c r="U848" s="471"/>
      <c r="V848" s="471"/>
      <c r="W848" s="471"/>
      <c r="X848" s="471"/>
      <c r="Y848" s="471"/>
      <c r="Z848" s="305"/>
      <c r="AA848" s="305"/>
      <c r="AB848" s="305"/>
      <c r="AC848" s="305"/>
      <c r="AD848" s="305"/>
      <c r="AE848" s="131"/>
    </row>
    <row r="849" spans="8:31" ht="14.25">
      <c r="H849" s="129"/>
      <c r="I849" s="129"/>
      <c r="J849" s="129"/>
      <c r="K849" s="304"/>
      <c r="N849" s="487"/>
      <c r="O849" s="305"/>
      <c r="Q849" s="305"/>
      <c r="R849" s="305"/>
      <c r="S849" s="471"/>
      <c r="T849" s="471"/>
      <c r="U849" s="471"/>
      <c r="V849" s="471"/>
      <c r="W849" s="471"/>
      <c r="X849" s="471"/>
      <c r="Y849" s="471"/>
      <c r="Z849" s="305"/>
      <c r="AA849" s="305"/>
      <c r="AB849" s="305"/>
      <c r="AC849" s="305"/>
      <c r="AD849" s="305"/>
      <c r="AE849" s="131"/>
    </row>
    <row r="850" spans="8:31" ht="14.25">
      <c r="H850" s="129"/>
      <c r="I850" s="129"/>
      <c r="J850" s="129"/>
      <c r="K850" s="304"/>
      <c r="N850" s="487"/>
      <c r="O850" s="305"/>
      <c r="Q850" s="305"/>
      <c r="R850" s="305"/>
      <c r="S850" s="471"/>
      <c r="T850" s="471"/>
      <c r="U850" s="471"/>
      <c r="V850" s="471"/>
      <c r="W850" s="471"/>
      <c r="X850" s="471"/>
      <c r="Y850" s="471"/>
      <c r="Z850" s="305"/>
      <c r="AA850" s="305"/>
      <c r="AB850" s="305"/>
      <c r="AC850" s="305"/>
      <c r="AD850" s="305"/>
      <c r="AE850" s="131"/>
    </row>
    <row r="851" spans="8:31" ht="14.25">
      <c r="H851" s="129"/>
      <c r="I851" s="129"/>
      <c r="J851" s="129"/>
      <c r="K851" s="304"/>
      <c r="N851" s="487"/>
      <c r="O851" s="305"/>
      <c r="Q851" s="305"/>
      <c r="R851" s="305"/>
      <c r="S851" s="471"/>
      <c r="T851" s="471"/>
      <c r="U851" s="471"/>
      <c r="V851" s="471"/>
      <c r="W851" s="471"/>
      <c r="X851" s="471"/>
      <c r="Y851" s="471"/>
      <c r="Z851" s="305"/>
      <c r="AA851" s="305"/>
      <c r="AB851" s="305"/>
      <c r="AC851" s="305"/>
      <c r="AD851" s="305"/>
      <c r="AE851" s="131"/>
    </row>
    <row r="852" spans="8:31" ht="14.25">
      <c r="H852" s="129"/>
      <c r="I852" s="129"/>
      <c r="J852" s="129"/>
      <c r="K852" s="304"/>
      <c r="N852" s="487"/>
      <c r="O852" s="305"/>
      <c r="Q852" s="305"/>
      <c r="R852" s="305"/>
      <c r="S852" s="471"/>
      <c r="T852" s="471"/>
      <c r="U852" s="471"/>
      <c r="V852" s="471"/>
      <c r="W852" s="471"/>
      <c r="X852" s="471"/>
      <c r="Y852" s="471"/>
      <c r="Z852" s="305"/>
      <c r="AA852" s="305"/>
      <c r="AB852" s="305"/>
      <c r="AC852" s="305"/>
      <c r="AD852" s="305"/>
      <c r="AE852" s="131"/>
    </row>
    <row r="853" spans="8:31" ht="14.25">
      <c r="H853" s="129"/>
      <c r="I853" s="129"/>
      <c r="J853" s="129"/>
      <c r="K853" s="304"/>
      <c r="N853" s="487"/>
      <c r="O853" s="305"/>
      <c r="Q853" s="305"/>
      <c r="R853" s="305"/>
      <c r="S853" s="471"/>
      <c r="T853" s="471"/>
      <c r="U853" s="471"/>
      <c r="V853" s="471"/>
      <c r="W853" s="471"/>
      <c r="X853" s="471"/>
      <c r="Y853" s="471"/>
      <c r="Z853" s="305"/>
      <c r="AA853" s="305"/>
      <c r="AB853" s="305"/>
      <c r="AC853" s="305"/>
      <c r="AD853" s="305"/>
      <c r="AE853" s="131"/>
    </row>
    <row r="854" spans="8:31" ht="14.25">
      <c r="H854" s="129"/>
      <c r="I854" s="129"/>
      <c r="J854" s="129"/>
      <c r="K854" s="304"/>
      <c r="N854" s="487"/>
      <c r="O854" s="305"/>
      <c r="Q854" s="305"/>
      <c r="R854" s="305"/>
      <c r="S854" s="471"/>
      <c r="T854" s="471"/>
      <c r="U854" s="471"/>
      <c r="V854" s="471"/>
      <c r="W854" s="471"/>
      <c r="X854" s="471"/>
      <c r="Y854" s="471"/>
      <c r="Z854" s="305"/>
      <c r="AA854" s="305"/>
      <c r="AB854" s="305"/>
      <c r="AC854" s="305"/>
      <c r="AD854" s="305"/>
      <c r="AE854" s="131"/>
    </row>
    <row r="855" spans="8:31" ht="14.25">
      <c r="H855" s="129"/>
      <c r="I855" s="129"/>
      <c r="J855" s="129"/>
      <c r="K855" s="304"/>
      <c r="N855" s="487"/>
      <c r="O855" s="305"/>
      <c r="Q855" s="305"/>
      <c r="R855" s="305"/>
      <c r="S855" s="471"/>
      <c r="T855" s="471"/>
      <c r="U855" s="471"/>
      <c r="V855" s="471"/>
      <c r="W855" s="471"/>
      <c r="X855" s="471"/>
      <c r="Y855" s="471"/>
      <c r="Z855" s="305"/>
      <c r="AA855" s="305"/>
      <c r="AB855" s="305"/>
      <c r="AC855" s="305"/>
      <c r="AD855" s="305"/>
      <c r="AE855" s="131"/>
    </row>
    <row r="856" spans="8:31" ht="14.25">
      <c r="H856" s="129"/>
      <c r="I856" s="129"/>
      <c r="J856" s="129"/>
      <c r="K856" s="304"/>
      <c r="N856" s="487"/>
      <c r="O856" s="305"/>
      <c r="Q856" s="305"/>
      <c r="R856" s="305"/>
      <c r="S856" s="471"/>
      <c r="T856" s="471"/>
      <c r="U856" s="471"/>
      <c r="V856" s="471"/>
      <c r="W856" s="471"/>
      <c r="X856" s="471"/>
      <c r="Y856" s="471"/>
      <c r="Z856" s="305"/>
      <c r="AA856" s="305"/>
      <c r="AB856" s="305"/>
      <c r="AC856" s="305"/>
      <c r="AD856" s="305"/>
      <c r="AE856" s="131"/>
    </row>
    <row r="857" spans="8:31" ht="14.25">
      <c r="H857" s="129"/>
      <c r="I857" s="129"/>
      <c r="J857" s="129"/>
      <c r="K857" s="304"/>
      <c r="N857" s="487"/>
      <c r="O857" s="305"/>
      <c r="Q857" s="305"/>
      <c r="R857" s="305"/>
      <c r="S857" s="471"/>
      <c r="T857" s="471"/>
      <c r="U857" s="471"/>
      <c r="V857" s="471"/>
      <c r="W857" s="471"/>
      <c r="X857" s="471"/>
      <c r="Y857" s="471"/>
      <c r="Z857" s="305"/>
      <c r="AA857" s="305"/>
      <c r="AB857" s="305"/>
      <c r="AC857" s="305"/>
      <c r="AD857" s="305"/>
      <c r="AE857" s="131"/>
    </row>
    <row r="858" spans="8:31" ht="14.25">
      <c r="H858" s="129"/>
      <c r="I858" s="129"/>
      <c r="J858" s="129"/>
      <c r="K858" s="304"/>
      <c r="N858" s="487"/>
      <c r="O858" s="305"/>
      <c r="Q858" s="305"/>
      <c r="R858" s="305"/>
      <c r="S858" s="471"/>
      <c r="T858" s="471"/>
      <c r="U858" s="471"/>
      <c r="V858" s="471"/>
      <c r="W858" s="471"/>
      <c r="X858" s="471"/>
      <c r="Y858" s="471"/>
      <c r="Z858" s="305"/>
      <c r="AA858" s="305"/>
      <c r="AB858" s="305"/>
      <c r="AC858" s="305"/>
      <c r="AD858" s="305"/>
      <c r="AE858" s="131"/>
    </row>
    <row r="859" spans="8:31" ht="14.25">
      <c r="H859" s="129"/>
      <c r="I859" s="129"/>
      <c r="J859" s="129"/>
      <c r="K859" s="304"/>
      <c r="N859" s="487"/>
      <c r="O859" s="305"/>
      <c r="Q859" s="305"/>
      <c r="R859" s="305"/>
      <c r="S859" s="471"/>
      <c r="T859" s="471"/>
      <c r="U859" s="471"/>
      <c r="V859" s="471"/>
      <c r="W859" s="471"/>
      <c r="X859" s="471"/>
      <c r="Y859" s="471"/>
      <c r="Z859" s="305"/>
      <c r="AA859" s="305"/>
      <c r="AB859" s="305"/>
      <c r="AC859" s="305"/>
      <c r="AD859" s="305"/>
      <c r="AE859" s="131"/>
    </row>
    <row r="860" spans="8:31" ht="14.25">
      <c r="H860" s="129"/>
      <c r="I860" s="129"/>
      <c r="J860" s="129"/>
      <c r="K860" s="304"/>
      <c r="N860" s="487"/>
      <c r="O860" s="305"/>
      <c r="Q860" s="305"/>
      <c r="R860" s="305"/>
      <c r="S860" s="471"/>
      <c r="T860" s="471"/>
      <c r="U860" s="471"/>
      <c r="V860" s="471"/>
      <c r="W860" s="471"/>
      <c r="X860" s="471"/>
      <c r="Y860" s="471"/>
      <c r="Z860" s="305"/>
      <c r="AA860" s="305"/>
      <c r="AB860" s="305"/>
      <c r="AC860" s="305"/>
      <c r="AD860" s="305"/>
      <c r="AE860" s="131"/>
    </row>
    <row r="861" spans="8:31" ht="14.25">
      <c r="H861" s="129"/>
      <c r="I861" s="129"/>
      <c r="J861" s="129"/>
      <c r="K861" s="304"/>
      <c r="N861" s="487"/>
      <c r="O861" s="305"/>
      <c r="Q861" s="305"/>
      <c r="R861" s="305"/>
      <c r="S861" s="471"/>
      <c r="T861" s="471"/>
      <c r="U861" s="471"/>
      <c r="V861" s="471"/>
      <c r="W861" s="471"/>
      <c r="X861" s="471"/>
      <c r="Y861" s="471"/>
      <c r="Z861" s="305"/>
      <c r="AA861" s="305"/>
      <c r="AB861" s="305"/>
      <c r="AC861" s="305"/>
      <c r="AD861" s="305"/>
      <c r="AE861" s="131"/>
    </row>
    <row r="862" spans="8:31" ht="14.25">
      <c r="H862" s="129"/>
      <c r="I862" s="129"/>
      <c r="J862" s="129"/>
      <c r="K862" s="304"/>
      <c r="N862" s="487"/>
      <c r="O862" s="305"/>
      <c r="Q862" s="305"/>
      <c r="R862" s="305"/>
      <c r="S862" s="471"/>
      <c r="T862" s="471"/>
      <c r="U862" s="471"/>
      <c r="V862" s="471"/>
      <c r="W862" s="471"/>
      <c r="X862" s="471"/>
      <c r="Y862" s="471"/>
      <c r="Z862" s="305"/>
      <c r="AA862" s="305"/>
      <c r="AB862" s="305"/>
      <c r="AC862" s="305"/>
      <c r="AD862" s="305"/>
      <c r="AE862" s="131"/>
    </row>
    <row r="863" spans="8:31" ht="14.25">
      <c r="H863" s="129"/>
      <c r="I863" s="129"/>
      <c r="J863" s="129"/>
      <c r="K863" s="304"/>
      <c r="N863" s="487"/>
      <c r="O863" s="305"/>
      <c r="Q863" s="305"/>
      <c r="R863" s="305"/>
      <c r="S863" s="471"/>
      <c r="T863" s="471"/>
      <c r="U863" s="471"/>
      <c r="V863" s="471"/>
      <c r="W863" s="471"/>
      <c r="X863" s="471"/>
      <c r="Y863" s="471"/>
      <c r="Z863" s="305"/>
      <c r="AA863" s="305"/>
      <c r="AB863" s="305"/>
      <c r="AC863" s="305"/>
      <c r="AD863" s="305"/>
      <c r="AE863" s="131"/>
    </row>
    <row r="864" spans="8:31" ht="14.25">
      <c r="H864" s="129"/>
      <c r="I864" s="129"/>
      <c r="J864" s="129"/>
      <c r="K864" s="304"/>
      <c r="N864" s="487"/>
      <c r="O864" s="305"/>
      <c r="Q864" s="305"/>
      <c r="R864" s="305"/>
      <c r="S864" s="471"/>
      <c r="T864" s="471"/>
      <c r="U864" s="471"/>
      <c r="V864" s="471"/>
      <c r="W864" s="471"/>
      <c r="X864" s="471"/>
      <c r="Y864" s="471"/>
      <c r="Z864" s="305"/>
      <c r="AA864" s="305"/>
      <c r="AB864" s="305"/>
      <c r="AC864" s="305"/>
      <c r="AD864" s="305"/>
      <c r="AE864" s="131"/>
    </row>
    <row r="865" spans="8:31" ht="14.25">
      <c r="H865" s="129"/>
      <c r="I865" s="129"/>
      <c r="J865" s="129"/>
      <c r="K865" s="304"/>
      <c r="N865" s="487"/>
      <c r="O865" s="305"/>
      <c r="Q865" s="305"/>
      <c r="R865" s="305"/>
      <c r="S865" s="471"/>
      <c r="T865" s="471"/>
      <c r="U865" s="471"/>
      <c r="V865" s="471"/>
      <c r="W865" s="471"/>
      <c r="X865" s="471"/>
      <c r="Y865" s="471"/>
      <c r="Z865" s="305"/>
      <c r="AA865" s="305"/>
      <c r="AB865" s="305"/>
      <c r="AC865" s="305"/>
      <c r="AD865" s="305"/>
      <c r="AE865" s="131"/>
    </row>
    <row r="866" spans="8:31" ht="14.25">
      <c r="H866" s="129"/>
      <c r="I866" s="129"/>
      <c r="J866" s="129"/>
      <c r="K866" s="304"/>
      <c r="N866" s="487"/>
      <c r="O866" s="305"/>
      <c r="Q866" s="305"/>
      <c r="R866" s="305"/>
      <c r="S866" s="471"/>
      <c r="T866" s="471"/>
      <c r="U866" s="471"/>
      <c r="V866" s="471"/>
      <c r="W866" s="471"/>
      <c r="X866" s="471"/>
      <c r="Y866" s="471"/>
      <c r="Z866" s="305"/>
      <c r="AA866" s="305"/>
      <c r="AB866" s="305"/>
      <c r="AC866" s="305"/>
      <c r="AD866" s="305"/>
      <c r="AE866" s="131"/>
    </row>
    <row r="867" spans="8:31" ht="14.25">
      <c r="H867" s="129"/>
      <c r="I867" s="129"/>
      <c r="J867" s="129"/>
      <c r="K867" s="304"/>
      <c r="N867" s="487"/>
      <c r="O867" s="305"/>
      <c r="Q867" s="305"/>
      <c r="R867" s="305"/>
      <c r="S867" s="471"/>
      <c r="T867" s="471"/>
      <c r="U867" s="471"/>
      <c r="V867" s="471"/>
      <c r="W867" s="471"/>
      <c r="X867" s="471"/>
      <c r="Y867" s="471"/>
      <c r="Z867" s="305"/>
      <c r="AA867" s="305"/>
      <c r="AB867" s="305"/>
      <c r="AC867" s="305"/>
      <c r="AD867" s="305"/>
      <c r="AE867" s="131"/>
    </row>
    <row r="868" spans="8:31" ht="14.25">
      <c r="H868" s="129"/>
      <c r="I868" s="129"/>
      <c r="J868" s="129"/>
      <c r="K868" s="304"/>
      <c r="N868" s="487"/>
      <c r="O868" s="305"/>
      <c r="Q868" s="305"/>
      <c r="R868" s="305"/>
      <c r="S868" s="471"/>
      <c r="T868" s="471"/>
      <c r="U868" s="471"/>
      <c r="V868" s="471"/>
      <c r="W868" s="471"/>
      <c r="X868" s="471"/>
      <c r="Y868" s="471"/>
      <c r="Z868" s="305"/>
      <c r="AA868" s="305"/>
      <c r="AB868" s="305"/>
      <c r="AC868" s="305"/>
      <c r="AD868" s="305"/>
      <c r="AE868" s="131"/>
    </row>
    <row r="869" spans="8:31" ht="14.25">
      <c r="H869" s="129"/>
      <c r="I869" s="129"/>
      <c r="J869" s="129"/>
      <c r="K869" s="304"/>
      <c r="N869" s="487"/>
      <c r="O869" s="305"/>
      <c r="Q869" s="305"/>
      <c r="R869" s="305"/>
      <c r="S869" s="471"/>
      <c r="T869" s="471"/>
      <c r="U869" s="471"/>
      <c r="V869" s="471"/>
      <c r="W869" s="471"/>
      <c r="X869" s="471"/>
      <c r="Y869" s="471"/>
      <c r="Z869" s="305"/>
      <c r="AA869" s="305"/>
      <c r="AB869" s="305"/>
      <c r="AC869" s="305"/>
      <c r="AD869" s="305"/>
      <c r="AE869" s="131"/>
    </row>
    <row r="870" spans="8:31" ht="14.25">
      <c r="H870" s="129"/>
      <c r="I870" s="129"/>
      <c r="J870" s="129"/>
      <c r="K870" s="304"/>
      <c r="N870" s="487"/>
      <c r="O870" s="305"/>
      <c r="Q870" s="305"/>
      <c r="R870" s="305"/>
      <c r="S870" s="471"/>
      <c r="T870" s="471"/>
      <c r="U870" s="471"/>
      <c r="V870" s="471"/>
      <c r="W870" s="471"/>
      <c r="X870" s="471"/>
      <c r="Y870" s="471"/>
      <c r="Z870" s="305"/>
      <c r="AA870" s="305"/>
      <c r="AB870" s="305"/>
      <c r="AC870" s="305"/>
      <c r="AD870" s="305"/>
      <c r="AE870" s="131"/>
    </row>
    <row r="871" spans="8:31" ht="14.25">
      <c r="H871" s="129"/>
      <c r="I871" s="129"/>
      <c r="J871" s="129"/>
      <c r="K871" s="304"/>
      <c r="N871" s="487"/>
      <c r="O871" s="305"/>
      <c r="Q871" s="305"/>
      <c r="R871" s="305"/>
      <c r="S871" s="471"/>
      <c r="T871" s="471"/>
      <c r="U871" s="471"/>
      <c r="V871" s="471"/>
      <c r="W871" s="471"/>
      <c r="X871" s="471"/>
      <c r="Y871" s="471"/>
      <c r="Z871" s="305"/>
      <c r="AA871" s="305"/>
      <c r="AB871" s="305"/>
      <c r="AC871" s="305"/>
      <c r="AD871" s="305"/>
      <c r="AE871" s="131"/>
    </row>
    <row r="872" spans="8:31" ht="14.25">
      <c r="H872" s="129"/>
      <c r="I872" s="129"/>
      <c r="J872" s="129"/>
      <c r="K872" s="304"/>
      <c r="N872" s="487"/>
      <c r="O872" s="305"/>
      <c r="Q872" s="305"/>
      <c r="R872" s="305"/>
      <c r="S872" s="471"/>
      <c r="T872" s="471"/>
      <c r="U872" s="471"/>
      <c r="V872" s="471"/>
      <c r="W872" s="471"/>
      <c r="X872" s="471"/>
      <c r="Y872" s="471"/>
      <c r="Z872" s="305"/>
      <c r="AA872" s="305"/>
      <c r="AB872" s="305"/>
      <c r="AC872" s="305"/>
      <c r="AD872" s="305"/>
      <c r="AE872" s="131"/>
    </row>
    <row r="873" spans="8:31" ht="14.25">
      <c r="H873" s="129"/>
      <c r="I873" s="129"/>
      <c r="J873" s="129"/>
      <c r="K873" s="304"/>
      <c r="N873" s="487"/>
      <c r="O873" s="305"/>
      <c r="Q873" s="305"/>
      <c r="R873" s="305"/>
      <c r="S873" s="471"/>
      <c r="T873" s="471"/>
      <c r="U873" s="471"/>
      <c r="V873" s="471"/>
      <c r="W873" s="471"/>
      <c r="X873" s="471"/>
      <c r="Y873" s="471"/>
      <c r="Z873" s="305"/>
      <c r="AA873" s="305"/>
      <c r="AB873" s="305"/>
      <c r="AC873" s="305"/>
      <c r="AD873" s="305"/>
      <c r="AE873" s="131"/>
    </row>
    <row r="874" spans="8:31" ht="14.25">
      <c r="H874" s="129"/>
      <c r="I874" s="129"/>
      <c r="J874" s="129"/>
      <c r="K874" s="304"/>
      <c r="N874" s="487"/>
      <c r="O874" s="305"/>
      <c r="Q874" s="305"/>
      <c r="R874" s="305"/>
      <c r="S874" s="471"/>
      <c r="T874" s="471"/>
      <c r="U874" s="471"/>
      <c r="V874" s="471"/>
      <c r="W874" s="471"/>
      <c r="X874" s="471"/>
      <c r="Y874" s="471"/>
      <c r="Z874" s="305"/>
      <c r="AA874" s="305"/>
      <c r="AB874" s="305"/>
      <c r="AC874" s="305"/>
      <c r="AD874" s="305"/>
      <c r="AE874" s="131"/>
    </row>
    <row r="875" spans="8:31" ht="14.25">
      <c r="H875" s="129"/>
      <c r="I875" s="129"/>
      <c r="J875" s="129"/>
      <c r="K875" s="304"/>
      <c r="N875" s="487"/>
      <c r="O875" s="305"/>
      <c r="Q875" s="305"/>
      <c r="R875" s="305"/>
      <c r="S875" s="471"/>
      <c r="T875" s="471"/>
      <c r="U875" s="471"/>
      <c r="V875" s="471"/>
      <c r="W875" s="471"/>
      <c r="X875" s="471"/>
      <c r="Y875" s="471"/>
      <c r="Z875" s="305"/>
      <c r="AA875" s="305"/>
      <c r="AB875" s="305"/>
      <c r="AC875" s="305"/>
      <c r="AD875" s="305"/>
      <c r="AE875" s="131"/>
    </row>
    <row r="876" spans="8:31" ht="14.25">
      <c r="H876" s="129"/>
      <c r="I876" s="129"/>
      <c r="J876" s="129"/>
      <c r="K876" s="304"/>
      <c r="N876" s="487"/>
      <c r="O876" s="305"/>
      <c r="Q876" s="305"/>
      <c r="R876" s="305"/>
      <c r="S876" s="471"/>
      <c r="T876" s="471"/>
      <c r="U876" s="471"/>
      <c r="V876" s="471"/>
      <c r="W876" s="471"/>
      <c r="X876" s="471"/>
      <c r="Y876" s="471"/>
      <c r="Z876" s="305"/>
      <c r="AA876" s="305"/>
      <c r="AB876" s="305"/>
      <c r="AC876" s="305"/>
      <c r="AD876" s="305"/>
      <c r="AE876" s="131"/>
    </row>
    <row r="877" spans="8:31" ht="14.25">
      <c r="H877" s="129"/>
      <c r="I877" s="129"/>
      <c r="J877" s="129"/>
      <c r="K877" s="304"/>
      <c r="N877" s="487"/>
      <c r="O877" s="305"/>
      <c r="Q877" s="305"/>
      <c r="R877" s="305"/>
      <c r="S877" s="471"/>
      <c r="T877" s="471"/>
      <c r="U877" s="471"/>
      <c r="V877" s="471"/>
      <c r="W877" s="471"/>
      <c r="X877" s="471"/>
      <c r="Y877" s="471"/>
      <c r="Z877" s="305"/>
      <c r="AA877" s="305"/>
      <c r="AB877" s="305"/>
      <c r="AC877" s="305"/>
      <c r="AD877" s="305"/>
      <c r="AE877" s="131"/>
    </row>
    <row r="878" spans="8:31" ht="14.25">
      <c r="H878" s="129"/>
      <c r="I878" s="129"/>
      <c r="J878" s="129"/>
      <c r="K878" s="304"/>
      <c r="N878" s="487"/>
      <c r="O878" s="305"/>
      <c r="Q878" s="305"/>
      <c r="R878" s="305"/>
      <c r="S878" s="471"/>
      <c r="T878" s="471"/>
      <c r="U878" s="471"/>
      <c r="V878" s="471"/>
      <c r="W878" s="471"/>
      <c r="X878" s="471"/>
      <c r="Y878" s="471"/>
      <c r="Z878" s="305"/>
      <c r="AA878" s="305"/>
      <c r="AB878" s="305"/>
      <c r="AC878" s="305"/>
      <c r="AD878" s="305"/>
      <c r="AE878" s="131"/>
    </row>
    <row r="879" spans="8:31" ht="14.25">
      <c r="H879" s="129"/>
      <c r="I879" s="129"/>
      <c r="J879" s="129"/>
      <c r="K879" s="304"/>
      <c r="N879" s="487"/>
      <c r="O879" s="305"/>
      <c r="Q879" s="305"/>
      <c r="R879" s="305"/>
      <c r="S879" s="471"/>
      <c r="T879" s="471"/>
      <c r="U879" s="471"/>
      <c r="V879" s="471"/>
      <c r="W879" s="471"/>
      <c r="X879" s="471"/>
      <c r="Y879" s="471"/>
      <c r="Z879" s="305"/>
      <c r="AA879" s="305"/>
      <c r="AB879" s="305"/>
      <c r="AC879" s="305"/>
      <c r="AD879" s="305"/>
      <c r="AE879" s="131"/>
    </row>
    <row r="880" spans="8:31" ht="14.25">
      <c r="H880" s="129"/>
      <c r="I880" s="129"/>
      <c r="J880" s="129"/>
      <c r="K880" s="304"/>
      <c r="N880" s="487"/>
      <c r="O880" s="305"/>
      <c r="Q880" s="305"/>
      <c r="R880" s="305"/>
      <c r="S880" s="471"/>
      <c r="T880" s="471"/>
      <c r="U880" s="471"/>
      <c r="V880" s="471"/>
      <c r="W880" s="471"/>
      <c r="X880" s="471"/>
      <c r="Y880" s="471"/>
      <c r="Z880" s="305"/>
      <c r="AA880" s="305"/>
      <c r="AB880" s="305"/>
      <c r="AC880" s="305"/>
      <c r="AD880" s="305"/>
      <c r="AE880" s="131"/>
    </row>
    <row r="881" spans="8:31" ht="14.25">
      <c r="H881" s="129"/>
      <c r="I881" s="129"/>
      <c r="J881" s="129"/>
      <c r="K881" s="304"/>
      <c r="N881" s="487"/>
      <c r="O881" s="305"/>
      <c r="Q881" s="305"/>
      <c r="R881" s="305"/>
      <c r="S881" s="471"/>
      <c r="T881" s="471"/>
      <c r="U881" s="471"/>
      <c r="V881" s="471"/>
      <c r="W881" s="471"/>
      <c r="X881" s="471"/>
      <c r="Y881" s="471"/>
      <c r="Z881" s="305"/>
      <c r="AA881" s="305"/>
      <c r="AB881" s="305"/>
      <c r="AC881" s="305"/>
      <c r="AD881" s="305"/>
      <c r="AE881" s="131"/>
    </row>
    <row r="882" spans="8:31" ht="14.25">
      <c r="H882" s="129"/>
      <c r="I882" s="129"/>
      <c r="J882" s="129"/>
      <c r="K882" s="304"/>
      <c r="N882" s="487"/>
      <c r="O882" s="305"/>
      <c r="Q882" s="305"/>
      <c r="R882" s="305"/>
      <c r="S882" s="471"/>
      <c r="T882" s="471"/>
      <c r="U882" s="471"/>
      <c r="V882" s="471"/>
      <c r="W882" s="471"/>
      <c r="X882" s="471"/>
      <c r="Y882" s="471"/>
      <c r="Z882" s="305"/>
      <c r="AA882" s="305"/>
      <c r="AB882" s="305"/>
      <c r="AC882" s="305"/>
      <c r="AD882" s="305"/>
      <c r="AE882" s="131"/>
    </row>
    <row r="883" spans="8:31" ht="14.25">
      <c r="H883" s="129"/>
      <c r="I883" s="129"/>
      <c r="J883" s="129"/>
      <c r="K883" s="304"/>
      <c r="N883" s="487"/>
      <c r="O883" s="305"/>
      <c r="Q883" s="305"/>
      <c r="R883" s="305"/>
      <c r="S883" s="471"/>
      <c r="T883" s="471"/>
      <c r="U883" s="471"/>
      <c r="V883" s="471"/>
      <c r="W883" s="471"/>
      <c r="X883" s="471"/>
      <c r="Y883" s="471"/>
      <c r="Z883" s="305"/>
      <c r="AA883" s="305"/>
      <c r="AB883" s="305"/>
      <c r="AC883" s="305"/>
      <c r="AD883" s="305"/>
      <c r="AE883" s="131"/>
    </row>
    <row r="884" spans="8:31" ht="14.25">
      <c r="H884" s="129"/>
      <c r="I884" s="129"/>
      <c r="J884" s="129"/>
      <c r="K884" s="304"/>
      <c r="N884" s="487"/>
      <c r="O884" s="305"/>
      <c r="Q884" s="305"/>
      <c r="R884" s="305"/>
      <c r="S884" s="471"/>
      <c r="T884" s="471"/>
      <c r="U884" s="471"/>
      <c r="V884" s="471"/>
      <c r="W884" s="471"/>
      <c r="X884" s="471"/>
      <c r="Y884" s="471"/>
      <c r="Z884" s="305"/>
      <c r="AA884" s="305"/>
      <c r="AB884" s="305"/>
      <c r="AC884" s="305"/>
      <c r="AD884" s="305"/>
      <c r="AE884" s="131"/>
    </row>
    <row r="885" spans="8:31" ht="14.25">
      <c r="H885" s="129"/>
      <c r="I885" s="129"/>
      <c r="J885" s="129"/>
      <c r="K885" s="304"/>
      <c r="N885" s="487"/>
      <c r="O885" s="305"/>
      <c r="Q885" s="305"/>
      <c r="R885" s="305"/>
      <c r="S885" s="471"/>
      <c r="T885" s="471"/>
      <c r="U885" s="471"/>
      <c r="V885" s="471"/>
      <c r="W885" s="471"/>
      <c r="X885" s="471"/>
      <c r="Y885" s="471"/>
      <c r="Z885" s="305"/>
      <c r="AA885" s="305"/>
      <c r="AB885" s="305"/>
      <c r="AC885" s="305"/>
      <c r="AD885" s="305"/>
      <c r="AE885" s="131"/>
    </row>
    <row r="886" spans="8:31" ht="14.25">
      <c r="H886" s="129"/>
      <c r="I886" s="129"/>
      <c r="J886" s="129"/>
      <c r="K886" s="304"/>
      <c r="N886" s="487"/>
      <c r="O886" s="305"/>
      <c r="Q886" s="305"/>
      <c r="R886" s="305"/>
      <c r="S886" s="471"/>
      <c r="T886" s="471"/>
      <c r="U886" s="471"/>
      <c r="V886" s="471"/>
      <c r="W886" s="471"/>
      <c r="X886" s="471"/>
      <c r="Y886" s="471"/>
      <c r="Z886" s="305"/>
      <c r="AA886" s="305"/>
      <c r="AB886" s="305"/>
      <c r="AC886" s="305"/>
      <c r="AD886" s="305"/>
      <c r="AE886" s="131"/>
    </row>
    <row r="887" spans="8:31" ht="14.25">
      <c r="H887" s="129"/>
      <c r="I887" s="129"/>
      <c r="J887" s="129"/>
      <c r="K887" s="304"/>
      <c r="N887" s="487"/>
      <c r="O887" s="305"/>
      <c r="Q887" s="305"/>
      <c r="R887" s="305"/>
      <c r="S887" s="471"/>
      <c r="T887" s="471"/>
      <c r="U887" s="471"/>
      <c r="V887" s="471"/>
      <c r="W887" s="471"/>
      <c r="X887" s="471"/>
      <c r="Y887" s="471"/>
      <c r="Z887" s="305"/>
      <c r="AA887" s="305"/>
      <c r="AB887" s="305"/>
      <c r="AC887" s="305"/>
      <c r="AD887" s="305"/>
      <c r="AE887" s="131"/>
    </row>
    <row r="888" spans="8:31" ht="14.25">
      <c r="H888" s="129"/>
      <c r="I888" s="129"/>
      <c r="J888" s="129"/>
      <c r="K888" s="304"/>
      <c r="N888" s="487"/>
      <c r="O888" s="305"/>
      <c r="Q888" s="305"/>
      <c r="R888" s="305"/>
      <c r="S888" s="471"/>
      <c r="T888" s="471"/>
      <c r="U888" s="471"/>
      <c r="V888" s="471"/>
      <c r="W888" s="471"/>
      <c r="X888" s="471"/>
      <c r="Y888" s="471"/>
      <c r="Z888" s="305"/>
      <c r="AA888" s="305"/>
      <c r="AB888" s="305"/>
      <c r="AC888" s="305"/>
      <c r="AD888" s="305"/>
      <c r="AE888" s="131"/>
    </row>
    <row r="889" spans="8:31" ht="14.25">
      <c r="H889" s="129"/>
      <c r="I889" s="129"/>
      <c r="J889" s="129"/>
      <c r="K889" s="304"/>
      <c r="N889" s="487"/>
      <c r="O889" s="305"/>
      <c r="Q889" s="305"/>
      <c r="R889" s="305"/>
      <c r="S889" s="471"/>
      <c r="T889" s="471"/>
      <c r="U889" s="471"/>
      <c r="V889" s="471"/>
      <c r="W889" s="471"/>
      <c r="X889" s="471"/>
      <c r="Y889" s="471"/>
      <c r="Z889" s="305"/>
      <c r="AA889" s="305"/>
      <c r="AB889" s="305"/>
      <c r="AC889" s="305"/>
      <c r="AD889" s="305"/>
      <c r="AE889" s="131"/>
    </row>
    <row r="890" spans="8:31" ht="14.25">
      <c r="H890" s="129"/>
      <c r="I890" s="129"/>
      <c r="J890" s="129"/>
      <c r="K890" s="304"/>
      <c r="N890" s="487"/>
      <c r="O890" s="305"/>
      <c r="Q890" s="305"/>
      <c r="R890" s="305"/>
      <c r="S890" s="471"/>
      <c r="T890" s="471"/>
      <c r="U890" s="471"/>
      <c r="V890" s="471"/>
      <c r="W890" s="471"/>
      <c r="X890" s="471"/>
      <c r="Y890" s="471"/>
      <c r="Z890" s="305"/>
      <c r="AA890" s="305"/>
      <c r="AB890" s="305"/>
      <c r="AC890" s="305"/>
      <c r="AD890" s="305"/>
      <c r="AE890" s="131"/>
    </row>
    <row r="891" spans="8:31" ht="14.25">
      <c r="H891" s="129"/>
      <c r="I891" s="129"/>
      <c r="J891" s="129"/>
      <c r="K891" s="304"/>
      <c r="N891" s="487"/>
      <c r="O891" s="305"/>
      <c r="Q891" s="305"/>
      <c r="R891" s="305"/>
      <c r="S891" s="471"/>
      <c r="T891" s="471"/>
      <c r="U891" s="471"/>
      <c r="V891" s="471"/>
      <c r="W891" s="471"/>
      <c r="X891" s="471"/>
      <c r="Y891" s="471"/>
      <c r="Z891" s="305"/>
      <c r="AA891" s="305"/>
      <c r="AB891" s="305"/>
      <c r="AC891" s="305"/>
      <c r="AD891" s="305"/>
      <c r="AE891" s="131"/>
    </row>
    <row r="892" spans="8:31" ht="14.25">
      <c r="H892" s="129"/>
      <c r="I892" s="129"/>
      <c r="J892" s="129"/>
      <c r="K892" s="304"/>
      <c r="N892" s="487"/>
      <c r="O892" s="305"/>
      <c r="Q892" s="305"/>
      <c r="R892" s="305"/>
      <c r="S892" s="471"/>
      <c r="T892" s="471"/>
      <c r="U892" s="471"/>
      <c r="V892" s="471"/>
      <c r="W892" s="471"/>
      <c r="X892" s="471"/>
      <c r="Y892" s="471"/>
      <c r="Z892" s="305"/>
      <c r="AA892" s="305"/>
      <c r="AB892" s="305"/>
      <c r="AC892" s="305"/>
      <c r="AD892" s="305"/>
      <c r="AE892" s="131"/>
    </row>
    <row r="893" spans="8:31" ht="14.25">
      <c r="H893" s="129"/>
      <c r="I893" s="129"/>
      <c r="J893" s="129"/>
      <c r="K893" s="304"/>
      <c r="N893" s="487"/>
      <c r="O893" s="305"/>
      <c r="Q893" s="305"/>
      <c r="R893" s="305"/>
      <c r="S893" s="471"/>
      <c r="T893" s="471"/>
      <c r="U893" s="471"/>
      <c r="V893" s="471"/>
      <c r="W893" s="471"/>
      <c r="X893" s="471"/>
      <c r="Y893" s="471"/>
      <c r="Z893" s="305"/>
      <c r="AA893" s="305"/>
      <c r="AB893" s="305"/>
      <c r="AC893" s="305"/>
      <c r="AD893" s="305"/>
      <c r="AE893" s="131"/>
    </row>
    <row r="894" spans="8:31" ht="14.25">
      <c r="H894" s="129"/>
      <c r="I894" s="129"/>
      <c r="J894" s="129"/>
      <c r="K894" s="304"/>
      <c r="N894" s="487"/>
      <c r="O894" s="305"/>
      <c r="Q894" s="305"/>
      <c r="R894" s="305"/>
      <c r="S894" s="471"/>
      <c r="T894" s="471"/>
      <c r="U894" s="471"/>
      <c r="V894" s="471"/>
      <c r="W894" s="471"/>
      <c r="X894" s="471"/>
      <c r="Y894" s="471"/>
      <c r="Z894" s="305"/>
      <c r="AA894" s="305"/>
      <c r="AB894" s="305"/>
      <c r="AC894" s="305"/>
      <c r="AD894" s="305"/>
      <c r="AE894" s="131"/>
    </row>
    <row r="895" spans="8:31" ht="14.25">
      <c r="H895" s="129"/>
      <c r="I895" s="129"/>
      <c r="J895" s="129"/>
      <c r="K895" s="304"/>
      <c r="N895" s="487"/>
      <c r="O895" s="305"/>
      <c r="Q895" s="305"/>
      <c r="R895" s="305"/>
      <c r="S895" s="471"/>
      <c r="T895" s="471"/>
      <c r="U895" s="471"/>
      <c r="V895" s="471"/>
      <c r="W895" s="471"/>
      <c r="X895" s="471"/>
      <c r="Y895" s="471"/>
      <c r="Z895" s="305"/>
      <c r="AA895" s="305"/>
      <c r="AB895" s="305"/>
      <c r="AC895" s="305"/>
      <c r="AD895" s="305"/>
      <c r="AE895" s="131"/>
    </row>
    <row r="896" spans="8:31" ht="14.25">
      <c r="H896" s="129"/>
      <c r="I896" s="129"/>
      <c r="J896" s="129"/>
      <c r="K896" s="304"/>
      <c r="N896" s="487"/>
      <c r="O896" s="305"/>
      <c r="Q896" s="305"/>
      <c r="R896" s="305"/>
      <c r="S896" s="471"/>
      <c r="T896" s="471"/>
      <c r="U896" s="471"/>
      <c r="V896" s="471"/>
      <c r="W896" s="471"/>
      <c r="X896" s="471"/>
      <c r="Y896" s="471"/>
      <c r="Z896" s="305"/>
      <c r="AA896" s="305"/>
      <c r="AB896" s="305"/>
      <c r="AC896" s="305"/>
      <c r="AD896" s="305"/>
      <c r="AE896" s="131"/>
    </row>
    <row r="897" spans="8:31" ht="14.25">
      <c r="H897" s="129"/>
      <c r="I897" s="129"/>
      <c r="J897" s="129"/>
      <c r="K897" s="304"/>
      <c r="N897" s="487"/>
      <c r="O897" s="305"/>
      <c r="Q897" s="305"/>
      <c r="R897" s="305"/>
      <c r="S897" s="471"/>
      <c r="T897" s="471"/>
      <c r="U897" s="471"/>
      <c r="V897" s="471"/>
      <c r="W897" s="471"/>
      <c r="X897" s="471"/>
      <c r="Y897" s="471"/>
      <c r="Z897" s="305"/>
      <c r="AA897" s="305"/>
      <c r="AB897" s="305"/>
      <c r="AC897" s="305"/>
      <c r="AD897" s="305"/>
      <c r="AE897" s="131"/>
    </row>
    <row r="898" spans="8:31" ht="14.25">
      <c r="H898" s="129"/>
      <c r="I898" s="129"/>
      <c r="J898" s="129"/>
      <c r="K898" s="304"/>
      <c r="N898" s="487"/>
      <c r="O898" s="305"/>
      <c r="Q898" s="305"/>
      <c r="R898" s="305"/>
      <c r="S898" s="471"/>
      <c r="T898" s="471"/>
      <c r="U898" s="471"/>
      <c r="V898" s="471"/>
      <c r="W898" s="471"/>
      <c r="X898" s="471"/>
      <c r="Y898" s="471"/>
      <c r="Z898" s="305"/>
      <c r="AA898" s="305"/>
      <c r="AB898" s="305"/>
      <c r="AC898" s="305"/>
      <c r="AD898" s="305"/>
      <c r="AE898" s="131"/>
    </row>
    <row r="899" spans="8:31" ht="14.25">
      <c r="H899" s="129"/>
      <c r="I899" s="129"/>
      <c r="J899" s="129"/>
      <c r="K899" s="304"/>
      <c r="N899" s="487"/>
      <c r="O899" s="305"/>
      <c r="Q899" s="305"/>
      <c r="R899" s="305"/>
      <c r="S899" s="471"/>
      <c r="T899" s="471"/>
      <c r="U899" s="471"/>
      <c r="V899" s="471"/>
      <c r="W899" s="471"/>
      <c r="X899" s="471"/>
      <c r="Y899" s="471"/>
      <c r="Z899" s="305"/>
      <c r="AA899" s="305"/>
      <c r="AB899" s="305"/>
      <c r="AC899" s="305"/>
      <c r="AD899" s="305"/>
      <c r="AE899" s="131"/>
    </row>
    <row r="900" spans="8:31" ht="14.25">
      <c r="H900" s="129"/>
      <c r="I900" s="129"/>
      <c r="J900" s="129"/>
      <c r="K900" s="304"/>
      <c r="N900" s="487"/>
      <c r="O900" s="305"/>
      <c r="Q900" s="305"/>
      <c r="R900" s="305"/>
      <c r="S900" s="471"/>
      <c r="T900" s="471"/>
      <c r="U900" s="471"/>
      <c r="V900" s="471"/>
      <c r="W900" s="471"/>
      <c r="X900" s="471"/>
      <c r="Y900" s="471"/>
      <c r="Z900" s="305"/>
      <c r="AA900" s="305"/>
      <c r="AB900" s="305"/>
      <c r="AC900" s="305"/>
      <c r="AD900" s="305"/>
      <c r="AE900" s="131"/>
    </row>
    <row r="901" spans="8:31" ht="14.25">
      <c r="H901" s="129"/>
      <c r="I901" s="129"/>
      <c r="J901" s="129"/>
      <c r="K901" s="304"/>
      <c r="N901" s="487"/>
      <c r="O901" s="305"/>
      <c r="Q901" s="305"/>
      <c r="R901" s="305"/>
      <c r="S901" s="471"/>
      <c r="T901" s="471"/>
      <c r="U901" s="471"/>
      <c r="V901" s="471"/>
      <c r="W901" s="471"/>
      <c r="X901" s="471"/>
      <c r="Y901" s="471"/>
      <c r="Z901" s="305"/>
      <c r="AA901" s="305"/>
      <c r="AB901" s="305"/>
      <c r="AC901" s="305"/>
      <c r="AD901" s="305"/>
      <c r="AE901" s="131"/>
    </row>
    <row r="902" spans="8:31" ht="14.25">
      <c r="H902" s="129"/>
      <c r="I902" s="129"/>
      <c r="J902" s="129"/>
      <c r="K902" s="304"/>
      <c r="N902" s="487"/>
      <c r="O902" s="305"/>
      <c r="Q902" s="305"/>
      <c r="R902" s="305"/>
      <c r="S902" s="471"/>
      <c r="T902" s="471"/>
      <c r="U902" s="471"/>
      <c r="V902" s="471"/>
      <c r="W902" s="471"/>
      <c r="X902" s="471"/>
      <c r="Y902" s="471"/>
      <c r="Z902" s="305"/>
      <c r="AA902" s="305"/>
      <c r="AB902" s="305"/>
      <c r="AC902" s="305"/>
      <c r="AD902" s="305"/>
      <c r="AE902" s="131"/>
    </row>
    <row r="903" spans="8:31" ht="14.25">
      <c r="H903" s="129"/>
      <c r="I903" s="129"/>
      <c r="J903" s="129"/>
      <c r="K903" s="304"/>
      <c r="N903" s="487"/>
      <c r="O903" s="305"/>
      <c r="Q903" s="305"/>
      <c r="R903" s="305"/>
      <c r="S903" s="471"/>
      <c r="T903" s="471"/>
      <c r="U903" s="471"/>
      <c r="V903" s="471"/>
      <c r="W903" s="471"/>
      <c r="X903" s="471"/>
      <c r="Y903" s="471"/>
      <c r="Z903" s="305"/>
      <c r="AA903" s="305"/>
      <c r="AB903" s="305"/>
      <c r="AC903" s="305"/>
      <c r="AD903" s="305"/>
      <c r="AE903" s="131"/>
    </row>
    <row r="904" spans="8:31" ht="14.25">
      <c r="H904" s="129"/>
      <c r="I904" s="129"/>
      <c r="J904" s="129"/>
      <c r="K904" s="304"/>
      <c r="N904" s="487"/>
      <c r="O904" s="305"/>
      <c r="Q904" s="305"/>
      <c r="R904" s="305"/>
      <c r="S904" s="471"/>
      <c r="T904" s="471"/>
      <c r="U904" s="471"/>
      <c r="V904" s="471"/>
      <c r="W904" s="471"/>
      <c r="X904" s="471"/>
      <c r="Y904" s="471"/>
      <c r="Z904" s="305"/>
      <c r="AA904" s="305"/>
      <c r="AB904" s="305"/>
      <c r="AC904" s="305"/>
      <c r="AD904" s="305"/>
      <c r="AE904" s="131"/>
    </row>
    <row r="905" spans="8:31" ht="14.25">
      <c r="H905" s="129"/>
      <c r="I905" s="129"/>
      <c r="J905" s="129"/>
      <c r="K905" s="304"/>
      <c r="N905" s="487"/>
      <c r="O905" s="305"/>
      <c r="Q905" s="305"/>
      <c r="R905" s="305"/>
      <c r="S905" s="471"/>
      <c r="T905" s="471"/>
      <c r="U905" s="471"/>
      <c r="V905" s="471"/>
      <c r="W905" s="471"/>
      <c r="X905" s="471"/>
      <c r="Y905" s="471"/>
      <c r="Z905" s="305"/>
      <c r="AA905" s="305"/>
      <c r="AB905" s="305"/>
      <c r="AC905" s="305"/>
      <c r="AD905" s="305"/>
      <c r="AE905" s="131"/>
    </row>
    <row r="906" spans="8:31" ht="14.25">
      <c r="H906" s="129"/>
      <c r="I906" s="129"/>
      <c r="J906" s="129"/>
      <c r="K906" s="304"/>
      <c r="N906" s="487"/>
      <c r="O906" s="305"/>
      <c r="Q906" s="305"/>
      <c r="R906" s="305"/>
      <c r="S906" s="471"/>
      <c r="T906" s="471"/>
      <c r="U906" s="471"/>
      <c r="V906" s="471"/>
      <c r="W906" s="471"/>
      <c r="X906" s="471"/>
      <c r="Y906" s="471"/>
      <c r="Z906" s="305"/>
      <c r="AA906" s="305"/>
      <c r="AB906" s="305"/>
      <c r="AC906" s="305"/>
      <c r="AD906" s="305"/>
      <c r="AE906" s="131"/>
    </row>
    <row r="907" spans="8:31" ht="14.25">
      <c r="H907" s="129"/>
      <c r="I907" s="129"/>
      <c r="J907" s="129"/>
      <c r="K907" s="304"/>
      <c r="N907" s="487"/>
      <c r="O907" s="305"/>
      <c r="Q907" s="305"/>
      <c r="R907" s="305"/>
      <c r="S907" s="471"/>
      <c r="T907" s="471"/>
      <c r="U907" s="471"/>
      <c r="V907" s="471"/>
      <c r="W907" s="471"/>
      <c r="X907" s="471"/>
      <c r="Y907" s="471"/>
      <c r="Z907" s="305"/>
      <c r="AA907" s="305"/>
      <c r="AB907" s="305"/>
      <c r="AC907" s="305"/>
      <c r="AD907" s="305"/>
      <c r="AE907" s="131"/>
    </row>
    <row r="908" spans="8:31" ht="14.25">
      <c r="H908" s="129"/>
      <c r="I908" s="129"/>
      <c r="J908" s="129"/>
      <c r="K908" s="304"/>
      <c r="N908" s="487"/>
      <c r="O908" s="305"/>
      <c r="Q908" s="305"/>
      <c r="R908" s="305"/>
      <c r="S908" s="471"/>
      <c r="T908" s="471"/>
      <c r="U908" s="471"/>
      <c r="V908" s="471"/>
      <c r="W908" s="471"/>
      <c r="X908" s="471"/>
      <c r="Y908" s="471"/>
      <c r="Z908" s="305"/>
      <c r="AA908" s="305"/>
      <c r="AB908" s="305"/>
      <c r="AC908" s="305"/>
      <c r="AD908" s="305"/>
      <c r="AE908" s="131"/>
    </row>
    <row r="909" spans="8:31" ht="14.25">
      <c r="H909" s="129"/>
      <c r="I909" s="129"/>
      <c r="J909" s="129"/>
      <c r="K909" s="304"/>
      <c r="N909" s="487"/>
      <c r="O909" s="305"/>
      <c r="Q909" s="305"/>
      <c r="R909" s="305"/>
      <c r="S909" s="471"/>
      <c r="T909" s="471"/>
      <c r="U909" s="471"/>
      <c r="V909" s="471"/>
      <c r="W909" s="471"/>
      <c r="X909" s="471"/>
      <c r="Y909" s="471"/>
      <c r="Z909" s="305"/>
      <c r="AA909" s="305"/>
      <c r="AB909" s="305"/>
      <c r="AC909" s="305"/>
      <c r="AD909" s="305"/>
      <c r="AE909" s="131"/>
    </row>
    <row r="910" spans="8:31" ht="14.25">
      <c r="H910" s="129"/>
      <c r="I910" s="129"/>
      <c r="J910" s="129"/>
      <c r="K910" s="304"/>
      <c r="N910" s="487"/>
      <c r="O910" s="305"/>
      <c r="Q910" s="305"/>
      <c r="R910" s="305"/>
      <c r="S910" s="471"/>
      <c r="T910" s="471"/>
      <c r="U910" s="471"/>
      <c r="V910" s="471"/>
      <c r="W910" s="471"/>
      <c r="X910" s="471"/>
      <c r="Y910" s="471"/>
      <c r="Z910" s="305"/>
      <c r="AA910" s="305"/>
      <c r="AB910" s="305"/>
      <c r="AC910" s="305"/>
      <c r="AD910" s="305"/>
      <c r="AE910" s="131"/>
    </row>
    <row r="911" spans="8:31" ht="14.25">
      <c r="H911" s="129"/>
      <c r="I911" s="129"/>
      <c r="J911" s="129"/>
      <c r="K911" s="304"/>
      <c r="N911" s="487"/>
      <c r="O911" s="305"/>
      <c r="Q911" s="305"/>
      <c r="R911" s="305"/>
      <c r="S911" s="471"/>
      <c r="T911" s="471"/>
      <c r="U911" s="471"/>
      <c r="V911" s="471"/>
      <c r="W911" s="471"/>
      <c r="X911" s="471"/>
      <c r="Y911" s="471"/>
      <c r="Z911" s="305"/>
      <c r="AA911" s="305"/>
      <c r="AB911" s="305"/>
      <c r="AC911" s="305"/>
      <c r="AD911" s="305"/>
      <c r="AE911" s="131"/>
    </row>
    <row r="912" spans="8:31" ht="14.25">
      <c r="H912" s="129"/>
      <c r="I912" s="129"/>
      <c r="J912" s="129"/>
      <c r="K912" s="304"/>
      <c r="N912" s="487"/>
      <c r="O912" s="305"/>
      <c r="Q912" s="305"/>
      <c r="R912" s="305"/>
      <c r="S912" s="471"/>
      <c r="T912" s="471"/>
      <c r="U912" s="471"/>
      <c r="V912" s="471"/>
      <c r="W912" s="471"/>
      <c r="X912" s="471"/>
      <c r="Y912" s="471"/>
      <c r="Z912" s="305"/>
      <c r="AA912" s="305"/>
      <c r="AB912" s="305"/>
      <c r="AC912" s="305"/>
      <c r="AD912" s="305"/>
      <c r="AE912" s="131"/>
    </row>
    <row r="913" spans="8:31" ht="14.25">
      <c r="H913" s="129"/>
      <c r="I913" s="129"/>
      <c r="J913" s="129"/>
      <c r="K913" s="304"/>
      <c r="N913" s="487"/>
      <c r="O913" s="305"/>
      <c r="Q913" s="305"/>
      <c r="R913" s="305"/>
      <c r="S913" s="471"/>
      <c r="T913" s="471"/>
      <c r="U913" s="471"/>
      <c r="V913" s="471"/>
      <c r="W913" s="471"/>
      <c r="X913" s="471"/>
      <c r="Y913" s="471"/>
      <c r="Z913" s="305"/>
      <c r="AA913" s="305"/>
      <c r="AB913" s="305"/>
      <c r="AC913" s="305"/>
      <c r="AD913" s="305"/>
      <c r="AE913" s="131"/>
    </row>
    <row r="914" spans="8:31" ht="14.25">
      <c r="H914" s="129"/>
      <c r="I914" s="129"/>
      <c r="J914" s="129"/>
      <c r="K914" s="304"/>
      <c r="N914" s="487"/>
      <c r="O914" s="305"/>
      <c r="Q914" s="305"/>
      <c r="R914" s="305"/>
      <c r="S914" s="471"/>
      <c r="T914" s="471"/>
      <c r="U914" s="471"/>
      <c r="V914" s="471"/>
      <c r="W914" s="471"/>
      <c r="X914" s="471"/>
      <c r="Y914" s="471"/>
      <c r="Z914" s="305"/>
      <c r="AA914" s="305"/>
      <c r="AB914" s="305"/>
      <c r="AC914" s="305"/>
      <c r="AD914" s="305"/>
      <c r="AE914" s="131"/>
    </row>
    <row r="915" spans="8:31" ht="14.25">
      <c r="H915" s="129"/>
      <c r="I915" s="129"/>
      <c r="J915" s="129"/>
      <c r="K915" s="304"/>
      <c r="N915" s="487"/>
      <c r="O915" s="305"/>
      <c r="Q915" s="305"/>
      <c r="R915" s="305"/>
      <c r="S915" s="471"/>
      <c r="T915" s="471"/>
      <c r="U915" s="471"/>
      <c r="V915" s="471"/>
      <c r="W915" s="471"/>
      <c r="X915" s="471"/>
      <c r="Y915" s="471"/>
      <c r="Z915" s="305"/>
      <c r="AA915" s="305"/>
      <c r="AB915" s="305"/>
      <c r="AC915" s="305"/>
      <c r="AD915" s="305"/>
      <c r="AE915" s="131"/>
    </row>
    <row r="916" spans="8:31" ht="14.25">
      <c r="H916" s="129"/>
      <c r="I916" s="129"/>
      <c r="J916" s="129"/>
      <c r="K916" s="304"/>
      <c r="N916" s="487"/>
      <c r="O916" s="305"/>
      <c r="Q916" s="305"/>
      <c r="R916" s="305"/>
      <c r="S916" s="471"/>
      <c r="T916" s="471"/>
      <c r="U916" s="471"/>
      <c r="V916" s="471"/>
      <c r="W916" s="471"/>
      <c r="X916" s="471"/>
      <c r="Y916" s="471"/>
      <c r="Z916" s="305"/>
      <c r="AA916" s="305"/>
      <c r="AB916" s="305"/>
      <c r="AC916" s="305"/>
      <c r="AD916" s="305"/>
      <c r="AE916" s="131"/>
    </row>
    <row r="917" spans="8:31" ht="14.25">
      <c r="H917" s="129"/>
      <c r="I917" s="129"/>
      <c r="J917" s="129"/>
      <c r="K917" s="304"/>
      <c r="N917" s="487"/>
      <c r="O917" s="305"/>
      <c r="Q917" s="305"/>
      <c r="R917" s="305"/>
      <c r="S917" s="471"/>
      <c r="T917" s="471"/>
      <c r="U917" s="471"/>
      <c r="V917" s="471"/>
      <c r="W917" s="471"/>
      <c r="X917" s="471"/>
      <c r="Y917" s="471"/>
      <c r="Z917" s="305"/>
      <c r="AA917" s="305"/>
      <c r="AB917" s="305"/>
      <c r="AC917" s="305"/>
      <c r="AD917" s="305"/>
      <c r="AE917" s="131"/>
    </row>
    <row r="918" spans="8:31" ht="14.25">
      <c r="H918" s="129"/>
      <c r="I918" s="129"/>
      <c r="J918" s="129"/>
      <c r="K918" s="304"/>
      <c r="N918" s="487"/>
      <c r="O918" s="305"/>
      <c r="Q918" s="305"/>
      <c r="R918" s="305"/>
      <c r="S918" s="471"/>
      <c r="T918" s="471"/>
      <c r="U918" s="471"/>
      <c r="V918" s="471"/>
      <c r="W918" s="471"/>
      <c r="X918" s="471"/>
      <c r="Y918" s="471"/>
      <c r="Z918" s="305"/>
      <c r="AA918" s="305"/>
      <c r="AB918" s="305"/>
      <c r="AC918" s="305"/>
      <c r="AD918" s="305"/>
      <c r="AE918" s="131"/>
    </row>
    <row r="919" spans="8:31" ht="14.25">
      <c r="H919" s="129"/>
      <c r="I919" s="129"/>
      <c r="J919" s="129"/>
      <c r="K919" s="304"/>
      <c r="N919" s="487"/>
      <c r="O919" s="305"/>
      <c r="Q919" s="305"/>
      <c r="R919" s="305"/>
      <c r="S919" s="471"/>
      <c r="T919" s="471"/>
      <c r="U919" s="471"/>
      <c r="V919" s="471"/>
      <c r="W919" s="471"/>
      <c r="X919" s="471"/>
      <c r="Y919" s="471"/>
      <c r="Z919" s="305"/>
      <c r="AA919" s="305"/>
      <c r="AB919" s="305"/>
      <c r="AC919" s="305"/>
      <c r="AD919" s="305"/>
      <c r="AE919" s="131"/>
    </row>
    <row r="920" spans="8:31" ht="14.25">
      <c r="H920" s="129"/>
      <c r="I920" s="129"/>
      <c r="J920" s="129"/>
      <c r="K920" s="304"/>
      <c r="N920" s="487"/>
      <c r="O920" s="305"/>
      <c r="Q920" s="305"/>
      <c r="R920" s="305"/>
      <c r="S920" s="471"/>
      <c r="T920" s="471"/>
      <c r="U920" s="471"/>
      <c r="V920" s="471"/>
      <c r="W920" s="471"/>
      <c r="X920" s="471"/>
      <c r="Y920" s="471"/>
      <c r="Z920" s="305"/>
      <c r="AA920" s="305"/>
      <c r="AB920" s="305"/>
      <c r="AC920" s="305"/>
      <c r="AD920" s="305"/>
      <c r="AE920" s="131"/>
    </row>
    <row r="921" spans="8:31" ht="14.25">
      <c r="H921" s="129"/>
      <c r="I921" s="129"/>
      <c r="J921" s="129"/>
      <c r="K921" s="304"/>
      <c r="N921" s="487"/>
      <c r="O921" s="305"/>
      <c r="Q921" s="305"/>
      <c r="R921" s="305"/>
      <c r="S921" s="471"/>
      <c r="T921" s="471"/>
      <c r="U921" s="471"/>
      <c r="V921" s="471"/>
      <c r="W921" s="471"/>
      <c r="X921" s="471"/>
      <c r="Y921" s="471"/>
      <c r="Z921" s="305"/>
      <c r="AA921" s="305"/>
      <c r="AB921" s="305"/>
      <c r="AC921" s="305"/>
      <c r="AD921" s="305"/>
      <c r="AE921" s="131"/>
    </row>
    <row r="922" spans="8:31" ht="14.25">
      <c r="H922" s="129"/>
      <c r="I922" s="129"/>
      <c r="J922" s="129"/>
      <c r="K922" s="304"/>
      <c r="N922" s="487"/>
      <c r="O922" s="305"/>
      <c r="Q922" s="305"/>
      <c r="R922" s="305"/>
      <c r="S922" s="471"/>
      <c r="T922" s="471"/>
      <c r="U922" s="471"/>
      <c r="V922" s="471"/>
      <c r="W922" s="471"/>
      <c r="X922" s="471"/>
      <c r="Y922" s="471"/>
      <c r="Z922" s="305"/>
      <c r="AA922" s="305"/>
      <c r="AB922" s="305"/>
      <c r="AC922" s="305"/>
      <c r="AD922" s="305"/>
      <c r="AE922" s="131"/>
    </row>
    <row r="923" spans="8:31" ht="14.25">
      <c r="H923" s="129"/>
      <c r="I923" s="129"/>
      <c r="J923" s="129"/>
      <c r="K923" s="304"/>
      <c r="N923" s="487"/>
      <c r="O923" s="305"/>
      <c r="Q923" s="305"/>
      <c r="R923" s="305"/>
      <c r="S923" s="471"/>
      <c r="T923" s="471"/>
      <c r="U923" s="471"/>
      <c r="V923" s="471"/>
      <c r="W923" s="471"/>
      <c r="X923" s="471"/>
      <c r="Y923" s="471"/>
      <c r="Z923" s="305"/>
      <c r="AA923" s="305"/>
      <c r="AB923" s="305"/>
      <c r="AC923" s="305"/>
      <c r="AD923" s="305"/>
      <c r="AE923" s="131"/>
    </row>
    <row r="924" spans="8:31" ht="14.25">
      <c r="H924" s="129"/>
      <c r="I924" s="129"/>
      <c r="J924" s="129"/>
      <c r="K924" s="304"/>
      <c r="N924" s="487"/>
      <c r="O924" s="305"/>
      <c r="Q924" s="305"/>
      <c r="R924" s="305"/>
      <c r="S924" s="471"/>
      <c r="T924" s="471"/>
      <c r="U924" s="471"/>
      <c r="V924" s="471"/>
      <c r="W924" s="471"/>
      <c r="X924" s="471"/>
      <c r="Y924" s="471"/>
      <c r="Z924" s="305"/>
      <c r="AA924" s="305"/>
      <c r="AB924" s="305"/>
      <c r="AC924" s="305"/>
      <c r="AD924" s="305"/>
      <c r="AE924" s="131"/>
    </row>
    <row r="925" spans="8:31" ht="14.25">
      <c r="H925" s="129"/>
      <c r="I925" s="129"/>
      <c r="J925" s="129"/>
      <c r="K925" s="304"/>
      <c r="N925" s="487"/>
      <c r="O925" s="305"/>
      <c r="Q925" s="305"/>
      <c r="R925" s="305"/>
      <c r="S925" s="471"/>
      <c r="T925" s="471"/>
      <c r="U925" s="471"/>
      <c r="V925" s="471"/>
      <c r="W925" s="471"/>
      <c r="X925" s="471"/>
      <c r="Y925" s="471"/>
      <c r="Z925" s="305"/>
      <c r="AA925" s="305"/>
      <c r="AB925" s="305"/>
      <c r="AC925" s="305"/>
      <c r="AD925" s="305"/>
      <c r="AE925" s="131"/>
    </row>
    <row r="926" spans="8:31" ht="14.25">
      <c r="H926" s="129"/>
      <c r="I926" s="129"/>
      <c r="J926" s="129"/>
      <c r="K926" s="304"/>
      <c r="N926" s="487"/>
      <c r="O926" s="305"/>
      <c r="Q926" s="305"/>
      <c r="R926" s="305"/>
      <c r="S926" s="471"/>
      <c r="T926" s="471"/>
      <c r="U926" s="471"/>
      <c r="V926" s="471"/>
      <c r="W926" s="471"/>
      <c r="X926" s="471"/>
      <c r="Y926" s="471"/>
      <c r="Z926" s="305"/>
      <c r="AA926" s="305"/>
      <c r="AB926" s="305"/>
      <c r="AC926" s="305"/>
      <c r="AD926" s="305"/>
      <c r="AE926" s="131"/>
    </row>
    <row r="927" spans="8:31" ht="14.25">
      <c r="H927" s="129"/>
      <c r="I927" s="129"/>
      <c r="J927" s="129"/>
      <c r="K927" s="304"/>
      <c r="N927" s="487"/>
      <c r="O927" s="305"/>
      <c r="Q927" s="305"/>
      <c r="R927" s="305"/>
      <c r="S927" s="471"/>
      <c r="T927" s="471"/>
      <c r="U927" s="471"/>
      <c r="V927" s="471"/>
      <c r="W927" s="471"/>
      <c r="X927" s="471"/>
      <c r="Y927" s="471"/>
      <c r="Z927" s="305"/>
      <c r="AA927" s="305"/>
      <c r="AB927" s="305"/>
      <c r="AC927" s="305"/>
      <c r="AD927" s="305"/>
      <c r="AE927" s="131"/>
    </row>
    <row r="928" spans="8:31" ht="14.25">
      <c r="H928" s="129"/>
      <c r="I928" s="129"/>
      <c r="J928" s="129"/>
      <c r="K928" s="304"/>
      <c r="N928" s="487"/>
      <c r="O928" s="305"/>
      <c r="Q928" s="305"/>
      <c r="R928" s="305"/>
      <c r="S928" s="471"/>
      <c r="T928" s="471"/>
      <c r="U928" s="471"/>
      <c r="V928" s="471"/>
      <c r="W928" s="471"/>
      <c r="X928" s="471"/>
      <c r="Y928" s="471"/>
      <c r="Z928" s="305"/>
      <c r="AA928" s="305"/>
      <c r="AB928" s="305"/>
      <c r="AC928" s="305"/>
      <c r="AD928" s="305"/>
      <c r="AE928" s="131"/>
    </row>
    <row r="929" spans="8:31" ht="14.25">
      <c r="H929" s="129"/>
      <c r="I929" s="129"/>
      <c r="J929" s="129"/>
      <c r="K929" s="304"/>
      <c r="N929" s="487"/>
      <c r="O929" s="305"/>
      <c r="Q929" s="305"/>
      <c r="R929" s="305"/>
      <c r="S929" s="471"/>
      <c r="T929" s="471"/>
      <c r="U929" s="471"/>
      <c r="V929" s="471"/>
      <c r="W929" s="471"/>
      <c r="X929" s="471"/>
      <c r="Y929" s="471"/>
      <c r="Z929" s="305"/>
      <c r="AA929" s="305"/>
      <c r="AB929" s="305"/>
      <c r="AC929" s="305"/>
      <c r="AD929" s="305"/>
      <c r="AE929" s="131"/>
    </row>
    <row r="930" spans="8:31" ht="14.25">
      <c r="H930" s="129"/>
      <c r="I930" s="129"/>
      <c r="J930" s="129"/>
      <c r="K930" s="304"/>
      <c r="N930" s="487"/>
      <c r="O930" s="305"/>
      <c r="Q930" s="305"/>
      <c r="R930" s="305"/>
      <c r="S930" s="471"/>
      <c r="T930" s="471"/>
      <c r="U930" s="471"/>
      <c r="V930" s="471"/>
      <c r="W930" s="471"/>
      <c r="X930" s="471"/>
      <c r="Y930" s="471"/>
      <c r="Z930" s="305"/>
      <c r="AA930" s="305"/>
      <c r="AB930" s="305"/>
      <c r="AC930" s="305"/>
      <c r="AD930" s="305"/>
      <c r="AE930" s="131"/>
    </row>
    <row r="931" spans="8:31" ht="14.25">
      <c r="H931" s="129"/>
      <c r="I931" s="129"/>
      <c r="J931" s="129"/>
      <c r="K931" s="304"/>
      <c r="N931" s="487"/>
      <c r="O931" s="305"/>
      <c r="Q931" s="305"/>
      <c r="R931" s="305"/>
      <c r="S931" s="471"/>
      <c r="T931" s="471"/>
      <c r="U931" s="471"/>
      <c r="V931" s="471"/>
      <c r="W931" s="471"/>
      <c r="X931" s="471"/>
      <c r="Y931" s="471"/>
      <c r="Z931" s="305"/>
      <c r="AA931" s="305"/>
      <c r="AB931" s="305"/>
      <c r="AC931" s="305"/>
      <c r="AD931" s="305"/>
      <c r="AE931" s="131"/>
    </row>
    <row r="932" spans="8:31" ht="14.25">
      <c r="H932" s="129"/>
      <c r="I932" s="129"/>
      <c r="J932" s="129"/>
      <c r="K932" s="304"/>
      <c r="N932" s="487"/>
      <c r="O932" s="305"/>
      <c r="Q932" s="305"/>
      <c r="R932" s="305"/>
      <c r="S932" s="471"/>
      <c r="T932" s="471"/>
      <c r="U932" s="471"/>
      <c r="V932" s="471"/>
      <c r="W932" s="471"/>
      <c r="X932" s="471"/>
      <c r="Y932" s="471"/>
      <c r="Z932" s="305"/>
      <c r="AA932" s="305"/>
      <c r="AB932" s="305"/>
      <c r="AC932" s="305"/>
      <c r="AD932" s="305"/>
      <c r="AE932" s="131"/>
    </row>
    <row r="933" spans="8:31" ht="14.25">
      <c r="H933" s="129"/>
      <c r="I933" s="129"/>
      <c r="J933" s="129"/>
      <c r="K933" s="304"/>
      <c r="N933" s="487"/>
      <c r="O933" s="305"/>
      <c r="Q933" s="305"/>
      <c r="R933" s="305"/>
      <c r="S933" s="471"/>
      <c r="T933" s="471"/>
      <c r="U933" s="471"/>
      <c r="V933" s="471"/>
      <c r="W933" s="471"/>
      <c r="X933" s="471"/>
      <c r="Y933" s="471"/>
      <c r="Z933" s="305"/>
      <c r="AA933" s="305"/>
      <c r="AB933" s="305"/>
      <c r="AC933" s="305"/>
      <c r="AD933" s="305"/>
      <c r="AE933" s="131"/>
    </row>
    <row r="934" spans="8:31" ht="14.25">
      <c r="H934" s="129"/>
      <c r="I934" s="129"/>
      <c r="J934" s="129"/>
      <c r="K934" s="304"/>
      <c r="N934" s="487"/>
      <c r="O934" s="305"/>
      <c r="Q934" s="305"/>
      <c r="R934" s="305"/>
      <c r="S934" s="471"/>
      <c r="T934" s="471"/>
      <c r="U934" s="471"/>
      <c r="V934" s="471"/>
      <c r="W934" s="471"/>
      <c r="X934" s="471"/>
      <c r="Y934" s="471"/>
      <c r="Z934" s="305"/>
      <c r="AA934" s="305"/>
      <c r="AB934" s="305"/>
      <c r="AC934" s="305"/>
      <c r="AD934" s="305"/>
      <c r="AE934" s="131"/>
    </row>
    <row r="935" spans="8:31" ht="14.25">
      <c r="H935" s="129"/>
      <c r="I935" s="129"/>
      <c r="J935" s="129"/>
      <c r="K935" s="304"/>
      <c r="N935" s="487"/>
      <c r="O935" s="305"/>
      <c r="Q935" s="305"/>
      <c r="R935" s="305"/>
      <c r="S935" s="471"/>
      <c r="T935" s="471"/>
      <c r="U935" s="471"/>
      <c r="V935" s="471"/>
      <c r="W935" s="471"/>
      <c r="X935" s="471"/>
      <c r="Y935" s="471"/>
      <c r="Z935" s="305"/>
      <c r="AA935" s="305"/>
      <c r="AB935" s="305"/>
      <c r="AC935" s="305"/>
      <c r="AD935" s="305"/>
      <c r="AE935" s="131"/>
    </row>
    <row r="936" spans="8:31" ht="14.25">
      <c r="H936" s="129"/>
      <c r="I936" s="129"/>
      <c r="J936" s="129"/>
      <c r="K936" s="304"/>
      <c r="N936" s="487"/>
      <c r="O936" s="305"/>
      <c r="Q936" s="305"/>
      <c r="R936" s="305"/>
      <c r="S936" s="471"/>
      <c r="T936" s="471"/>
      <c r="U936" s="471"/>
      <c r="V936" s="471"/>
      <c r="W936" s="471"/>
      <c r="X936" s="471"/>
      <c r="Y936" s="471"/>
      <c r="Z936" s="305"/>
      <c r="AA936" s="305"/>
      <c r="AB936" s="305"/>
      <c r="AC936" s="305"/>
      <c r="AD936" s="305"/>
      <c r="AE936" s="131"/>
    </row>
    <row r="937" spans="8:31" ht="14.25">
      <c r="H937" s="129"/>
      <c r="I937" s="129"/>
      <c r="J937" s="129"/>
      <c r="K937" s="304"/>
      <c r="N937" s="487"/>
      <c r="O937" s="305"/>
      <c r="Q937" s="305"/>
      <c r="R937" s="305"/>
      <c r="S937" s="471"/>
      <c r="T937" s="471"/>
      <c r="U937" s="471"/>
      <c r="V937" s="471"/>
      <c r="W937" s="471"/>
      <c r="X937" s="471"/>
      <c r="Y937" s="471"/>
      <c r="Z937" s="305"/>
      <c r="AA937" s="305"/>
      <c r="AB937" s="305"/>
      <c r="AC937" s="305"/>
      <c r="AD937" s="305"/>
      <c r="AE937" s="131"/>
    </row>
    <row r="938" spans="8:31" ht="14.25">
      <c r="H938" s="129"/>
      <c r="I938" s="129"/>
      <c r="J938" s="129"/>
      <c r="K938" s="304"/>
      <c r="N938" s="487"/>
      <c r="O938" s="305"/>
      <c r="Q938" s="305"/>
      <c r="R938" s="305"/>
      <c r="S938" s="471"/>
      <c r="T938" s="471"/>
      <c r="U938" s="471"/>
      <c r="V938" s="471"/>
      <c r="W938" s="471"/>
      <c r="X938" s="471"/>
      <c r="Y938" s="471"/>
      <c r="Z938" s="305"/>
      <c r="AA938" s="305"/>
      <c r="AB938" s="305"/>
      <c r="AC938" s="305"/>
      <c r="AD938" s="305"/>
      <c r="AE938" s="131"/>
    </row>
    <row r="939" spans="8:31" ht="14.25">
      <c r="H939" s="129"/>
      <c r="I939" s="129"/>
      <c r="J939" s="129"/>
      <c r="K939" s="304"/>
      <c r="N939" s="487"/>
      <c r="O939" s="305"/>
      <c r="Q939" s="305"/>
      <c r="R939" s="305"/>
      <c r="S939" s="471"/>
      <c r="T939" s="471"/>
      <c r="U939" s="471"/>
      <c r="V939" s="471"/>
      <c r="W939" s="471"/>
      <c r="X939" s="471"/>
      <c r="Y939" s="471"/>
      <c r="Z939" s="305"/>
      <c r="AA939" s="305"/>
      <c r="AB939" s="305"/>
      <c r="AC939" s="305"/>
      <c r="AD939" s="305"/>
      <c r="AE939" s="131"/>
    </row>
    <row r="940" spans="8:31" ht="14.25">
      <c r="H940" s="129"/>
      <c r="I940" s="129"/>
      <c r="J940" s="129"/>
      <c r="K940" s="304"/>
      <c r="N940" s="487"/>
      <c r="O940" s="305"/>
      <c r="Q940" s="305"/>
      <c r="R940" s="305"/>
      <c r="S940" s="471"/>
      <c r="T940" s="471"/>
      <c r="U940" s="471"/>
      <c r="V940" s="471"/>
      <c r="W940" s="471"/>
      <c r="X940" s="471"/>
      <c r="Y940" s="471"/>
      <c r="Z940" s="305"/>
      <c r="AA940" s="305"/>
      <c r="AB940" s="305"/>
      <c r="AC940" s="305"/>
      <c r="AD940" s="305"/>
      <c r="AE940" s="131"/>
    </row>
    <row r="941" spans="8:31" ht="14.25">
      <c r="H941" s="129"/>
      <c r="I941" s="129"/>
      <c r="J941" s="129"/>
      <c r="K941" s="304"/>
      <c r="N941" s="487"/>
      <c r="O941" s="305"/>
      <c r="Q941" s="305"/>
      <c r="R941" s="305"/>
      <c r="S941" s="471"/>
      <c r="T941" s="471"/>
      <c r="U941" s="471"/>
      <c r="V941" s="471"/>
      <c r="W941" s="471"/>
      <c r="X941" s="471"/>
      <c r="Y941" s="471"/>
      <c r="Z941" s="305"/>
      <c r="AA941" s="305"/>
      <c r="AB941" s="305"/>
      <c r="AC941" s="305"/>
      <c r="AD941" s="305"/>
      <c r="AE941" s="131"/>
    </row>
    <row r="942" spans="8:31" ht="14.25">
      <c r="H942" s="129"/>
      <c r="I942" s="129"/>
      <c r="J942" s="129"/>
      <c r="K942" s="304"/>
      <c r="N942" s="487"/>
      <c r="O942" s="305"/>
      <c r="Q942" s="305"/>
      <c r="R942" s="305"/>
      <c r="S942" s="471"/>
      <c r="T942" s="471"/>
      <c r="U942" s="471"/>
      <c r="V942" s="471"/>
      <c r="W942" s="471"/>
      <c r="X942" s="471"/>
      <c r="Y942" s="471"/>
      <c r="Z942" s="305"/>
      <c r="AA942" s="305"/>
      <c r="AB942" s="305"/>
      <c r="AC942" s="305"/>
      <c r="AD942" s="305"/>
      <c r="AE942" s="131"/>
    </row>
    <row r="943" spans="8:31" ht="14.25">
      <c r="H943" s="129"/>
      <c r="I943" s="129"/>
      <c r="J943" s="129"/>
      <c r="K943" s="304"/>
      <c r="N943" s="487"/>
      <c r="O943" s="305"/>
      <c r="Q943" s="305"/>
      <c r="R943" s="305"/>
      <c r="S943" s="471"/>
      <c r="T943" s="471"/>
      <c r="U943" s="471"/>
      <c r="V943" s="471"/>
      <c r="W943" s="471"/>
      <c r="X943" s="471"/>
      <c r="Y943" s="471"/>
      <c r="Z943" s="305"/>
      <c r="AA943" s="305"/>
      <c r="AB943" s="305"/>
      <c r="AC943" s="305"/>
      <c r="AD943" s="305"/>
      <c r="AE943" s="131"/>
    </row>
    <row r="944" spans="8:31" ht="14.25">
      <c r="H944" s="129"/>
      <c r="I944" s="129"/>
      <c r="J944" s="129"/>
      <c r="K944" s="304"/>
      <c r="N944" s="487"/>
      <c r="O944" s="305"/>
      <c r="Q944" s="305"/>
      <c r="R944" s="305"/>
      <c r="S944" s="471"/>
      <c r="T944" s="471"/>
      <c r="U944" s="471"/>
      <c r="V944" s="471"/>
      <c r="W944" s="471"/>
      <c r="X944" s="471"/>
      <c r="Y944" s="471"/>
      <c r="Z944" s="305"/>
      <c r="AA944" s="305"/>
      <c r="AB944" s="305"/>
      <c r="AC944" s="305"/>
      <c r="AD944" s="305"/>
      <c r="AE944" s="131"/>
    </row>
    <row r="945" spans="8:31" ht="14.25">
      <c r="H945" s="129"/>
      <c r="I945" s="129"/>
      <c r="J945" s="129"/>
      <c r="K945" s="304"/>
      <c r="N945" s="487"/>
      <c r="O945" s="305"/>
      <c r="Q945" s="305"/>
      <c r="R945" s="305"/>
      <c r="S945" s="471"/>
      <c r="T945" s="471"/>
      <c r="U945" s="471"/>
      <c r="V945" s="471"/>
      <c r="W945" s="471"/>
      <c r="X945" s="471"/>
      <c r="Y945" s="471"/>
      <c r="Z945" s="305"/>
      <c r="AA945" s="305"/>
      <c r="AB945" s="305"/>
      <c r="AC945" s="305"/>
      <c r="AD945" s="305"/>
      <c r="AE945" s="131"/>
    </row>
    <row r="946" spans="8:31" ht="14.25">
      <c r="H946" s="129"/>
      <c r="I946" s="129"/>
      <c r="J946" s="129"/>
      <c r="K946" s="304"/>
      <c r="N946" s="487"/>
      <c r="O946" s="305"/>
      <c r="Q946" s="305"/>
      <c r="R946" s="305"/>
      <c r="S946" s="471"/>
      <c r="T946" s="471"/>
      <c r="U946" s="471"/>
      <c r="V946" s="471"/>
      <c r="W946" s="471"/>
      <c r="X946" s="471"/>
      <c r="Y946" s="471"/>
      <c r="Z946" s="305"/>
      <c r="AA946" s="305"/>
      <c r="AB946" s="305"/>
      <c r="AC946" s="305"/>
      <c r="AD946" s="305"/>
      <c r="AE946" s="131"/>
    </row>
    <row r="947" spans="8:31" ht="14.25">
      <c r="H947" s="129"/>
      <c r="I947" s="129"/>
      <c r="J947" s="129"/>
      <c r="K947" s="304"/>
      <c r="N947" s="487"/>
      <c r="O947" s="305"/>
      <c r="Q947" s="305"/>
      <c r="R947" s="305"/>
      <c r="S947" s="471"/>
      <c r="T947" s="471"/>
      <c r="U947" s="471"/>
      <c r="V947" s="471"/>
      <c r="W947" s="471"/>
      <c r="X947" s="471"/>
      <c r="Y947" s="471"/>
      <c r="Z947" s="305"/>
      <c r="AA947" s="305"/>
      <c r="AB947" s="305"/>
      <c r="AC947" s="305"/>
      <c r="AD947" s="305"/>
      <c r="AE947" s="131"/>
    </row>
    <row r="948" spans="8:31" ht="14.25">
      <c r="H948" s="129"/>
      <c r="I948" s="129"/>
      <c r="J948" s="129"/>
      <c r="K948" s="304"/>
      <c r="N948" s="487"/>
      <c r="O948" s="305"/>
      <c r="Q948" s="305"/>
      <c r="R948" s="305"/>
      <c r="S948" s="471"/>
      <c r="T948" s="471"/>
      <c r="U948" s="471"/>
      <c r="V948" s="471"/>
      <c r="W948" s="471"/>
      <c r="X948" s="471"/>
      <c r="Y948" s="471"/>
      <c r="Z948" s="305"/>
      <c r="AA948" s="305"/>
      <c r="AB948" s="305"/>
      <c r="AC948" s="305"/>
      <c r="AD948" s="305"/>
      <c r="AE948" s="131"/>
    </row>
    <row r="949" spans="8:31" ht="14.25">
      <c r="H949" s="129"/>
      <c r="I949" s="129"/>
      <c r="J949" s="129"/>
      <c r="K949" s="304"/>
      <c r="N949" s="487"/>
      <c r="O949" s="305"/>
      <c r="Q949" s="305"/>
      <c r="R949" s="305"/>
      <c r="S949" s="471"/>
      <c r="T949" s="471"/>
      <c r="U949" s="471"/>
      <c r="V949" s="471"/>
      <c r="W949" s="471"/>
      <c r="X949" s="471"/>
      <c r="Y949" s="471"/>
      <c r="Z949" s="305"/>
      <c r="AA949" s="305"/>
      <c r="AB949" s="305"/>
      <c r="AC949" s="305"/>
      <c r="AD949" s="305"/>
      <c r="AE949" s="131"/>
    </row>
    <row r="950" spans="8:31" ht="14.25">
      <c r="H950" s="129"/>
      <c r="I950" s="129"/>
      <c r="J950" s="129"/>
      <c r="K950" s="304"/>
      <c r="N950" s="487"/>
      <c r="O950" s="305"/>
      <c r="Q950" s="305"/>
      <c r="R950" s="305"/>
      <c r="S950" s="471"/>
      <c r="T950" s="471"/>
      <c r="U950" s="471"/>
      <c r="V950" s="471"/>
      <c r="W950" s="471"/>
      <c r="X950" s="471"/>
      <c r="Y950" s="471"/>
      <c r="Z950" s="305"/>
      <c r="AA950" s="305"/>
      <c r="AB950" s="305"/>
      <c r="AC950" s="305"/>
      <c r="AD950" s="305"/>
      <c r="AE950" s="131"/>
    </row>
    <row r="951" spans="8:31" ht="14.25">
      <c r="H951" s="129"/>
      <c r="I951" s="129"/>
      <c r="J951" s="129"/>
      <c r="K951" s="304"/>
      <c r="N951" s="487"/>
      <c r="O951" s="305"/>
      <c r="Q951" s="305"/>
      <c r="R951" s="305"/>
      <c r="S951" s="471"/>
      <c r="T951" s="471"/>
      <c r="U951" s="471"/>
      <c r="V951" s="471"/>
      <c r="W951" s="471"/>
      <c r="X951" s="471"/>
      <c r="Y951" s="471"/>
      <c r="Z951" s="305"/>
      <c r="AA951" s="305"/>
      <c r="AB951" s="305"/>
      <c r="AC951" s="305"/>
      <c r="AD951" s="305"/>
      <c r="AE951" s="131"/>
    </row>
    <row r="952" spans="8:31" ht="14.25">
      <c r="H952" s="129"/>
      <c r="I952" s="129"/>
      <c r="J952" s="129"/>
      <c r="K952" s="304"/>
      <c r="N952" s="487"/>
      <c r="O952" s="305"/>
      <c r="Q952" s="305"/>
      <c r="R952" s="305"/>
      <c r="S952" s="471"/>
      <c r="T952" s="471"/>
      <c r="U952" s="471"/>
      <c r="V952" s="471"/>
      <c r="W952" s="471"/>
      <c r="X952" s="471"/>
      <c r="Y952" s="471"/>
      <c r="Z952" s="305"/>
      <c r="AA952" s="305"/>
      <c r="AB952" s="305"/>
      <c r="AC952" s="305"/>
      <c r="AD952" s="305"/>
      <c r="AE952" s="131"/>
    </row>
    <row r="953" spans="8:31" ht="14.25">
      <c r="H953" s="129"/>
      <c r="I953" s="129"/>
      <c r="J953" s="129"/>
      <c r="K953" s="304"/>
      <c r="N953" s="487"/>
      <c r="O953" s="305"/>
      <c r="Q953" s="305"/>
      <c r="R953" s="305"/>
      <c r="S953" s="471"/>
      <c r="T953" s="471"/>
      <c r="U953" s="471"/>
      <c r="V953" s="471"/>
      <c r="W953" s="471"/>
      <c r="X953" s="471"/>
      <c r="Y953" s="471"/>
      <c r="Z953" s="305"/>
      <c r="AA953" s="305"/>
      <c r="AB953" s="305"/>
      <c r="AC953" s="305"/>
      <c r="AD953" s="305"/>
      <c r="AE953" s="131"/>
    </row>
    <row r="954" spans="8:31" ht="14.25">
      <c r="H954" s="129"/>
      <c r="I954" s="129"/>
      <c r="J954" s="129"/>
      <c r="K954" s="304"/>
      <c r="N954" s="487"/>
      <c r="O954" s="305"/>
      <c r="Q954" s="305"/>
      <c r="R954" s="305"/>
      <c r="S954" s="471"/>
      <c r="T954" s="471"/>
      <c r="U954" s="471"/>
      <c r="V954" s="471"/>
      <c r="W954" s="471"/>
      <c r="X954" s="471"/>
      <c r="Y954" s="471"/>
      <c r="Z954" s="305"/>
      <c r="AA954" s="305"/>
      <c r="AB954" s="305"/>
      <c r="AC954" s="305"/>
      <c r="AD954" s="305"/>
      <c r="AE954" s="131"/>
    </row>
    <row r="955" spans="8:31" ht="14.25">
      <c r="H955" s="129"/>
      <c r="I955" s="129"/>
      <c r="J955" s="129"/>
      <c r="K955" s="304"/>
      <c r="N955" s="487"/>
      <c r="O955" s="305"/>
      <c r="Q955" s="305"/>
      <c r="R955" s="305"/>
      <c r="S955" s="471"/>
      <c r="T955" s="471"/>
      <c r="U955" s="471"/>
      <c r="V955" s="471"/>
      <c r="W955" s="471"/>
      <c r="X955" s="471"/>
      <c r="Y955" s="471"/>
      <c r="Z955" s="305"/>
      <c r="AA955" s="305"/>
      <c r="AB955" s="305"/>
      <c r="AC955" s="305"/>
      <c r="AD955" s="305"/>
      <c r="AE955" s="131"/>
    </row>
    <row r="956" spans="8:31" ht="14.25">
      <c r="H956" s="129"/>
      <c r="I956" s="129"/>
      <c r="J956" s="129"/>
      <c r="K956" s="304"/>
      <c r="N956" s="487"/>
      <c r="O956" s="305"/>
      <c r="Q956" s="305"/>
      <c r="R956" s="305"/>
      <c r="S956" s="471"/>
      <c r="T956" s="471"/>
      <c r="U956" s="471"/>
      <c r="V956" s="471"/>
      <c r="W956" s="471"/>
      <c r="X956" s="471"/>
      <c r="Y956" s="471"/>
      <c r="Z956" s="305"/>
      <c r="AA956" s="305"/>
      <c r="AB956" s="305"/>
      <c r="AC956" s="305"/>
      <c r="AD956" s="305"/>
      <c r="AE956" s="131"/>
    </row>
    <row r="957" spans="8:31" ht="14.25">
      <c r="H957" s="129"/>
      <c r="I957" s="129"/>
      <c r="J957" s="129"/>
      <c r="K957" s="304"/>
      <c r="N957" s="487"/>
      <c r="O957" s="305"/>
      <c r="Q957" s="305"/>
      <c r="R957" s="305"/>
      <c r="S957" s="471"/>
      <c r="T957" s="471"/>
      <c r="U957" s="471"/>
      <c r="V957" s="471"/>
      <c r="W957" s="471"/>
      <c r="X957" s="471"/>
      <c r="Y957" s="471"/>
      <c r="Z957" s="305"/>
      <c r="AA957" s="305"/>
      <c r="AB957" s="305"/>
      <c r="AC957" s="305"/>
      <c r="AD957" s="305"/>
      <c r="AE957" s="131"/>
    </row>
    <row r="958" spans="8:31" ht="14.25">
      <c r="H958" s="129"/>
      <c r="I958" s="129"/>
      <c r="J958" s="129"/>
      <c r="K958" s="304"/>
      <c r="N958" s="487"/>
      <c r="O958" s="305"/>
      <c r="Q958" s="305"/>
      <c r="R958" s="305"/>
      <c r="S958" s="471"/>
      <c r="T958" s="471"/>
      <c r="U958" s="471"/>
      <c r="V958" s="471"/>
      <c r="W958" s="471"/>
      <c r="X958" s="471"/>
      <c r="Y958" s="471"/>
      <c r="Z958" s="305"/>
      <c r="AA958" s="305"/>
      <c r="AB958" s="305"/>
      <c r="AC958" s="305"/>
      <c r="AD958" s="305"/>
      <c r="AE958" s="131"/>
    </row>
    <row r="959" spans="8:31" ht="14.25">
      <c r="H959" s="129"/>
      <c r="I959" s="129"/>
      <c r="J959" s="129"/>
      <c r="K959" s="304"/>
      <c r="N959" s="487"/>
      <c r="O959" s="305"/>
      <c r="Q959" s="305"/>
      <c r="R959" s="305"/>
      <c r="S959" s="471"/>
      <c r="T959" s="471"/>
      <c r="U959" s="471"/>
      <c r="V959" s="471"/>
      <c r="W959" s="471"/>
      <c r="X959" s="471"/>
      <c r="Y959" s="471"/>
      <c r="Z959" s="305"/>
      <c r="AA959" s="305"/>
      <c r="AB959" s="305"/>
      <c r="AC959" s="305"/>
      <c r="AD959" s="305"/>
      <c r="AE959" s="131"/>
    </row>
    <row r="960" spans="8:31" ht="14.25">
      <c r="H960" s="129"/>
      <c r="I960" s="129"/>
      <c r="J960" s="129"/>
      <c r="K960" s="304"/>
      <c r="N960" s="487"/>
      <c r="O960" s="305"/>
      <c r="Q960" s="305"/>
      <c r="R960" s="305"/>
      <c r="S960" s="471"/>
      <c r="T960" s="471"/>
      <c r="U960" s="471"/>
      <c r="V960" s="471"/>
      <c r="W960" s="471"/>
      <c r="X960" s="471"/>
      <c r="Y960" s="471"/>
      <c r="Z960" s="305"/>
      <c r="AA960" s="305"/>
      <c r="AB960" s="305"/>
      <c r="AC960" s="305"/>
      <c r="AD960" s="305"/>
      <c r="AE960" s="131"/>
    </row>
    <row r="961" spans="8:31" ht="14.25">
      <c r="H961" s="129"/>
      <c r="I961" s="129"/>
      <c r="J961" s="129"/>
      <c r="K961" s="304"/>
      <c r="N961" s="487"/>
      <c r="O961" s="305"/>
      <c r="Q961" s="305"/>
      <c r="R961" s="305"/>
      <c r="S961" s="471"/>
      <c r="T961" s="471"/>
      <c r="U961" s="471"/>
      <c r="V961" s="471"/>
      <c r="W961" s="471"/>
      <c r="X961" s="471"/>
      <c r="Y961" s="471"/>
      <c r="Z961" s="305"/>
      <c r="AA961" s="305"/>
      <c r="AB961" s="305"/>
      <c r="AC961" s="305"/>
      <c r="AD961" s="305"/>
      <c r="AE961" s="131"/>
    </row>
    <row r="962" spans="8:31" ht="14.25">
      <c r="H962" s="129"/>
      <c r="I962" s="129"/>
      <c r="J962" s="129"/>
      <c r="K962" s="304"/>
      <c r="N962" s="487"/>
      <c r="O962" s="305"/>
      <c r="Q962" s="305"/>
      <c r="R962" s="305"/>
      <c r="S962" s="471"/>
      <c r="T962" s="471"/>
      <c r="U962" s="471"/>
      <c r="V962" s="471"/>
      <c r="W962" s="471"/>
      <c r="X962" s="471"/>
      <c r="Y962" s="471"/>
      <c r="Z962" s="305"/>
      <c r="AA962" s="305"/>
      <c r="AB962" s="305"/>
      <c r="AC962" s="305"/>
      <c r="AD962" s="305"/>
      <c r="AE962" s="131"/>
    </row>
    <row r="963" spans="8:31" ht="14.25">
      <c r="H963" s="129"/>
      <c r="I963" s="129"/>
      <c r="J963" s="129"/>
      <c r="K963" s="304"/>
      <c r="N963" s="487"/>
      <c r="O963" s="305"/>
      <c r="Q963" s="305"/>
      <c r="R963" s="305"/>
      <c r="S963" s="471"/>
      <c r="T963" s="471"/>
      <c r="U963" s="471"/>
      <c r="V963" s="471"/>
      <c r="W963" s="471"/>
      <c r="X963" s="471"/>
      <c r="Y963" s="471"/>
      <c r="Z963" s="305"/>
      <c r="AA963" s="305"/>
      <c r="AB963" s="305"/>
      <c r="AC963" s="305"/>
      <c r="AD963" s="305"/>
      <c r="AE963" s="131"/>
    </row>
    <row r="964" spans="8:31" ht="14.25">
      <c r="H964" s="129"/>
      <c r="I964" s="129"/>
      <c r="J964" s="129"/>
      <c r="K964" s="304"/>
      <c r="N964" s="487"/>
      <c r="O964" s="305"/>
      <c r="Q964" s="305"/>
      <c r="R964" s="305"/>
      <c r="S964" s="471"/>
      <c r="T964" s="471"/>
      <c r="U964" s="471"/>
      <c r="V964" s="471"/>
      <c r="W964" s="471"/>
      <c r="X964" s="471"/>
      <c r="Y964" s="471"/>
      <c r="Z964" s="305"/>
      <c r="AA964" s="305"/>
      <c r="AB964" s="305"/>
      <c r="AC964" s="305"/>
      <c r="AD964" s="305"/>
      <c r="AE964" s="131"/>
    </row>
    <row r="965" spans="8:31" ht="14.25">
      <c r="H965" s="129"/>
      <c r="I965" s="129"/>
      <c r="J965" s="129"/>
      <c r="K965" s="304"/>
      <c r="N965" s="487"/>
      <c r="O965" s="305"/>
      <c r="Q965" s="305"/>
      <c r="R965" s="305"/>
      <c r="S965" s="471"/>
      <c r="T965" s="471"/>
      <c r="U965" s="471"/>
      <c r="V965" s="471"/>
      <c r="W965" s="471"/>
      <c r="X965" s="471"/>
      <c r="Y965" s="471"/>
      <c r="Z965" s="305"/>
      <c r="AA965" s="305"/>
      <c r="AB965" s="305"/>
      <c r="AC965" s="305"/>
      <c r="AD965" s="305"/>
      <c r="AE965" s="131"/>
    </row>
    <row r="966" spans="8:31" ht="14.25">
      <c r="H966" s="129"/>
      <c r="I966" s="129"/>
      <c r="J966" s="129"/>
      <c r="K966" s="304"/>
      <c r="N966" s="487"/>
      <c r="O966" s="305"/>
      <c r="Q966" s="305"/>
      <c r="R966" s="305"/>
      <c r="S966" s="471"/>
      <c r="T966" s="471"/>
      <c r="U966" s="471"/>
      <c r="V966" s="471"/>
      <c r="W966" s="471"/>
      <c r="X966" s="471"/>
      <c r="Y966" s="471"/>
      <c r="Z966" s="305"/>
      <c r="AA966" s="305"/>
      <c r="AB966" s="305"/>
      <c r="AC966" s="305"/>
      <c r="AD966" s="305"/>
      <c r="AE966" s="131"/>
    </row>
    <row r="967" spans="8:31" ht="14.25">
      <c r="H967" s="129"/>
      <c r="I967" s="129"/>
      <c r="J967" s="129"/>
      <c r="K967" s="304"/>
      <c r="N967" s="487"/>
      <c r="O967" s="305"/>
      <c r="Q967" s="305"/>
      <c r="R967" s="305"/>
      <c r="S967" s="471"/>
      <c r="T967" s="471"/>
      <c r="U967" s="471"/>
      <c r="V967" s="471"/>
      <c r="W967" s="471"/>
      <c r="X967" s="471"/>
      <c r="Y967" s="471"/>
      <c r="Z967" s="305"/>
      <c r="AA967" s="305"/>
      <c r="AB967" s="305"/>
      <c r="AC967" s="305"/>
      <c r="AD967" s="305"/>
      <c r="AE967" s="131"/>
    </row>
    <row r="968" spans="8:31" ht="14.25">
      <c r="H968" s="129"/>
      <c r="I968" s="129"/>
      <c r="J968" s="129"/>
      <c r="K968" s="304"/>
      <c r="N968" s="487"/>
      <c r="O968" s="305"/>
      <c r="Q968" s="305"/>
      <c r="R968" s="305"/>
      <c r="S968" s="471"/>
      <c r="T968" s="471"/>
      <c r="U968" s="471"/>
      <c r="V968" s="471"/>
      <c r="W968" s="471"/>
      <c r="X968" s="471"/>
      <c r="Y968" s="471"/>
      <c r="Z968" s="305"/>
      <c r="AA968" s="305"/>
      <c r="AB968" s="305"/>
      <c r="AC968" s="305"/>
      <c r="AD968" s="305"/>
      <c r="AE968" s="131"/>
    </row>
    <row r="969" spans="8:31" ht="14.25">
      <c r="H969" s="129"/>
      <c r="I969" s="129"/>
      <c r="J969" s="129"/>
      <c r="K969" s="304"/>
      <c r="N969" s="487"/>
      <c r="O969" s="305"/>
      <c r="Q969" s="305"/>
      <c r="R969" s="305"/>
      <c r="S969" s="471"/>
      <c r="T969" s="471"/>
      <c r="U969" s="471"/>
      <c r="V969" s="471"/>
      <c r="W969" s="471"/>
      <c r="X969" s="471"/>
      <c r="Y969" s="471"/>
      <c r="Z969" s="305"/>
      <c r="AA969" s="305"/>
      <c r="AB969" s="305"/>
      <c r="AC969" s="305"/>
      <c r="AD969" s="305"/>
      <c r="AE969" s="131"/>
    </row>
    <row r="970" spans="8:31" ht="14.25">
      <c r="H970" s="129"/>
      <c r="I970" s="129"/>
      <c r="J970" s="129"/>
      <c r="K970" s="304"/>
      <c r="N970" s="487"/>
      <c r="O970" s="305"/>
      <c r="Q970" s="305"/>
      <c r="R970" s="305"/>
      <c r="S970" s="471"/>
      <c r="T970" s="471"/>
      <c r="U970" s="471"/>
      <c r="V970" s="471"/>
      <c r="W970" s="471"/>
      <c r="X970" s="471"/>
      <c r="Y970" s="471"/>
      <c r="Z970" s="305"/>
      <c r="AA970" s="305"/>
      <c r="AB970" s="305"/>
      <c r="AC970" s="305"/>
      <c r="AD970" s="305"/>
      <c r="AE970" s="131"/>
    </row>
    <row r="971" spans="8:31" ht="14.25">
      <c r="H971" s="129"/>
      <c r="I971" s="129"/>
      <c r="J971" s="129"/>
      <c r="K971" s="304"/>
      <c r="N971" s="487"/>
      <c r="O971" s="305"/>
      <c r="Q971" s="305"/>
      <c r="R971" s="305"/>
      <c r="S971" s="471"/>
      <c r="T971" s="471"/>
      <c r="U971" s="471"/>
      <c r="V971" s="471"/>
      <c r="W971" s="471"/>
      <c r="X971" s="471"/>
      <c r="Y971" s="471"/>
      <c r="Z971" s="305"/>
      <c r="AA971" s="305"/>
      <c r="AB971" s="305"/>
      <c r="AC971" s="305"/>
      <c r="AD971" s="305"/>
      <c r="AE971" s="131"/>
    </row>
    <row r="972" spans="8:31" ht="14.25">
      <c r="H972" s="129"/>
      <c r="I972" s="129"/>
      <c r="J972" s="129"/>
      <c r="K972" s="304"/>
      <c r="N972" s="487"/>
      <c r="O972" s="305"/>
      <c r="Q972" s="305"/>
      <c r="R972" s="305"/>
      <c r="S972" s="471"/>
      <c r="T972" s="471"/>
      <c r="U972" s="471"/>
      <c r="V972" s="471"/>
      <c r="W972" s="471"/>
      <c r="X972" s="471"/>
      <c r="Y972" s="471"/>
      <c r="Z972" s="305"/>
      <c r="AA972" s="305"/>
      <c r="AB972" s="305"/>
      <c r="AC972" s="305"/>
      <c r="AD972" s="305"/>
      <c r="AE972" s="131"/>
    </row>
    <row r="973" spans="8:31" ht="14.25">
      <c r="H973" s="129"/>
      <c r="I973" s="129"/>
      <c r="J973" s="129"/>
      <c r="K973" s="304"/>
      <c r="N973" s="487"/>
      <c r="O973" s="305"/>
      <c r="Q973" s="305"/>
      <c r="R973" s="305"/>
      <c r="S973" s="471"/>
      <c r="T973" s="471"/>
      <c r="U973" s="471"/>
      <c r="V973" s="471"/>
      <c r="W973" s="471"/>
      <c r="X973" s="471"/>
      <c r="Y973" s="471"/>
      <c r="Z973" s="305"/>
      <c r="AA973" s="305"/>
      <c r="AB973" s="305"/>
      <c r="AC973" s="305"/>
      <c r="AD973" s="305"/>
      <c r="AE973" s="131"/>
    </row>
    <row r="974" spans="8:31" ht="14.25">
      <c r="H974" s="129"/>
      <c r="I974" s="129"/>
      <c r="J974" s="129"/>
      <c r="K974" s="304"/>
      <c r="N974" s="487"/>
      <c r="O974" s="305"/>
      <c r="Q974" s="305"/>
      <c r="R974" s="305"/>
      <c r="S974" s="471"/>
      <c r="T974" s="471"/>
      <c r="U974" s="471"/>
      <c r="V974" s="471"/>
      <c r="W974" s="471"/>
      <c r="X974" s="471"/>
      <c r="Y974" s="471"/>
      <c r="Z974" s="305"/>
      <c r="AA974" s="305"/>
      <c r="AB974" s="305"/>
      <c r="AC974" s="305"/>
      <c r="AD974" s="305"/>
      <c r="AE974" s="131"/>
    </row>
    <row r="975" spans="8:31" ht="14.25">
      <c r="H975" s="129"/>
      <c r="I975" s="129"/>
      <c r="J975" s="129"/>
      <c r="K975" s="304"/>
      <c r="N975" s="487"/>
      <c r="O975" s="305"/>
      <c r="Q975" s="305"/>
      <c r="R975" s="305"/>
      <c r="S975" s="471"/>
      <c r="T975" s="471"/>
      <c r="U975" s="471"/>
      <c r="V975" s="471"/>
      <c r="W975" s="471"/>
      <c r="X975" s="471"/>
      <c r="Y975" s="471"/>
      <c r="Z975" s="305"/>
      <c r="AA975" s="305"/>
      <c r="AB975" s="305"/>
      <c r="AC975" s="305"/>
      <c r="AD975" s="305"/>
      <c r="AE975" s="131"/>
    </row>
    <row r="976" spans="8:31" ht="14.25">
      <c r="H976" s="129"/>
      <c r="I976" s="129"/>
      <c r="J976" s="129"/>
      <c r="K976" s="304"/>
      <c r="N976" s="487"/>
      <c r="O976" s="305"/>
      <c r="Q976" s="305"/>
      <c r="R976" s="305"/>
      <c r="S976" s="471"/>
      <c r="T976" s="471"/>
      <c r="U976" s="471"/>
      <c r="V976" s="471"/>
      <c r="W976" s="471"/>
      <c r="X976" s="471"/>
      <c r="Y976" s="471"/>
      <c r="Z976" s="305"/>
      <c r="AA976" s="305"/>
      <c r="AB976" s="305"/>
      <c r="AC976" s="305"/>
      <c r="AD976" s="305"/>
      <c r="AE976" s="131"/>
    </row>
    <row r="977" spans="8:31" ht="14.25">
      <c r="H977" s="129"/>
      <c r="I977" s="129"/>
      <c r="J977" s="129"/>
      <c r="K977" s="304"/>
      <c r="N977" s="487"/>
      <c r="O977" s="305"/>
      <c r="Q977" s="305"/>
      <c r="R977" s="305"/>
      <c r="S977" s="471"/>
      <c r="T977" s="471"/>
      <c r="U977" s="471"/>
      <c r="V977" s="471"/>
      <c r="W977" s="471"/>
      <c r="X977" s="471"/>
      <c r="Y977" s="471"/>
      <c r="Z977" s="305"/>
      <c r="AA977" s="305"/>
      <c r="AB977" s="305"/>
      <c r="AC977" s="305"/>
      <c r="AD977" s="305"/>
      <c r="AE977" s="131"/>
    </row>
    <row r="978" spans="8:31" ht="14.25">
      <c r="H978" s="129"/>
      <c r="I978" s="129"/>
      <c r="J978" s="129"/>
      <c r="K978" s="304"/>
      <c r="N978" s="487"/>
      <c r="O978" s="305"/>
      <c r="Q978" s="305"/>
      <c r="R978" s="305"/>
      <c r="S978" s="471"/>
      <c r="T978" s="471"/>
      <c r="U978" s="471"/>
      <c r="V978" s="471"/>
      <c r="W978" s="471"/>
      <c r="X978" s="471"/>
      <c r="Y978" s="471"/>
      <c r="Z978" s="305"/>
      <c r="AA978" s="305"/>
      <c r="AB978" s="305"/>
      <c r="AC978" s="305"/>
      <c r="AD978" s="305"/>
      <c r="AE978" s="131"/>
    </row>
    <row r="979" spans="8:31" ht="14.25">
      <c r="H979" s="129"/>
      <c r="I979" s="129"/>
      <c r="J979" s="129"/>
      <c r="K979" s="304"/>
      <c r="N979" s="487"/>
      <c r="O979" s="305"/>
      <c r="Q979" s="305"/>
      <c r="R979" s="305"/>
      <c r="S979" s="471"/>
      <c r="T979" s="471"/>
      <c r="U979" s="471"/>
      <c r="V979" s="471"/>
      <c r="W979" s="471"/>
      <c r="X979" s="471"/>
      <c r="Y979" s="471"/>
      <c r="Z979" s="305"/>
      <c r="AA979" s="305"/>
      <c r="AB979" s="305"/>
      <c r="AC979" s="305"/>
      <c r="AD979" s="305"/>
      <c r="AE979" s="131"/>
    </row>
    <row r="980" spans="8:31" ht="14.25">
      <c r="H980" s="129"/>
      <c r="I980" s="129"/>
      <c r="J980" s="129"/>
      <c r="K980" s="304"/>
      <c r="N980" s="487"/>
      <c r="O980" s="305"/>
      <c r="Q980" s="305"/>
      <c r="R980" s="305"/>
      <c r="S980" s="471"/>
      <c r="T980" s="471"/>
      <c r="U980" s="471"/>
      <c r="V980" s="471"/>
      <c r="W980" s="471"/>
      <c r="X980" s="471"/>
      <c r="Y980" s="471"/>
      <c r="Z980" s="305"/>
      <c r="AA980" s="305"/>
      <c r="AB980" s="305"/>
      <c r="AC980" s="305"/>
      <c r="AD980" s="305"/>
      <c r="AE980" s="131"/>
    </row>
    <row r="981" spans="8:31" ht="14.25">
      <c r="H981" s="129"/>
      <c r="I981" s="129"/>
      <c r="J981" s="129"/>
      <c r="K981" s="304"/>
      <c r="N981" s="487"/>
      <c r="O981" s="305"/>
      <c r="Q981" s="305"/>
      <c r="R981" s="305"/>
      <c r="S981" s="471"/>
      <c r="T981" s="471"/>
      <c r="U981" s="471"/>
      <c r="V981" s="471"/>
      <c r="W981" s="471"/>
      <c r="X981" s="471"/>
      <c r="Y981" s="471"/>
      <c r="Z981" s="305"/>
      <c r="AA981" s="305"/>
      <c r="AB981" s="305"/>
      <c r="AC981" s="305"/>
      <c r="AD981" s="305"/>
      <c r="AE981" s="131"/>
    </row>
    <row r="982" spans="8:31" ht="14.25">
      <c r="H982" s="129"/>
      <c r="I982" s="129"/>
      <c r="J982" s="129"/>
      <c r="K982" s="304"/>
      <c r="N982" s="487"/>
      <c r="O982" s="305"/>
      <c r="Q982" s="305"/>
      <c r="R982" s="305"/>
      <c r="S982" s="471"/>
      <c r="T982" s="471"/>
      <c r="U982" s="471"/>
      <c r="V982" s="471"/>
      <c r="W982" s="471"/>
      <c r="X982" s="471"/>
      <c r="Y982" s="471"/>
      <c r="Z982" s="305"/>
      <c r="AA982" s="305"/>
      <c r="AB982" s="305"/>
      <c r="AC982" s="305"/>
      <c r="AD982" s="305"/>
      <c r="AE982" s="131"/>
    </row>
    <row r="983" spans="8:31" ht="14.25">
      <c r="H983" s="129"/>
      <c r="I983" s="129"/>
      <c r="J983" s="129"/>
      <c r="K983" s="304"/>
      <c r="N983" s="487"/>
      <c r="O983" s="305"/>
      <c r="Q983" s="305"/>
      <c r="R983" s="305"/>
      <c r="S983" s="471"/>
      <c r="T983" s="471"/>
      <c r="U983" s="471"/>
      <c r="V983" s="471"/>
      <c r="W983" s="471"/>
      <c r="X983" s="471"/>
      <c r="Y983" s="471"/>
      <c r="Z983" s="305"/>
      <c r="AA983" s="305"/>
      <c r="AB983" s="305"/>
      <c r="AC983" s="305"/>
      <c r="AD983" s="305"/>
      <c r="AE983" s="131"/>
    </row>
    <row r="984" spans="8:31" ht="14.25">
      <c r="H984" s="129"/>
      <c r="I984" s="129"/>
      <c r="J984" s="129"/>
      <c r="K984" s="304"/>
      <c r="N984" s="487"/>
      <c r="O984" s="305"/>
      <c r="Q984" s="305"/>
      <c r="R984" s="305"/>
      <c r="S984" s="471"/>
      <c r="T984" s="471"/>
      <c r="U984" s="471"/>
      <c r="V984" s="471"/>
      <c r="W984" s="471"/>
      <c r="X984" s="471"/>
      <c r="Y984" s="471"/>
      <c r="Z984" s="305"/>
      <c r="AA984" s="305"/>
      <c r="AB984" s="305"/>
      <c r="AC984" s="305"/>
      <c r="AD984" s="305"/>
      <c r="AE984" s="131"/>
    </row>
    <row r="985" spans="8:31" ht="14.25">
      <c r="H985" s="129"/>
      <c r="I985" s="129"/>
      <c r="J985" s="129"/>
      <c r="K985" s="304"/>
      <c r="N985" s="487"/>
      <c r="O985" s="305"/>
      <c r="Q985" s="305"/>
      <c r="R985" s="305"/>
      <c r="S985" s="471"/>
      <c r="T985" s="471"/>
      <c r="U985" s="471"/>
      <c r="V985" s="471"/>
      <c r="W985" s="471"/>
      <c r="X985" s="471"/>
      <c r="Y985" s="471"/>
      <c r="Z985" s="305"/>
      <c r="AA985" s="305"/>
      <c r="AB985" s="305"/>
      <c r="AC985" s="305"/>
      <c r="AD985" s="305"/>
      <c r="AE985" s="131"/>
    </row>
    <row r="986" spans="8:31" ht="14.25">
      <c r="H986" s="129"/>
      <c r="I986" s="129"/>
      <c r="J986" s="129"/>
      <c r="K986" s="304"/>
      <c r="N986" s="487"/>
      <c r="O986" s="305"/>
      <c r="Q986" s="305"/>
      <c r="R986" s="305"/>
      <c r="S986" s="471"/>
      <c r="T986" s="471"/>
      <c r="U986" s="471"/>
      <c r="V986" s="471"/>
      <c r="W986" s="471"/>
      <c r="X986" s="471"/>
      <c r="Y986" s="471"/>
      <c r="Z986" s="305"/>
      <c r="AA986" s="305"/>
      <c r="AB986" s="305"/>
      <c r="AC986" s="305"/>
      <c r="AD986" s="305"/>
      <c r="AE986" s="131"/>
    </row>
    <row r="987" spans="8:31" ht="14.25">
      <c r="H987" s="129"/>
      <c r="I987" s="129"/>
      <c r="J987" s="129"/>
      <c r="K987" s="304"/>
      <c r="N987" s="487"/>
      <c r="O987" s="305"/>
      <c r="Q987" s="305"/>
      <c r="R987" s="305"/>
      <c r="S987" s="471"/>
      <c r="T987" s="471"/>
      <c r="U987" s="471"/>
      <c r="V987" s="471"/>
      <c r="W987" s="471"/>
      <c r="X987" s="471"/>
      <c r="Y987" s="471"/>
      <c r="Z987" s="305"/>
      <c r="AA987" s="305"/>
      <c r="AB987" s="305"/>
      <c r="AC987" s="305"/>
      <c r="AD987" s="305"/>
      <c r="AE987" s="131"/>
    </row>
    <row r="988" spans="8:31" ht="14.25">
      <c r="H988" s="129"/>
      <c r="I988" s="129"/>
      <c r="J988" s="129"/>
      <c r="K988" s="304"/>
      <c r="N988" s="487"/>
      <c r="O988" s="305"/>
      <c r="Q988" s="305"/>
      <c r="R988" s="305"/>
      <c r="S988" s="471"/>
      <c r="T988" s="471"/>
      <c r="U988" s="471"/>
      <c r="V988" s="471"/>
      <c r="W988" s="471"/>
      <c r="X988" s="471"/>
      <c r="Y988" s="471"/>
      <c r="Z988" s="305"/>
      <c r="AA988" s="305"/>
      <c r="AB988" s="305"/>
      <c r="AC988" s="305"/>
      <c r="AD988" s="305"/>
      <c r="AE988" s="131"/>
    </row>
    <row r="989" spans="8:31" ht="14.25">
      <c r="H989" s="129"/>
      <c r="I989" s="129"/>
      <c r="J989" s="129"/>
      <c r="K989" s="304"/>
      <c r="N989" s="487"/>
      <c r="O989" s="305"/>
      <c r="Q989" s="305"/>
      <c r="R989" s="305"/>
      <c r="S989" s="471"/>
      <c r="T989" s="471"/>
      <c r="U989" s="471"/>
      <c r="V989" s="471"/>
      <c r="W989" s="471"/>
      <c r="X989" s="471"/>
      <c r="Y989" s="471"/>
      <c r="Z989" s="305"/>
      <c r="AA989" s="305"/>
      <c r="AB989" s="305"/>
      <c r="AC989" s="305"/>
      <c r="AD989" s="305"/>
      <c r="AE989" s="131"/>
    </row>
    <row r="990" spans="8:31" ht="14.25">
      <c r="H990" s="129"/>
      <c r="I990" s="129"/>
      <c r="J990" s="129"/>
      <c r="K990" s="304"/>
      <c r="N990" s="487"/>
      <c r="O990" s="305"/>
      <c r="Q990" s="305"/>
      <c r="R990" s="305"/>
      <c r="S990" s="471"/>
      <c r="T990" s="471"/>
      <c r="U990" s="471"/>
      <c r="V990" s="471"/>
      <c r="W990" s="471"/>
      <c r="X990" s="471"/>
      <c r="Y990" s="471"/>
      <c r="Z990" s="305"/>
      <c r="AA990" s="305"/>
      <c r="AB990" s="305"/>
      <c r="AC990" s="305"/>
      <c r="AD990" s="305"/>
      <c r="AE990" s="131"/>
    </row>
    <row r="991" spans="8:31" ht="14.25">
      <c r="H991" s="129"/>
      <c r="I991" s="129"/>
      <c r="J991" s="129"/>
      <c r="K991" s="304"/>
      <c r="N991" s="487"/>
      <c r="O991" s="305"/>
      <c r="Q991" s="305"/>
      <c r="R991" s="305"/>
      <c r="S991" s="471"/>
      <c r="T991" s="471"/>
      <c r="U991" s="471"/>
      <c r="V991" s="471"/>
      <c r="W991" s="471"/>
      <c r="X991" s="471"/>
      <c r="Y991" s="471"/>
      <c r="Z991" s="305"/>
      <c r="AA991" s="305"/>
      <c r="AB991" s="305"/>
      <c r="AC991" s="305"/>
      <c r="AD991" s="305"/>
      <c r="AE991" s="131"/>
    </row>
    <row r="992" spans="8:31" ht="14.25">
      <c r="H992" s="129"/>
      <c r="I992" s="129"/>
      <c r="J992" s="129"/>
      <c r="K992" s="304"/>
      <c r="N992" s="487"/>
      <c r="O992" s="305"/>
      <c r="Q992" s="305"/>
      <c r="R992" s="305"/>
      <c r="S992" s="471"/>
      <c r="T992" s="471"/>
      <c r="U992" s="471"/>
      <c r="V992" s="471"/>
      <c r="W992" s="471"/>
      <c r="X992" s="471"/>
      <c r="Y992" s="471"/>
      <c r="Z992" s="305"/>
      <c r="AA992" s="305"/>
      <c r="AB992" s="305"/>
      <c r="AC992" s="305"/>
      <c r="AD992" s="305"/>
      <c r="AE992" s="131"/>
    </row>
    <row r="993" spans="8:31" ht="14.25">
      <c r="H993" s="129"/>
      <c r="I993" s="129"/>
      <c r="J993" s="129"/>
      <c r="K993" s="304"/>
      <c r="N993" s="487"/>
      <c r="O993" s="305"/>
      <c r="Q993" s="305"/>
      <c r="R993" s="305"/>
      <c r="S993" s="471"/>
      <c r="T993" s="471"/>
      <c r="U993" s="471"/>
      <c r="V993" s="471"/>
      <c r="W993" s="471"/>
      <c r="X993" s="471"/>
      <c r="Y993" s="471"/>
      <c r="Z993" s="305"/>
      <c r="AA993" s="305"/>
      <c r="AB993" s="305"/>
      <c r="AC993" s="305"/>
      <c r="AD993" s="305"/>
      <c r="AE993" s="131"/>
    </row>
    <row r="994" spans="8:31" ht="14.25">
      <c r="H994" s="129"/>
      <c r="I994" s="129"/>
      <c r="J994" s="129"/>
      <c r="K994" s="304"/>
      <c r="N994" s="487"/>
      <c r="O994" s="305"/>
      <c r="Q994" s="305"/>
      <c r="R994" s="305"/>
      <c r="S994" s="471"/>
      <c r="T994" s="471"/>
      <c r="U994" s="471"/>
      <c r="V994" s="471"/>
      <c r="W994" s="471"/>
      <c r="X994" s="471"/>
      <c r="Y994" s="471"/>
      <c r="Z994" s="305"/>
      <c r="AA994" s="305"/>
      <c r="AB994" s="305"/>
      <c r="AC994" s="305"/>
      <c r="AD994" s="305"/>
      <c r="AE994" s="131"/>
    </row>
    <row r="995" spans="8:31" ht="14.25">
      <c r="H995" s="129"/>
      <c r="I995" s="129"/>
      <c r="J995" s="129"/>
      <c r="K995" s="304"/>
      <c r="N995" s="487"/>
      <c r="O995" s="305"/>
      <c r="Q995" s="305"/>
      <c r="R995" s="305"/>
      <c r="S995" s="471"/>
      <c r="T995" s="471"/>
      <c r="U995" s="471"/>
      <c r="V995" s="471"/>
      <c r="W995" s="471"/>
      <c r="X995" s="471"/>
      <c r="Y995" s="471"/>
      <c r="Z995" s="305"/>
      <c r="AA995" s="305"/>
      <c r="AB995" s="305"/>
      <c r="AC995" s="305"/>
      <c r="AD995" s="305"/>
      <c r="AE995" s="131"/>
    </row>
    <row r="996" spans="8:31" ht="14.25">
      <c r="H996" s="129"/>
      <c r="I996" s="129"/>
      <c r="J996" s="129"/>
      <c r="K996" s="304"/>
      <c r="N996" s="487"/>
      <c r="O996" s="305"/>
      <c r="Q996" s="305"/>
      <c r="R996" s="305"/>
      <c r="S996" s="471"/>
      <c r="T996" s="471"/>
      <c r="U996" s="471"/>
      <c r="V996" s="471"/>
      <c r="W996" s="471"/>
      <c r="X996" s="471"/>
      <c r="Y996" s="471"/>
      <c r="Z996" s="305"/>
      <c r="AA996" s="305"/>
      <c r="AB996" s="305"/>
      <c r="AC996" s="305"/>
      <c r="AD996" s="305"/>
      <c r="AE996" s="131"/>
    </row>
    <row r="997" spans="8:31" ht="14.25">
      <c r="H997" s="129"/>
      <c r="I997" s="129"/>
      <c r="J997" s="129"/>
      <c r="K997" s="304"/>
      <c r="N997" s="487"/>
      <c r="O997" s="305"/>
      <c r="Q997" s="305"/>
      <c r="R997" s="305"/>
      <c r="S997" s="471"/>
      <c r="T997" s="471"/>
      <c r="U997" s="471"/>
      <c r="V997" s="471"/>
      <c r="W997" s="471"/>
      <c r="X997" s="471"/>
      <c r="Y997" s="471"/>
      <c r="Z997" s="305"/>
      <c r="AA997" s="305"/>
      <c r="AB997" s="305"/>
      <c r="AC997" s="305"/>
      <c r="AD997" s="305"/>
      <c r="AE997" s="131"/>
    </row>
    <row r="998" spans="8:31" ht="14.25">
      <c r="H998" s="129"/>
      <c r="I998" s="129"/>
      <c r="J998" s="129"/>
      <c r="K998" s="304"/>
      <c r="N998" s="487"/>
      <c r="O998" s="305"/>
      <c r="Q998" s="305"/>
      <c r="R998" s="305"/>
      <c r="S998" s="471"/>
      <c r="T998" s="471"/>
      <c r="U998" s="471"/>
      <c r="V998" s="471"/>
      <c r="W998" s="471"/>
      <c r="X998" s="471"/>
      <c r="Y998" s="471"/>
      <c r="Z998" s="305"/>
      <c r="AA998" s="305"/>
      <c r="AB998" s="305"/>
      <c r="AC998" s="305"/>
      <c r="AD998" s="305"/>
      <c r="AE998" s="131"/>
    </row>
    <row r="999" spans="8:31" ht="14.25">
      <c r="H999" s="129"/>
      <c r="I999" s="129"/>
      <c r="J999" s="129"/>
      <c r="K999" s="304"/>
      <c r="N999" s="487"/>
      <c r="O999" s="305"/>
      <c r="Q999" s="305"/>
      <c r="R999" s="305"/>
      <c r="S999" s="471"/>
      <c r="T999" s="471"/>
      <c r="U999" s="471"/>
      <c r="V999" s="471"/>
      <c r="W999" s="471"/>
      <c r="X999" s="471"/>
      <c r="Y999" s="471"/>
      <c r="Z999" s="305"/>
      <c r="AA999" s="305"/>
      <c r="AB999" s="305"/>
      <c r="AC999" s="305"/>
      <c r="AD999" s="305"/>
      <c r="AE999" s="131"/>
    </row>
    <row r="1000" spans="8:31" ht="14.25">
      <c r="H1000" s="129"/>
      <c r="I1000" s="129"/>
      <c r="J1000" s="129"/>
      <c r="K1000" s="304"/>
      <c r="N1000" s="487"/>
      <c r="O1000" s="305"/>
      <c r="Q1000" s="305"/>
      <c r="R1000" s="305"/>
      <c r="S1000" s="471"/>
      <c r="T1000" s="471"/>
      <c r="U1000" s="471"/>
      <c r="V1000" s="471"/>
      <c r="W1000" s="471"/>
      <c r="X1000" s="471"/>
      <c r="Y1000" s="471"/>
      <c r="Z1000" s="305"/>
      <c r="AA1000" s="305"/>
      <c r="AB1000" s="305"/>
      <c r="AC1000" s="305"/>
      <c r="AD1000" s="305"/>
      <c r="AE1000" s="131"/>
    </row>
    <row r="1001" spans="8:31" ht="14.25">
      <c r="H1001" s="129"/>
      <c r="I1001" s="129"/>
      <c r="J1001" s="129"/>
      <c r="K1001" s="304"/>
      <c r="N1001" s="487"/>
      <c r="O1001" s="305"/>
      <c r="Q1001" s="305"/>
      <c r="R1001" s="305"/>
      <c r="S1001" s="471"/>
      <c r="T1001" s="471"/>
      <c r="U1001" s="471"/>
      <c r="V1001" s="471"/>
      <c r="W1001" s="471"/>
      <c r="X1001" s="471"/>
      <c r="Y1001" s="471"/>
      <c r="Z1001" s="305"/>
      <c r="AA1001" s="305"/>
      <c r="AB1001" s="305"/>
      <c r="AC1001" s="305"/>
      <c r="AD1001" s="305"/>
      <c r="AE1001" s="131"/>
    </row>
    <row r="1002" spans="8:31" ht="14.25">
      <c r="H1002" s="129"/>
      <c r="I1002" s="129"/>
      <c r="J1002" s="129"/>
      <c r="K1002" s="304"/>
      <c r="N1002" s="487"/>
      <c r="O1002" s="305"/>
      <c r="Q1002" s="305"/>
      <c r="R1002" s="305"/>
      <c r="S1002" s="471"/>
      <c r="T1002" s="471"/>
      <c r="U1002" s="471"/>
      <c r="V1002" s="471"/>
      <c r="W1002" s="471"/>
      <c r="X1002" s="471"/>
      <c r="Y1002" s="471"/>
      <c r="Z1002" s="305"/>
      <c r="AA1002" s="305"/>
      <c r="AB1002" s="305"/>
      <c r="AC1002" s="305"/>
      <c r="AD1002" s="305"/>
      <c r="AE1002" s="131"/>
    </row>
    <row r="1003" spans="8:31" ht="14.25">
      <c r="H1003" s="129"/>
      <c r="I1003" s="129"/>
      <c r="J1003" s="129"/>
      <c r="K1003" s="304"/>
      <c r="N1003" s="487"/>
      <c r="O1003" s="305"/>
      <c r="Q1003" s="305"/>
      <c r="R1003" s="305"/>
      <c r="S1003" s="471"/>
      <c r="T1003" s="471"/>
      <c r="U1003" s="471"/>
      <c r="V1003" s="471"/>
      <c r="W1003" s="471"/>
      <c r="X1003" s="471"/>
      <c r="Y1003" s="471"/>
      <c r="Z1003" s="305"/>
      <c r="AA1003" s="305"/>
      <c r="AB1003" s="305"/>
      <c r="AC1003" s="305"/>
      <c r="AD1003" s="305"/>
      <c r="AE1003" s="131"/>
    </row>
    <row r="1004" spans="8:31" ht="14.25">
      <c r="H1004" s="129"/>
      <c r="I1004" s="129"/>
      <c r="J1004" s="129"/>
      <c r="K1004" s="304"/>
      <c r="N1004" s="487"/>
      <c r="O1004" s="305"/>
      <c r="Q1004" s="305"/>
      <c r="R1004" s="305"/>
      <c r="S1004" s="471"/>
      <c r="T1004" s="471"/>
      <c r="U1004" s="471"/>
      <c r="V1004" s="471"/>
      <c r="W1004" s="471"/>
      <c r="X1004" s="471"/>
      <c r="Y1004" s="471"/>
      <c r="Z1004" s="305"/>
      <c r="AA1004" s="305"/>
      <c r="AB1004" s="305"/>
      <c r="AC1004" s="305"/>
      <c r="AD1004" s="305"/>
      <c r="AE1004" s="131"/>
    </row>
    <row r="1005" spans="8:31" ht="14.25">
      <c r="H1005" s="129"/>
      <c r="I1005" s="129"/>
      <c r="J1005" s="129"/>
      <c r="K1005" s="304"/>
      <c r="N1005" s="487"/>
      <c r="O1005" s="305"/>
      <c r="Q1005" s="305"/>
      <c r="R1005" s="305"/>
      <c r="S1005" s="471"/>
      <c r="T1005" s="471"/>
      <c r="U1005" s="471"/>
      <c r="V1005" s="471"/>
      <c r="W1005" s="471"/>
      <c r="X1005" s="471"/>
      <c r="Y1005" s="471"/>
      <c r="Z1005" s="305"/>
      <c r="AA1005" s="305"/>
      <c r="AB1005" s="305"/>
      <c r="AC1005" s="305"/>
      <c r="AD1005" s="305"/>
      <c r="AE1005" s="131"/>
    </row>
    <row r="1006" spans="8:31" ht="14.25">
      <c r="H1006" s="129"/>
      <c r="I1006" s="129"/>
      <c r="J1006" s="129"/>
      <c r="K1006" s="304"/>
      <c r="N1006" s="487"/>
      <c r="O1006" s="305"/>
      <c r="Q1006" s="305"/>
      <c r="R1006" s="305"/>
      <c r="S1006" s="471"/>
      <c r="T1006" s="471"/>
      <c r="U1006" s="471"/>
      <c r="V1006" s="471"/>
      <c r="W1006" s="471"/>
      <c r="X1006" s="471"/>
      <c r="Y1006" s="471"/>
      <c r="Z1006" s="305"/>
      <c r="AA1006" s="305"/>
      <c r="AB1006" s="305"/>
      <c r="AC1006" s="305"/>
      <c r="AD1006" s="305"/>
      <c r="AE1006" s="131"/>
    </row>
    <row r="1007" spans="8:31" ht="14.25">
      <c r="H1007" s="129"/>
      <c r="I1007" s="129"/>
      <c r="J1007" s="129"/>
      <c r="K1007" s="304"/>
      <c r="N1007" s="487"/>
      <c r="O1007" s="305"/>
      <c r="Q1007" s="305"/>
      <c r="R1007" s="305"/>
      <c r="S1007" s="471"/>
      <c r="T1007" s="471"/>
      <c r="U1007" s="471"/>
      <c r="V1007" s="471"/>
      <c r="W1007" s="471"/>
      <c r="X1007" s="471"/>
      <c r="Y1007" s="471"/>
      <c r="Z1007" s="305"/>
      <c r="AA1007" s="305"/>
      <c r="AB1007" s="305"/>
      <c r="AC1007" s="305"/>
      <c r="AD1007" s="305"/>
      <c r="AE1007" s="131"/>
    </row>
    <row r="1008" spans="8:31" ht="14.25">
      <c r="H1008" s="129"/>
      <c r="I1008" s="129"/>
      <c r="J1008" s="129"/>
      <c r="K1008" s="304"/>
      <c r="N1008" s="487"/>
      <c r="O1008" s="305"/>
      <c r="Q1008" s="305"/>
      <c r="R1008" s="305"/>
      <c r="S1008" s="471"/>
      <c r="T1008" s="471"/>
      <c r="U1008" s="471"/>
      <c r="V1008" s="471"/>
      <c r="W1008" s="471"/>
      <c r="X1008" s="471"/>
      <c r="Y1008" s="471"/>
      <c r="Z1008" s="305"/>
      <c r="AA1008" s="305"/>
      <c r="AB1008" s="305"/>
      <c r="AC1008" s="305"/>
      <c r="AD1008" s="305"/>
      <c r="AE1008" s="131"/>
    </row>
    <row r="1009" spans="8:31" ht="14.25">
      <c r="H1009" s="129"/>
      <c r="I1009" s="129"/>
      <c r="J1009" s="129"/>
      <c r="K1009" s="304"/>
      <c r="N1009" s="487"/>
      <c r="O1009" s="305"/>
      <c r="Q1009" s="305"/>
      <c r="R1009" s="305"/>
      <c r="S1009" s="471"/>
      <c r="T1009" s="471"/>
      <c r="U1009" s="471"/>
      <c r="V1009" s="471"/>
      <c r="W1009" s="471"/>
      <c r="X1009" s="471"/>
      <c r="Y1009" s="471"/>
      <c r="Z1009" s="305"/>
      <c r="AA1009" s="305"/>
      <c r="AB1009" s="305"/>
      <c r="AC1009" s="305"/>
      <c r="AD1009" s="305"/>
      <c r="AE1009" s="131"/>
    </row>
    <row r="1010" spans="8:31" ht="14.25">
      <c r="H1010" s="129"/>
      <c r="I1010" s="129"/>
      <c r="J1010" s="129"/>
      <c r="K1010" s="304"/>
      <c r="N1010" s="487"/>
      <c r="O1010" s="305"/>
      <c r="Q1010" s="305"/>
      <c r="R1010" s="305"/>
      <c r="S1010" s="471"/>
      <c r="T1010" s="471"/>
      <c r="U1010" s="471"/>
      <c r="V1010" s="471"/>
      <c r="W1010" s="471"/>
      <c r="X1010" s="471"/>
      <c r="Y1010" s="471"/>
      <c r="Z1010" s="305"/>
      <c r="AA1010" s="305"/>
      <c r="AB1010" s="305"/>
      <c r="AC1010" s="305"/>
      <c r="AD1010" s="305"/>
      <c r="AE1010" s="131"/>
    </row>
    <row r="1011" spans="8:31" ht="14.25">
      <c r="H1011" s="129"/>
      <c r="I1011" s="129"/>
      <c r="J1011" s="129"/>
      <c r="K1011" s="304"/>
      <c r="N1011" s="487"/>
      <c r="O1011" s="305"/>
      <c r="Q1011" s="305"/>
      <c r="R1011" s="305"/>
      <c r="S1011" s="471"/>
      <c r="T1011" s="471"/>
      <c r="U1011" s="471"/>
      <c r="V1011" s="471"/>
      <c r="W1011" s="471"/>
      <c r="X1011" s="471"/>
      <c r="Y1011" s="471"/>
      <c r="Z1011" s="305"/>
      <c r="AA1011" s="305"/>
      <c r="AB1011" s="305"/>
      <c r="AC1011" s="305"/>
      <c r="AD1011" s="305"/>
      <c r="AE1011" s="131"/>
    </row>
    <row r="1012" spans="8:31" ht="14.25">
      <c r="H1012" s="129"/>
      <c r="I1012" s="129"/>
      <c r="J1012" s="129"/>
      <c r="K1012" s="304"/>
      <c r="N1012" s="487"/>
      <c r="O1012" s="305"/>
      <c r="Q1012" s="305"/>
      <c r="R1012" s="305"/>
      <c r="S1012" s="471"/>
      <c r="T1012" s="471"/>
      <c r="U1012" s="471"/>
      <c r="V1012" s="471"/>
      <c r="W1012" s="471"/>
      <c r="X1012" s="471"/>
      <c r="Y1012" s="471"/>
      <c r="Z1012" s="305"/>
      <c r="AA1012" s="305"/>
      <c r="AB1012" s="305"/>
      <c r="AC1012" s="305"/>
      <c r="AD1012" s="305"/>
      <c r="AE1012" s="131"/>
    </row>
    <row r="1013" spans="8:31" ht="14.25">
      <c r="H1013" s="129"/>
      <c r="I1013" s="129"/>
      <c r="J1013" s="129"/>
      <c r="K1013" s="304"/>
      <c r="N1013" s="487"/>
      <c r="O1013" s="305"/>
      <c r="Q1013" s="305"/>
      <c r="R1013" s="305"/>
      <c r="S1013" s="471"/>
      <c r="T1013" s="471"/>
      <c r="U1013" s="471"/>
      <c r="V1013" s="471"/>
      <c r="W1013" s="471"/>
      <c r="X1013" s="471"/>
      <c r="Y1013" s="471"/>
      <c r="Z1013" s="305"/>
      <c r="AA1013" s="305"/>
      <c r="AB1013" s="305"/>
      <c r="AC1013" s="305"/>
      <c r="AD1013" s="305"/>
      <c r="AE1013" s="131"/>
    </row>
    <row r="1014" spans="8:31" ht="14.25">
      <c r="H1014" s="129"/>
      <c r="I1014" s="129"/>
      <c r="J1014" s="129"/>
      <c r="K1014" s="304"/>
      <c r="N1014" s="487"/>
      <c r="O1014" s="305"/>
      <c r="Q1014" s="305"/>
      <c r="R1014" s="305"/>
      <c r="S1014" s="471"/>
      <c r="T1014" s="471"/>
      <c r="U1014" s="471"/>
      <c r="V1014" s="471"/>
      <c r="W1014" s="471"/>
      <c r="X1014" s="471"/>
      <c r="Y1014" s="471"/>
      <c r="Z1014" s="305"/>
      <c r="AA1014" s="305"/>
      <c r="AB1014" s="305"/>
      <c r="AC1014" s="305"/>
      <c r="AD1014" s="305"/>
      <c r="AE1014" s="131"/>
    </row>
    <row r="1015" spans="8:31" ht="14.25">
      <c r="H1015" s="129"/>
      <c r="I1015" s="129"/>
      <c r="J1015" s="129"/>
      <c r="K1015" s="304"/>
      <c r="N1015" s="487"/>
      <c r="O1015" s="305"/>
      <c r="Q1015" s="305"/>
      <c r="R1015" s="305"/>
      <c r="S1015" s="471"/>
      <c r="T1015" s="471"/>
      <c r="U1015" s="471"/>
      <c r="V1015" s="471"/>
      <c r="W1015" s="471"/>
      <c r="X1015" s="471"/>
      <c r="Y1015" s="471"/>
      <c r="Z1015" s="305"/>
      <c r="AA1015" s="305"/>
      <c r="AB1015" s="305"/>
      <c r="AC1015" s="305"/>
      <c r="AD1015" s="305"/>
      <c r="AE1015" s="131"/>
    </row>
    <row r="1016" spans="8:31" ht="14.25">
      <c r="H1016" s="129"/>
      <c r="I1016" s="129"/>
      <c r="J1016" s="129"/>
      <c r="K1016" s="304"/>
      <c r="N1016" s="487"/>
      <c r="O1016" s="305"/>
      <c r="Q1016" s="305"/>
      <c r="R1016" s="305"/>
      <c r="S1016" s="471"/>
      <c r="T1016" s="471"/>
      <c r="U1016" s="471"/>
      <c r="V1016" s="471"/>
      <c r="W1016" s="471"/>
      <c r="X1016" s="471"/>
      <c r="Y1016" s="471"/>
      <c r="Z1016" s="305"/>
      <c r="AA1016" s="305"/>
      <c r="AB1016" s="305"/>
      <c r="AC1016" s="305"/>
      <c r="AD1016" s="305"/>
      <c r="AE1016" s="131"/>
    </row>
    <row r="1017" spans="8:31" ht="14.25">
      <c r="H1017" s="129"/>
      <c r="I1017" s="129"/>
      <c r="J1017" s="129"/>
      <c r="K1017" s="304"/>
      <c r="N1017" s="487"/>
      <c r="O1017" s="305"/>
      <c r="Q1017" s="305"/>
      <c r="R1017" s="305"/>
      <c r="S1017" s="471"/>
      <c r="T1017" s="471"/>
      <c r="U1017" s="471"/>
      <c r="V1017" s="471"/>
      <c r="W1017" s="471"/>
      <c r="X1017" s="471"/>
      <c r="Y1017" s="471"/>
      <c r="Z1017" s="305"/>
      <c r="AA1017" s="305"/>
      <c r="AB1017" s="305"/>
      <c r="AC1017" s="305"/>
      <c r="AD1017" s="305"/>
      <c r="AE1017" s="131"/>
    </row>
    <row r="1018" spans="8:31" ht="14.25">
      <c r="H1018" s="129"/>
      <c r="I1018" s="129"/>
      <c r="J1018" s="129"/>
      <c r="K1018" s="304"/>
      <c r="N1018" s="487"/>
      <c r="O1018" s="305"/>
      <c r="Q1018" s="305"/>
      <c r="R1018" s="305"/>
      <c r="S1018" s="471"/>
      <c r="T1018" s="471"/>
      <c r="U1018" s="471"/>
      <c r="V1018" s="471"/>
      <c r="W1018" s="471"/>
      <c r="X1018" s="471"/>
      <c r="Y1018" s="471"/>
      <c r="Z1018" s="305"/>
      <c r="AA1018" s="305"/>
      <c r="AB1018" s="305"/>
      <c r="AC1018" s="305"/>
      <c r="AD1018" s="305"/>
      <c r="AE1018" s="131"/>
    </row>
    <row r="1019" spans="8:31" ht="14.25">
      <c r="H1019" s="129"/>
      <c r="I1019" s="129"/>
      <c r="J1019" s="129"/>
      <c r="K1019" s="304"/>
      <c r="N1019" s="487"/>
      <c r="O1019" s="305"/>
      <c r="Q1019" s="305"/>
      <c r="R1019" s="305"/>
      <c r="S1019" s="471"/>
      <c r="T1019" s="471"/>
      <c r="U1019" s="471"/>
      <c r="V1019" s="471"/>
      <c r="W1019" s="471"/>
      <c r="X1019" s="471"/>
      <c r="Y1019" s="471"/>
      <c r="Z1019" s="305"/>
      <c r="AA1019" s="305"/>
      <c r="AB1019" s="305"/>
      <c r="AC1019" s="305"/>
      <c r="AD1019" s="305"/>
      <c r="AE1019" s="131"/>
    </row>
    <row r="1020" spans="8:31" ht="14.25">
      <c r="H1020" s="129"/>
      <c r="I1020" s="129"/>
      <c r="J1020" s="129"/>
      <c r="K1020" s="304"/>
      <c r="N1020" s="487"/>
      <c r="O1020" s="305"/>
      <c r="Q1020" s="305"/>
      <c r="R1020" s="305"/>
      <c r="S1020" s="471"/>
      <c r="T1020" s="471"/>
      <c r="U1020" s="471"/>
      <c r="V1020" s="471"/>
      <c r="W1020" s="471"/>
      <c r="X1020" s="471"/>
      <c r="Y1020" s="471"/>
      <c r="Z1020" s="305"/>
      <c r="AA1020" s="305"/>
      <c r="AB1020" s="305"/>
      <c r="AC1020" s="305"/>
      <c r="AD1020" s="305"/>
      <c r="AE1020" s="131"/>
    </row>
    <row r="1021" spans="8:31" ht="14.25">
      <c r="H1021" s="129"/>
      <c r="I1021" s="129"/>
      <c r="J1021" s="129"/>
      <c r="K1021" s="304"/>
      <c r="N1021" s="487"/>
      <c r="O1021" s="305"/>
      <c r="Q1021" s="305"/>
      <c r="R1021" s="305"/>
      <c r="S1021" s="471"/>
      <c r="T1021" s="471"/>
      <c r="U1021" s="471"/>
      <c r="V1021" s="471"/>
      <c r="W1021" s="471"/>
      <c r="X1021" s="471"/>
      <c r="Y1021" s="471"/>
      <c r="Z1021" s="305"/>
      <c r="AA1021" s="305"/>
      <c r="AB1021" s="305"/>
      <c r="AC1021" s="305"/>
      <c r="AD1021" s="305"/>
      <c r="AE1021" s="131"/>
    </row>
    <row r="1022" spans="8:31" ht="14.25">
      <c r="H1022" s="129"/>
      <c r="I1022" s="129"/>
      <c r="J1022" s="129"/>
      <c r="K1022" s="304"/>
      <c r="N1022" s="487"/>
      <c r="O1022" s="305"/>
      <c r="Q1022" s="305"/>
      <c r="R1022" s="305"/>
      <c r="S1022" s="471"/>
      <c r="T1022" s="471"/>
      <c r="U1022" s="471"/>
      <c r="V1022" s="471"/>
      <c r="W1022" s="471"/>
      <c r="X1022" s="471"/>
      <c r="Y1022" s="471"/>
      <c r="Z1022" s="305"/>
      <c r="AA1022" s="305"/>
      <c r="AB1022" s="305"/>
      <c r="AC1022" s="305"/>
      <c r="AD1022" s="305"/>
      <c r="AE1022" s="131"/>
    </row>
    <row r="1023" spans="8:31" ht="14.25">
      <c r="H1023" s="129"/>
      <c r="I1023" s="129"/>
      <c r="J1023" s="129"/>
      <c r="K1023" s="304"/>
      <c r="N1023" s="487"/>
      <c r="O1023" s="305"/>
      <c r="Q1023" s="305"/>
      <c r="R1023" s="305"/>
      <c r="S1023" s="471"/>
      <c r="T1023" s="471"/>
      <c r="U1023" s="471"/>
      <c r="V1023" s="471"/>
      <c r="W1023" s="471"/>
      <c r="X1023" s="471"/>
      <c r="Y1023" s="471"/>
      <c r="Z1023" s="305"/>
      <c r="AA1023" s="305"/>
      <c r="AB1023" s="305"/>
      <c r="AC1023" s="305"/>
      <c r="AD1023" s="305"/>
      <c r="AE1023" s="131"/>
    </row>
    <row r="1024" spans="8:31" ht="14.25">
      <c r="H1024" s="129"/>
      <c r="I1024" s="129"/>
      <c r="J1024" s="129"/>
      <c r="K1024" s="304"/>
      <c r="N1024" s="487"/>
      <c r="O1024" s="305"/>
      <c r="Q1024" s="305"/>
      <c r="R1024" s="305"/>
      <c r="S1024" s="471"/>
      <c r="T1024" s="471"/>
      <c r="U1024" s="471"/>
      <c r="V1024" s="471"/>
      <c r="W1024" s="471"/>
      <c r="X1024" s="471"/>
      <c r="Y1024" s="471"/>
      <c r="Z1024" s="305"/>
      <c r="AA1024" s="305"/>
      <c r="AB1024" s="305"/>
      <c r="AC1024" s="305"/>
      <c r="AD1024" s="305"/>
      <c r="AE1024" s="131"/>
    </row>
    <row r="1025" spans="8:31" ht="14.25">
      <c r="H1025" s="129"/>
      <c r="I1025" s="129"/>
      <c r="J1025" s="129"/>
      <c r="K1025" s="304"/>
      <c r="N1025" s="487"/>
      <c r="O1025" s="305"/>
      <c r="Q1025" s="305"/>
      <c r="R1025" s="305"/>
      <c r="S1025" s="471"/>
      <c r="T1025" s="471"/>
      <c r="U1025" s="471"/>
      <c r="V1025" s="471"/>
      <c r="W1025" s="471"/>
      <c r="X1025" s="471"/>
      <c r="Y1025" s="471"/>
      <c r="Z1025" s="305"/>
      <c r="AA1025" s="305"/>
      <c r="AB1025" s="305"/>
      <c r="AC1025" s="305"/>
      <c r="AD1025" s="305"/>
      <c r="AE1025" s="131"/>
    </row>
    <row r="1026" spans="8:31" ht="14.25">
      <c r="H1026" s="129"/>
      <c r="I1026" s="129"/>
      <c r="J1026" s="129"/>
      <c r="K1026" s="304"/>
      <c r="N1026" s="487"/>
      <c r="O1026" s="305"/>
      <c r="Q1026" s="305"/>
      <c r="R1026" s="305"/>
      <c r="S1026" s="471"/>
      <c r="T1026" s="471"/>
      <c r="U1026" s="471"/>
      <c r="V1026" s="471"/>
      <c r="W1026" s="471"/>
      <c r="X1026" s="471"/>
      <c r="Y1026" s="471"/>
      <c r="Z1026" s="305"/>
      <c r="AA1026" s="305"/>
      <c r="AB1026" s="305"/>
      <c r="AC1026" s="305"/>
      <c r="AD1026" s="305"/>
      <c r="AE1026" s="131"/>
    </row>
    <row r="1027" spans="8:31" ht="14.25">
      <c r="H1027" s="129"/>
      <c r="I1027" s="129"/>
      <c r="J1027" s="129"/>
      <c r="K1027" s="304"/>
      <c r="N1027" s="487"/>
      <c r="O1027" s="305"/>
      <c r="Q1027" s="305"/>
      <c r="R1027" s="305"/>
      <c r="S1027" s="471"/>
      <c r="T1027" s="471"/>
      <c r="U1027" s="471"/>
      <c r="V1027" s="471"/>
      <c r="W1027" s="471"/>
      <c r="X1027" s="471"/>
      <c r="Y1027" s="471"/>
      <c r="Z1027" s="305"/>
      <c r="AA1027" s="305"/>
      <c r="AB1027" s="305"/>
      <c r="AC1027" s="305"/>
      <c r="AD1027" s="305"/>
      <c r="AE1027" s="131"/>
    </row>
    <row r="1028" spans="8:31" ht="14.25">
      <c r="H1028" s="129"/>
      <c r="I1028" s="129"/>
      <c r="J1028" s="129"/>
      <c r="K1028" s="304"/>
      <c r="N1028" s="487"/>
      <c r="O1028" s="305"/>
      <c r="Q1028" s="305"/>
      <c r="R1028" s="305"/>
      <c r="S1028" s="471"/>
      <c r="T1028" s="471"/>
      <c r="U1028" s="471"/>
      <c r="V1028" s="471"/>
      <c r="W1028" s="471"/>
      <c r="X1028" s="471"/>
      <c r="Y1028" s="471"/>
      <c r="Z1028" s="305"/>
      <c r="AA1028" s="305"/>
      <c r="AB1028" s="305"/>
      <c r="AC1028" s="305"/>
      <c r="AD1028" s="305"/>
      <c r="AE1028" s="131"/>
    </row>
    <row r="1029" spans="8:31" ht="14.25">
      <c r="H1029" s="129"/>
      <c r="I1029" s="129"/>
      <c r="J1029" s="129"/>
      <c r="K1029" s="304"/>
      <c r="N1029" s="487"/>
      <c r="O1029" s="305"/>
      <c r="Q1029" s="305"/>
      <c r="R1029" s="305"/>
      <c r="S1029" s="471"/>
      <c r="T1029" s="471"/>
      <c r="U1029" s="471"/>
      <c r="V1029" s="471"/>
      <c r="W1029" s="471"/>
      <c r="X1029" s="471"/>
      <c r="Y1029" s="471"/>
      <c r="Z1029" s="305"/>
      <c r="AA1029" s="305"/>
      <c r="AB1029" s="305"/>
      <c r="AC1029" s="305"/>
      <c r="AD1029" s="305"/>
      <c r="AE1029" s="131"/>
    </row>
    <row r="1030" spans="8:31" ht="14.25">
      <c r="H1030" s="129"/>
      <c r="I1030" s="129"/>
      <c r="J1030" s="129"/>
      <c r="K1030" s="304"/>
      <c r="N1030" s="487"/>
      <c r="O1030" s="305"/>
      <c r="Q1030" s="305"/>
      <c r="R1030" s="305"/>
      <c r="S1030" s="471"/>
      <c r="T1030" s="471"/>
      <c r="U1030" s="471"/>
      <c r="V1030" s="471"/>
      <c r="W1030" s="471"/>
      <c r="X1030" s="471"/>
      <c r="Y1030" s="471"/>
      <c r="Z1030" s="305"/>
      <c r="AA1030" s="305"/>
      <c r="AB1030" s="305"/>
      <c r="AC1030" s="305"/>
      <c r="AD1030" s="305"/>
      <c r="AE1030" s="131"/>
    </row>
    <row r="1031" spans="8:31" ht="14.25">
      <c r="H1031" s="129"/>
      <c r="I1031" s="129"/>
      <c r="J1031" s="129"/>
      <c r="K1031" s="304"/>
      <c r="N1031" s="487"/>
      <c r="O1031" s="305"/>
      <c r="Q1031" s="305"/>
      <c r="R1031" s="305"/>
      <c r="S1031" s="471"/>
      <c r="T1031" s="471"/>
      <c r="U1031" s="471"/>
      <c r="V1031" s="471"/>
      <c r="W1031" s="471"/>
      <c r="X1031" s="471"/>
      <c r="Y1031" s="471"/>
      <c r="Z1031" s="305"/>
      <c r="AA1031" s="305"/>
      <c r="AB1031" s="305"/>
      <c r="AC1031" s="305"/>
      <c r="AD1031" s="305"/>
      <c r="AE1031" s="131"/>
    </row>
    <row r="1032" spans="8:31" ht="14.25">
      <c r="H1032" s="129"/>
      <c r="I1032" s="129"/>
      <c r="J1032" s="129"/>
      <c r="K1032" s="304"/>
      <c r="N1032" s="487"/>
      <c r="O1032" s="305"/>
      <c r="Q1032" s="305"/>
      <c r="R1032" s="305"/>
      <c r="S1032" s="471"/>
      <c r="T1032" s="471"/>
      <c r="U1032" s="471"/>
      <c r="V1032" s="471"/>
      <c r="W1032" s="471"/>
      <c r="X1032" s="471"/>
      <c r="Y1032" s="471"/>
      <c r="Z1032" s="305"/>
      <c r="AA1032" s="305"/>
      <c r="AB1032" s="305"/>
      <c r="AC1032" s="305"/>
      <c r="AD1032" s="305"/>
      <c r="AE1032" s="131"/>
    </row>
    <row r="1033" spans="8:31" ht="14.25">
      <c r="H1033" s="129"/>
      <c r="I1033" s="129"/>
      <c r="J1033" s="129"/>
      <c r="K1033" s="304"/>
      <c r="N1033" s="487"/>
      <c r="O1033" s="305"/>
      <c r="Q1033" s="305"/>
      <c r="R1033" s="305"/>
      <c r="S1033" s="471"/>
      <c r="T1033" s="471"/>
      <c r="U1033" s="471"/>
      <c r="V1033" s="471"/>
      <c r="W1033" s="471"/>
      <c r="X1033" s="471"/>
      <c r="Y1033" s="471"/>
      <c r="Z1033" s="305"/>
      <c r="AA1033" s="305"/>
      <c r="AB1033" s="305"/>
      <c r="AC1033" s="305"/>
      <c r="AD1033" s="305"/>
      <c r="AE1033" s="131"/>
    </row>
    <row r="1034" spans="8:31" ht="14.25">
      <c r="H1034" s="129"/>
      <c r="I1034" s="129"/>
      <c r="J1034" s="129"/>
      <c r="K1034" s="304"/>
      <c r="N1034" s="487"/>
      <c r="O1034" s="305"/>
      <c r="Q1034" s="305"/>
      <c r="R1034" s="305"/>
      <c r="S1034" s="471"/>
      <c r="T1034" s="471"/>
      <c r="U1034" s="471"/>
      <c r="V1034" s="471"/>
      <c r="W1034" s="471"/>
      <c r="X1034" s="471"/>
      <c r="Y1034" s="471"/>
      <c r="Z1034" s="305"/>
      <c r="AA1034" s="305"/>
      <c r="AB1034" s="305"/>
      <c r="AC1034" s="305"/>
      <c r="AD1034" s="305"/>
      <c r="AE1034" s="131"/>
    </row>
    <row r="1035" spans="8:31" ht="14.25">
      <c r="H1035" s="129"/>
      <c r="I1035" s="129"/>
      <c r="J1035" s="129"/>
      <c r="K1035" s="304"/>
      <c r="N1035" s="487"/>
      <c r="O1035" s="305"/>
      <c r="Q1035" s="305"/>
      <c r="R1035" s="305"/>
      <c r="S1035" s="471"/>
      <c r="T1035" s="471"/>
      <c r="U1035" s="471"/>
      <c r="V1035" s="471"/>
      <c r="W1035" s="471"/>
      <c r="X1035" s="471"/>
      <c r="Y1035" s="471"/>
      <c r="Z1035" s="305"/>
      <c r="AA1035" s="305"/>
      <c r="AB1035" s="305"/>
      <c r="AC1035" s="305"/>
      <c r="AD1035" s="305"/>
      <c r="AE1035" s="131"/>
    </row>
    <row r="1036" spans="8:31" ht="14.25">
      <c r="H1036" s="129"/>
      <c r="I1036" s="129"/>
      <c r="J1036" s="129"/>
      <c r="K1036" s="304"/>
      <c r="N1036" s="487"/>
      <c r="O1036" s="305"/>
      <c r="Q1036" s="305"/>
      <c r="R1036" s="305"/>
      <c r="S1036" s="471"/>
      <c r="T1036" s="471"/>
      <c r="U1036" s="471"/>
      <c r="V1036" s="471"/>
      <c r="W1036" s="471"/>
      <c r="X1036" s="471"/>
      <c r="Y1036" s="471"/>
      <c r="Z1036" s="305"/>
      <c r="AA1036" s="305"/>
      <c r="AB1036" s="305"/>
      <c r="AC1036" s="305"/>
      <c r="AD1036" s="305"/>
      <c r="AE1036" s="131"/>
    </row>
    <row r="1037" spans="8:31" ht="14.25">
      <c r="H1037" s="129"/>
      <c r="I1037" s="129"/>
      <c r="J1037" s="129"/>
      <c r="K1037" s="304"/>
      <c r="N1037" s="487"/>
      <c r="O1037" s="305"/>
      <c r="Q1037" s="305"/>
      <c r="R1037" s="305"/>
      <c r="S1037" s="471"/>
      <c r="T1037" s="471"/>
      <c r="U1037" s="471"/>
      <c r="V1037" s="471"/>
      <c r="W1037" s="471"/>
      <c r="X1037" s="471"/>
      <c r="Y1037" s="471"/>
      <c r="Z1037" s="305"/>
      <c r="AA1037" s="305"/>
      <c r="AB1037" s="305"/>
      <c r="AC1037" s="305"/>
      <c r="AD1037" s="305"/>
      <c r="AE1037" s="131"/>
    </row>
    <row r="1038" spans="8:31" ht="14.25">
      <c r="H1038" s="129"/>
      <c r="I1038" s="129"/>
      <c r="J1038" s="129"/>
      <c r="K1038" s="304"/>
      <c r="N1038" s="487"/>
      <c r="O1038" s="305"/>
      <c r="Q1038" s="305"/>
      <c r="R1038" s="305"/>
      <c r="S1038" s="471"/>
      <c r="T1038" s="471"/>
      <c r="U1038" s="471"/>
      <c r="V1038" s="471"/>
      <c r="W1038" s="471"/>
      <c r="X1038" s="471"/>
      <c r="Y1038" s="471"/>
      <c r="Z1038" s="305"/>
      <c r="AA1038" s="305"/>
      <c r="AB1038" s="305"/>
      <c r="AC1038" s="305"/>
      <c r="AD1038" s="305"/>
      <c r="AE1038" s="131"/>
    </row>
    <row r="1039" spans="8:31" ht="14.25">
      <c r="H1039" s="129"/>
      <c r="I1039" s="129"/>
      <c r="J1039" s="129"/>
      <c r="K1039" s="304"/>
      <c r="N1039" s="487"/>
      <c r="O1039" s="305"/>
      <c r="Q1039" s="305"/>
      <c r="R1039" s="305"/>
      <c r="S1039" s="471"/>
      <c r="T1039" s="471"/>
      <c r="U1039" s="471"/>
      <c r="V1039" s="471"/>
      <c r="W1039" s="471"/>
      <c r="X1039" s="471"/>
      <c r="Y1039" s="471"/>
      <c r="Z1039" s="305"/>
      <c r="AA1039" s="305"/>
      <c r="AB1039" s="305"/>
      <c r="AC1039" s="305"/>
      <c r="AD1039" s="305"/>
      <c r="AE1039" s="131"/>
    </row>
    <row r="1040" spans="8:31" ht="14.25">
      <c r="H1040" s="129"/>
      <c r="I1040" s="129"/>
      <c r="J1040" s="129"/>
      <c r="K1040" s="304"/>
      <c r="N1040" s="487"/>
      <c r="O1040" s="305"/>
      <c r="Q1040" s="305"/>
      <c r="R1040" s="305"/>
      <c r="S1040" s="471"/>
      <c r="T1040" s="471"/>
      <c r="U1040" s="471"/>
      <c r="V1040" s="471"/>
      <c r="W1040" s="471"/>
      <c r="X1040" s="471"/>
      <c r="Y1040" s="471"/>
      <c r="Z1040" s="305"/>
      <c r="AA1040" s="305"/>
      <c r="AB1040" s="305"/>
      <c r="AC1040" s="305"/>
      <c r="AD1040" s="305"/>
      <c r="AE1040" s="131"/>
    </row>
    <row r="1041" spans="8:31" ht="14.25">
      <c r="H1041" s="129"/>
      <c r="I1041" s="129"/>
      <c r="J1041" s="129"/>
      <c r="K1041" s="304"/>
      <c r="N1041" s="487"/>
      <c r="O1041" s="305"/>
      <c r="Q1041" s="305"/>
      <c r="R1041" s="305"/>
      <c r="S1041" s="471"/>
      <c r="T1041" s="471"/>
      <c r="U1041" s="471"/>
      <c r="V1041" s="471"/>
      <c r="W1041" s="471"/>
      <c r="X1041" s="471"/>
      <c r="Y1041" s="471"/>
      <c r="Z1041" s="305"/>
      <c r="AA1041" s="305"/>
      <c r="AB1041" s="305"/>
      <c r="AC1041" s="305"/>
      <c r="AD1041" s="305"/>
      <c r="AE1041" s="131"/>
    </row>
    <row r="1042" spans="8:31" ht="14.25">
      <c r="H1042" s="129"/>
      <c r="I1042" s="129"/>
      <c r="J1042" s="129"/>
      <c r="K1042" s="304"/>
      <c r="N1042" s="487"/>
      <c r="O1042" s="305"/>
      <c r="Q1042" s="305"/>
      <c r="R1042" s="305"/>
      <c r="S1042" s="471"/>
      <c r="T1042" s="471"/>
      <c r="U1042" s="471"/>
      <c r="V1042" s="471"/>
      <c r="W1042" s="471"/>
      <c r="X1042" s="471"/>
      <c r="Y1042" s="471"/>
      <c r="Z1042" s="305"/>
      <c r="AA1042" s="305"/>
      <c r="AB1042" s="305"/>
      <c r="AC1042" s="305"/>
      <c r="AD1042" s="305"/>
      <c r="AE1042" s="131"/>
    </row>
    <row r="1043" spans="8:31" ht="14.25">
      <c r="H1043" s="129"/>
      <c r="I1043" s="129"/>
      <c r="J1043" s="129"/>
      <c r="K1043" s="304"/>
      <c r="N1043" s="487"/>
      <c r="O1043" s="305"/>
      <c r="Q1043" s="305"/>
      <c r="R1043" s="305"/>
      <c r="S1043" s="471"/>
      <c r="T1043" s="471"/>
      <c r="U1043" s="471"/>
      <c r="V1043" s="471"/>
      <c r="W1043" s="471"/>
      <c r="X1043" s="471"/>
      <c r="Y1043" s="471"/>
      <c r="Z1043" s="305"/>
      <c r="AA1043" s="305"/>
      <c r="AB1043" s="305"/>
      <c r="AC1043" s="305"/>
      <c r="AD1043" s="305"/>
      <c r="AE1043" s="131"/>
    </row>
    <row r="1044" spans="8:31" ht="14.25">
      <c r="H1044" s="129"/>
      <c r="I1044" s="129"/>
      <c r="J1044" s="129"/>
      <c r="K1044" s="304"/>
      <c r="N1044" s="487"/>
      <c r="O1044" s="305"/>
      <c r="Q1044" s="305"/>
      <c r="R1044" s="305"/>
      <c r="S1044" s="471"/>
      <c r="T1044" s="471"/>
      <c r="U1044" s="471"/>
      <c r="V1044" s="471"/>
      <c r="W1044" s="471"/>
      <c r="X1044" s="471"/>
      <c r="Y1044" s="471"/>
      <c r="Z1044" s="305"/>
      <c r="AA1044" s="305"/>
      <c r="AB1044" s="305"/>
      <c r="AC1044" s="305"/>
      <c r="AD1044" s="305"/>
      <c r="AE1044" s="131"/>
    </row>
    <row r="1045" spans="8:31" ht="14.25">
      <c r="H1045" s="129"/>
      <c r="I1045" s="129"/>
      <c r="J1045" s="129"/>
      <c r="K1045" s="304"/>
      <c r="N1045" s="487"/>
      <c r="O1045" s="305"/>
      <c r="Q1045" s="305"/>
      <c r="R1045" s="305"/>
      <c r="S1045" s="471"/>
      <c r="T1045" s="471"/>
      <c r="U1045" s="471"/>
      <c r="V1045" s="471"/>
      <c r="W1045" s="471"/>
      <c r="X1045" s="471"/>
      <c r="Y1045" s="471"/>
      <c r="Z1045" s="305"/>
      <c r="AA1045" s="305"/>
      <c r="AB1045" s="305"/>
      <c r="AC1045" s="305"/>
      <c r="AD1045" s="305"/>
      <c r="AE1045" s="131"/>
    </row>
    <row r="1046" spans="8:31" ht="14.25">
      <c r="H1046" s="129"/>
      <c r="I1046" s="129"/>
      <c r="J1046" s="129"/>
      <c r="K1046" s="304"/>
      <c r="N1046" s="487"/>
      <c r="O1046" s="305"/>
      <c r="Q1046" s="305"/>
      <c r="R1046" s="305"/>
      <c r="S1046" s="471"/>
      <c r="T1046" s="471"/>
      <c r="U1046" s="471"/>
      <c r="V1046" s="471"/>
      <c r="W1046" s="471"/>
      <c r="X1046" s="471"/>
      <c r="Y1046" s="471"/>
      <c r="Z1046" s="305"/>
      <c r="AA1046" s="305"/>
      <c r="AB1046" s="305"/>
      <c r="AC1046" s="305"/>
      <c r="AD1046" s="305"/>
      <c r="AE1046" s="131"/>
    </row>
    <row r="1047" spans="8:31" ht="14.25">
      <c r="H1047" s="129"/>
      <c r="I1047" s="129"/>
      <c r="J1047" s="129"/>
      <c r="K1047" s="304"/>
      <c r="N1047" s="487"/>
      <c r="O1047" s="305"/>
      <c r="Q1047" s="305"/>
      <c r="R1047" s="305"/>
      <c r="S1047" s="471"/>
      <c r="T1047" s="471"/>
      <c r="U1047" s="471"/>
      <c r="V1047" s="471"/>
      <c r="W1047" s="471"/>
      <c r="X1047" s="471"/>
      <c r="Y1047" s="471"/>
      <c r="Z1047" s="305"/>
      <c r="AA1047" s="305"/>
      <c r="AB1047" s="305"/>
      <c r="AC1047" s="305"/>
      <c r="AD1047" s="305"/>
      <c r="AE1047" s="131"/>
    </row>
    <row r="1048" spans="8:31" ht="14.25">
      <c r="H1048" s="129"/>
      <c r="I1048" s="129"/>
      <c r="J1048" s="129"/>
      <c r="K1048" s="304"/>
      <c r="N1048" s="487"/>
      <c r="O1048" s="305"/>
      <c r="Q1048" s="305"/>
      <c r="R1048" s="305"/>
      <c r="S1048" s="471"/>
      <c r="T1048" s="471"/>
      <c r="U1048" s="471"/>
      <c r="V1048" s="471"/>
      <c r="W1048" s="471"/>
      <c r="X1048" s="471"/>
      <c r="Y1048" s="471"/>
      <c r="Z1048" s="305"/>
      <c r="AA1048" s="305"/>
      <c r="AB1048" s="305"/>
      <c r="AC1048" s="305"/>
      <c r="AD1048" s="305"/>
      <c r="AE1048" s="131"/>
    </row>
    <row r="1049" spans="8:31" ht="14.25">
      <c r="H1049" s="129"/>
      <c r="I1049" s="129"/>
      <c r="J1049" s="129"/>
      <c r="K1049" s="304"/>
      <c r="N1049" s="487"/>
      <c r="O1049" s="305"/>
      <c r="Q1049" s="305"/>
      <c r="R1049" s="305"/>
      <c r="S1049" s="471"/>
      <c r="T1049" s="471"/>
      <c r="U1049" s="471"/>
      <c r="V1049" s="471"/>
      <c r="W1049" s="471"/>
      <c r="X1049" s="471"/>
      <c r="Y1049" s="471"/>
      <c r="Z1049" s="305"/>
      <c r="AA1049" s="305"/>
      <c r="AB1049" s="305"/>
      <c r="AC1049" s="305"/>
      <c r="AD1049" s="305"/>
      <c r="AE1049" s="131"/>
    </row>
    <row r="1050" spans="8:31" ht="14.25">
      <c r="H1050" s="129"/>
      <c r="I1050" s="129"/>
      <c r="J1050" s="129"/>
      <c r="K1050" s="304"/>
      <c r="N1050" s="487"/>
      <c r="O1050" s="305"/>
      <c r="Q1050" s="305"/>
      <c r="R1050" s="305"/>
      <c r="S1050" s="471"/>
      <c r="T1050" s="471"/>
      <c r="U1050" s="471"/>
      <c r="V1050" s="471"/>
      <c r="W1050" s="471"/>
      <c r="X1050" s="471"/>
      <c r="Y1050" s="471"/>
      <c r="Z1050" s="305"/>
      <c r="AA1050" s="305"/>
      <c r="AB1050" s="305"/>
      <c r="AC1050" s="305"/>
      <c r="AD1050" s="305"/>
      <c r="AE1050" s="131"/>
    </row>
    <row r="1051" spans="8:31" ht="14.25">
      <c r="H1051" s="129"/>
      <c r="I1051" s="129"/>
      <c r="J1051" s="129"/>
      <c r="K1051" s="304"/>
      <c r="N1051" s="487"/>
      <c r="O1051" s="305"/>
      <c r="Q1051" s="305"/>
      <c r="R1051" s="305"/>
      <c r="S1051" s="471"/>
      <c r="T1051" s="471"/>
      <c r="U1051" s="471"/>
      <c r="V1051" s="471"/>
      <c r="W1051" s="471"/>
      <c r="X1051" s="471"/>
      <c r="Y1051" s="471"/>
      <c r="Z1051" s="305"/>
      <c r="AA1051" s="305"/>
      <c r="AB1051" s="305"/>
      <c r="AC1051" s="305"/>
      <c r="AD1051" s="305"/>
      <c r="AE1051" s="131"/>
    </row>
    <row r="1052" spans="8:31" ht="14.25">
      <c r="H1052" s="129"/>
      <c r="I1052" s="129"/>
      <c r="J1052" s="129"/>
      <c r="K1052" s="304"/>
      <c r="N1052" s="487"/>
      <c r="O1052" s="305"/>
      <c r="Q1052" s="305"/>
      <c r="R1052" s="305"/>
      <c r="S1052" s="471"/>
      <c r="T1052" s="471"/>
      <c r="U1052" s="471"/>
      <c r="V1052" s="471"/>
      <c r="W1052" s="471"/>
      <c r="X1052" s="471"/>
      <c r="Y1052" s="471"/>
      <c r="Z1052" s="305"/>
      <c r="AA1052" s="305"/>
      <c r="AB1052" s="305"/>
      <c r="AC1052" s="305"/>
      <c r="AD1052" s="305"/>
      <c r="AE1052" s="131"/>
    </row>
    <row r="1053" spans="8:31" ht="14.25">
      <c r="H1053" s="129"/>
      <c r="I1053" s="129"/>
      <c r="J1053" s="129"/>
      <c r="K1053" s="304"/>
      <c r="N1053" s="487"/>
      <c r="O1053" s="305"/>
      <c r="Q1053" s="305"/>
      <c r="R1053" s="305"/>
      <c r="S1053" s="471"/>
      <c r="T1053" s="471"/>
      <c r="U1053" s="471"/>
      <c r="V1053" s="471"/>
      <c r="W1053" s="471"/>
      <c r="X1053" s="471"/>
      <c r="Y1053" s="471"/>
      <c r="Z1053" s="305"/>
      <c r="AA1053" s="305"/>
      <c r="AB1053" s="305"/>
      <c r="AC1053" s="305"/>
      <c r="AD1053" s="305"/>
      <c r="AE1053" s="131"/>
    </row>
    <row r="1054" spans="8:31" ht="14.25">
      <c r="H1054" s="129"/>
      <c r="I1054" s="129"/>
      <c r="J1054" s="129"/>
      <c r="K1054" s="304"/>
      <c r="N1054" s="487"/>
      <c r="O1054" s="305"/>
      <c r="Q1054" s="305"/>
      <c r="R1054" s="305"/>
      <c r="S1054" s="471"/>
      <c r="T1054" s="471"/>
      <c r="U1054" s="471"/>
      <c r="V1054" s="471"/>
      <c r="W1054" s="471"/>
      <c r="X1054" s="471"/>
      <c r="Y1054" s="471"/>
      <c r="Z1054" s="305"/>
      <c r="AA1054" s="305"/>
      <c r="AB1054" s="305"/>
      <c r="AC1054" s="305"/>
      <c r="AD1054" s="305"/>
      <c r="AE1054" s="131"/>
    </row>
    <row r="1055" spans="8:31" ht="14.25">
      <c r="H1055" s="129"/>
      <c r="I1055" s="129"/>
      <c r="J1055" s="129"/>
      <c r="K1055" s="304"/>
      <c r="N1055" s="487"/>
      <c r="O1055" s="305"/>
      <c r="Q1055" s="305"/>
      <c r="R1055" s="305"/>
      <c r="S1055" s="471"/>
      <c r="T1055" s="471"/>
      <c r="U1055" s="471"/>
      <c r="V1055" s="471"/>
      <c r="W1055" s="471"/>
      <c r="X1055" s="471"/>
      <c r="Y1055" s="471"/>
      <c r="Z1055" s="305"/>
      <c r="AA1055" s="305"/>
      <c r="AB1055" s="305"/>
      <c r="AC1055" s="305"/>
      <c r="AD1055" s="305"/>
      <c r="AE1055" s="131"/>
    </row>
    <row r="1056" spans="8:31" ht="14.25">
      <c r="H1056" s="129"/>
      <c r="I1056" s="129"/>
      <c r="J1056" s="129"/>
      <c r="K1056" s="304"/>
      <c r="N1056" s="487"/>
      <c r="O1056" s="305"/>
      <c r="Q1056" s="305"/>
      <c r="R1056" s="305"/>
      <c r="S1056" s="471"/>
      <c r="T1056" s="471"/>
      <c r="U1056" s="471"/>
      <c r="V1056" s="471"/>
      <c r="W1056" s="471"/>
      <c r="X1056" s="471"/>
      <c r="Y1056" s="471"/>
      <c r="Z1056" s="305"/>
      <c r="AA1056" s="305"/>
      <c r="AB1056" s="305"/>
      <c r="AC1056" s="305"/>
      <c r="AD1056" s="305"/>
      <c r="AE1056" s="131"/>
    </row>
    <row r="1057" spans="8:31" ht="14.25">
      <c r="H1057" s="129"/>
      <c r="I1057" s="129"/>
      <c r="J1057" s="129"/>
      <c r="K1057" s="304"/>
      <c r="N1057" s="487"/>
      <c r="O1057" s="305"/>
      <c r="Q1057" s="305"/>
      <c r="R1057" s="305"/>
      <c r="S1057" s="471"/>
      <c r="T1057" s="471"/>
      <c r="U1057" s="471"/>
      <c r="V1057" s="471"/>
      <c r="W1057" s="471"/>
      <c r="X1057" s="471"/>
      <c r="Y1057" s="471"/>
      <c r="Z1057" s="305"/>
      <c r="AA1057" s="305"/>
      <c r="AB1057" s="305"/>
      <c r="AC1057" s="305"/>
      <c r="AD1057" s="305"/>
      <c r="AE1057" s="131"/>
    </row>
    <row r="1058" spans="8:31" ht="14.25">
      <c r="H1058" s="129"/>
      <c r="I1058" s="129"/>
      <c r="J1058" s="129"/>
      <c r="K1058" s="304"/>
      <c r="N1058" s="487"/>
      <c r="O1058" s="305"/>
      <c r="Q1058" s="305"/>
      <c r="R1058" s="305"/>
      <c r="S1058" s="471"/>
      <c r="T1058" s="471"/>
      <c r="U1058" s="471"/>
      <c r="V1058" s="471"/>
      <c r="W1058" s="471"/>
      <c r="X1058" s="471"/>
      <c r="Y1058" s="471"/>
      <c r="Z1058" s="305"/>
      <c r="AA1058" s="305"/>
      <c r="AB1058" s="305"/>
      <c r="AC1058" s="305"/>
      <c r="AD1058" s="305"/>
      <c r="AE1058" s="131"/>
    </row>
    <row r="1059" spans="8:31" ht="14.25">
      <c r="H1059" s="129"/>
      <c r="I1059" s="129"/>
      <c r="J1059" s="129"/>
      <c r="K1059" s="304"/>
      <c r="N1059" s="487"/>
      <c r="O1059" s="305"/>
      <c r="Q1059" s="305"/>
      <c r="R1059" s="305"/>
      <c r="S1059" s="471"/>
      <c r="T1059" s="471"/>
      <c r="U1059" s="471"/>
      <c r="V1059" s="471"/>
      <c r="W1059" s="471"/>
      <c r="X1059" s="471"/>
      <c r="Y1059" s="471"/>
      <c r="Z1059" s="305"/>
      <c r="AA1059" s="305"/>
      <c r="AB1059" s="305"/>
      <c r="AC1059" s="305"/>
      <c r="AD1059" s="305"/>
      <c r="AE1059" s="131"/>
    </row>
    <row r="1060" spans="8:31" ht="14.25">
      <c r="H1060" s="129"/>
      <c r="I1060" s="129"/>
      <c r="J1060" s="129"/>
      <c r="K1060" s="304"/>
      <c r="N1060" s="487"/>
      <c r="O1060" s="305"/>
      <c r="Q1060" s="305"/>
      <c r="R1060" s="305"/>
      <c r="S1060" s="471"/>
      <c r="T1060" s="471"/>
      <c r="U1060" s="471"/>
      <c r="V1060" s="471"/>
      <c r="W1060" s="471"/>
      <c r="X1060" s="471"/>
      <c r="Y1060" s="471"/>
      <c r="Z1060" s="305"/>
      <c r="AA1060" s="305"/>
      <c r="AB1060" s="305"/>
      <c r="AC1060" s="305"/>
      <c r="AD1060" s="305"/>
      <c r="AE1060" s="131"/>
    </row>
    <row r="1061" spans="8:31" ht="14.25">
      <c r="H1061" s="129"/>
      <c r="I1061" s="129"/>
      <c r="J1061" s="129"/>
      <c r="K1061" s="304"/>
      <c r="N1061" s="487"/>
      <c r="O1061" s="305"/>
      <c r="Q1061" s="305"/>
      <c r="R1061" s="305"/>
      <c r="S1061" s="471"/>
      <c r="T1061" s="471"/>
      <c r="U1061" s="471"/>
      <c r="V1061" s="471"/>
      <c r="W1061" s="471"/>
      <c r="X1061" s="471"/>
      <c r="Y1061" s="471"/>
      <c r="Z1061" s="305"/>
      <c r="AA1061" s="305"/>
      <c r="AB1061" s="305"/>
      <c r="AC1061" s="305"/>
      <c r="AD1061" s="305"/>
      <c r="AE1061" s="131"/>
    </row>
    <row r="1062" spans="8:31" ht="14.25">
      <c r="H1062" s="129"/>
      <c r="I1062" s="129"/>
      <c r="J1062" s="129"/>
      <c r="K1062" s="304"/>
      <c r="N1062" s="487"/>
      <c r="O1062" s="305"/>
      <c r="Q1062" s="305"/>
      <c r="R1062" s="305"/>
      <c r="S1062" s="471"/>
      <c r="T1062" s="471"/>
      <c r="U1062" s="471"/>
      <c r="V1062" s="471"/>
      <c r="W1062" s="471"/>
      <c r="X1062" s="471"/>
      <c r="Y1062" s="471"/>
      <c r="Z1062" s="305"/>
      <c r="AA1062" s="305"/>
      <c r="AB1062" s="305"/>
      <c r="AC1062" s="305"/>
      <c r="AD1062" s="305"/>
      <c r="AE1062" s="131"/>
    </row>
    <row r="1063" spans="8:31" ht="14.25">
      <c r="H1063" s="129"/>
      <c r="I1063" s="129"/>
      <c r="J1063" s="129"/>
      <c r="K1063" s="304"/>
      <c r="N1063" s="487"/>
      <c r="O1063" s="305"/>
      <c r="Q1063" s="305"/>
      <c r="R1063" s="305"/>
      <c r="S1063" s="471"/>
      <c r="T1063" s="471"/>
      <c r="U1063" s="471"/>
      <c r="V1063" s="471"/>
      <c r="W1063" s="471"/>
      <c r="X1063" s="471"/>
      <c r="Y1063" s="471"/>
      <c r="Z1063" s="305"/>
      <c r="AA1063" s="305"/>
      <c r="AB1063" s="305"/>
      <c r="AC1063" s="305"/>
      <c r="AD1063" s="305"/>
      <c r="AE1063" s="131"/>
    </row>
    <row r="1064" spans="8:31" ht="14.25">
      <c r="H1064" s="129"/>
      <c r="I1064" s="129"/>
      <c r="J1064" s="129"/>
      <c r="K1064" s="304"/>
      <c r="N1064" s="487"/>
      <c r="O1064" s="305"/>
      <c r="Q1064" s="305"/>
      <c r="R1064" s="305"/>
      <c r="S1064" s="471"/>
      <c r="T1064" s="471"/>
      <c r="U1064" s="471"/>
      <c r="V1064" s="471"/>
      <c r="W1064" s="471"/>
      <c r="X1064" s="471"/>
      <c r="Y1064" s="471"/>
      <c r="Z1064" s="305"/>
      <c r="AA1064" s="305"/>
      <c r="AB1064" s="305"/>
      <c r="AC1064" s="305"/>
      <c r="AD1064" s="305"/>
      <c r="AE1064" s="131"/>
    </row>
    <row r="1065" spans="8:31" ht="14.25">
      <c r="H1065" s="129"/>
      <c r="I1065" s="129"/>
      <c r="J1065" s="129"/>
      <c r="K1065" s="304"/>
      <c r="N1065" s="487"/>
      <c r="O1065" s="305"/>
      <c r="Q1065" s="305"/>
      <c r="R1065" s="305"/>
      <c r="S1065" s="471"/>
      <c r="T1065" s="471"/>
      <c r="U1065" s="471"/>
      <c r="V1065" s="471"/>
      <c r="W1065" s="471"/>
      <c r="X1065" s="471"/>
      <c r="Y1065" s="471"/>
      <c r="Z1065" s="305"/>
      <c r="AA1065" s="305"/>
      <c r="AB1065" s="305"/>
      <c r="AC1065" s="305"/>
      <c r="AD1065" s="305"/>
      <c r="AE1065" s="131"/>
    </row>
    <row r="1066" spans="8:31" ht="14.25">
      <c r="H1066" s="129"/>
      <c r="I1066" s="129"/>
      <c r="J1066" s="129"/>
      <c r="K1066" s="304"/>
      <c r="N1066" s="487"/>
      <c r="O1066" s="305"/>
      <c r="Q1066" s="305"/>
      <c r="R1066" s="305"/>
      <c r="S1066" s="471"/>
      <c r="T1066" s="471"/>
      <c r="U1066" s="471"/>
      <c r="V1066" s="471"/>
      <c r="W1066" s="471"/>
      <c r="X1066" s="471"/>
      <c r="Y1066" s="471"/>
      <c r="Z1066" s="305"/>
      <c r="AA1066" s="305"/>
      <c r="AB1066" s="305"/>
      <c r="AC1066" s="305"/>
      <c r="AD1066" s="305"/>
      <c r="AE1066" s="131"/>
    </row>
    <row r="1067" spans="8:31" ht="14.25">
      <c r="H1067" s="129"/>
      <c r="I1067" s="129"/>
      <c r="J1067" s="129"/>
      <c r="K1067" s="304"/>
      <c r="N1067" s="487"/>
      <c r="O1067" s="305"/>
      <c r="Q1067" s="305"/>
      <c r="R1067" s="305"/>
      <c r="S1067" s="471"/>
      <c r="T1067" s="471"/>
      <c r="U1067" s="471"/>
      <c r="V1067" s="471"/>
      <c r="W1067" s="471"/>
      <c r="X1067" s="471"/>
      <c r="Y1067" s="471"/>
      <c r="Z1067" s="305"/>
      <c r="AA1067" s="305"/>
      <c r="AB1067" s="305"/>
      <c r="AC1067" s="305"/>
      <c r="AD1067" s="305"/>
      <c r="AE1067" s="131"/>
    </row>
    <row r="1068" spans="8:31" ht="14.25">
      <c r="H1068" s="129"/>
      <c r="I1068" s="129"/>
      <c r="J1068" s="129"/>
      <c r="K1068" s="304"/>
      <c r="N1068" s="487"/>
      <c r="O1068" s="305"/>
      <c r="Q1068" s="305"/>
      <c r="R1068" s="305"/>
      <c r="S1068" s="471"/>
      <c r="T1068" s="471"/>
      <c r="U1068" s="471"/>
      <c r="V1068" s="471"/>
      <c r="W1068" s="471"/>
      <c r="X1068" s="471"/>
      <c r="Y1068" s="471"/>
      <c r="Z1068" s="305"/>
      <c r="AA1068" s="305"/>
      <c r="AB1068" s="305"/>
      <c r="AC1068" s="305"/>
      <c r="AD1068" s="305"/>
      <c r="AE1068" s="131"/>
    </row>
    <row r="1069" spans="8:31" ht="14.25">
      <c r="H1069" s="129"/>
      <c r="I1069" s="129"/>
      <c r="J1069" s="129"/>
      <c r="K1069" s="304"/>
      <c r="N1069" s="487"/>
      <c r="O1069" s="305"/>
      <c r="Q1069" s="305"/>
      <c r="R1069" s="305"/>
      <c r="S1069" s="471"/>
      <c r="T1069" s="471"/>
      <c r="U1069" s="471"/>
      <c r="V1069" s="471"/>
      <c r="W1069" s="471"/>
      <c r="X1069" s="471"/>
      <c r="Y1069" s="471"/>
      <c r="Z1069" s="305"/>
      <c r="AA1069" s="305"/>
      <c r="AB1069" s="305"/>
      <c r="AC1069" s="305"/>
      <c r="AD1069" s="305"/>
      <c r="AE1069" s="131"/>
    </row>
    <row r="1070" spans="8:31" ht="14.25">
      <c r="H1070" s="129"/>
      <c r="I1070" s="129"/>
      <c r="J1070" s="129"/>
      <c r="K1070" s="304"/>
      <c r="N1070" s="487"/>
      <c r="O1070" s="305"/>
      <c r="Q1070" s="305"/>
      <c r="R1070" s="305"/>
      <c r="S1070" s="471"/>
      <c r="T1070" s="471"/>
      <c r="U1070" s="471"/>
      <c r="V1070" s="471"/>
      <c r="W1070" s="471"/>
      <c r="X1070" s="471"/>
      <c r="Y1070" s="471"/>
      <c r="Z1070" s="305"/>
      <c r="AA1070" s="305"/>
      <c r="AB1070" s="305"/>
      <c r="AC1070" s="305"/>
      <c r="AD1070" s="305"/>
      <c r="AE1070" s="131"/>
    </row>
    <row r="1071" spans="8:31" ht="14.25">
      <c r="H1071" s="129"/>
      <c r="I1071" s="129"/>
      <c r="J1071" s="129"/>
      <c r="K1071" s="304"/>
      <c r="N1071" s="487"/>
      <c r="O1071" s="305"/>
      <c r="Q1071" s="305"/>
      <c r="R1071" s="305"/>
      <c r="S1071" s="471"/>
      <c r="T1071" s="471"/>
      <c r="U1071" s="471"/>
      <c r="V1071" s="471"/>
      <c r="W1071" s="471"/>
      <c r="X1071" s="471"/>
      <c r="Y1071" s="471"/>
      <c r="Z1071" s="305"/>
      <c r="AA1071" s="305"/>
      <c r="AB1071" s="305"/>
      <c r="AC1071" s="305"/>
      <c r="AD1071" s="305"/>
      <c r="AE1071" s="131"/>
    </row>
    <row r="1072" spans="8:31" ht="14.25">
      <c r="H1072" s="129"/>
      <c r="I1072" s="129"/>
      <c r="J1072" s="129"/>
      <c r="K1072" s="304"/>
      <c r="N1072" s="487"/>
      <c r="O1072" s="305"/>
      <c r="Q1072" s="305"/>
      <c r="R1072" s="305"/>
      <c r="S1072" s="471"/>
      <c r="T1072" s="471"/>
      <c r="U1072" s="471"/>
      <c r="V1072" s="471"/>
      <c r="W1072" s="471"/>
      <c r="X1072" s="471"/>
      <c r="Y1072" s="471"/>
      <c r="Z1072" s="305"/>
      <c r="AA1072" s="305"/>
      <c r="AB1072" s="305"/>
      <c r="AC1072" s="305"/>
      <c r="AD1072" s="305"/>
      <c r="AE1072" s="131"/>
    </row>
    <row r="1073" spans="8:31" ht="14.25">
      <c r="H1073" s="129"/>
      <c r="I1073" s="129"/>
      <c r="J1073" s="129"/>
      <c r="K1073" s="304"/>
      <c r="N1073" s="487"/>
      <c r="O1073" s="305"/>
      <c r="Q1073" s="305"/>
      <c r="R1073" s="305"/>
      <c r="S1073" s="471"/>
      <c r="T1073" s="471"/>
      <c r="U1073" s="471"/>
      <c r="V1073" s="471"/>
      <c r="W1073" s="471"/>
      <c r="X1073" s="471"/>
      <c r="Y1073" s="471"/>
      <c r="Z1073" s="305"/>
      <c r="AA1073" s="305"/>
      <c r="AB1073" s="305"/>
      <c r="AC1073" s="305"/>
      <c r="AD1073" s="305"/>
      <c r="AE1073" s="131"/>
    </row>
    <row r="1074" spans="8:31" ht="14.25">
      <c r="H1074" s="129"/>
      <c r="I1074" s="129"/>
      <c r="J1074" s="129"/>
      <c r="K1074" s="304"/>
      <c r="N1074" s="487"/>
      <c r="O1074" s="305"/>
      <c r="Q1074" s="305"/>
      <c r="R1074" s="305"/>
      <c r="S1074" s="471"/>
      <c r="T1074" s="471"/>
      <c r="U1074" s="471"/>
      <c r="V1074" s="471"/>
      <c r="W1074" s="471"/>
      <c r="X1074" s="471"/>
      <c r="Y1074" s="471"/>
      <c r="Z1074" s="305"/>
      <c r="AA1074" s="305"/>
      <c r="AB1074" s="305"/>
      <c r="AC1074" s="305"/>
      <c r="AD1074" s="305"/>
      <c r="AE1074" s="131"/>
    </row>
    <row r="1075" spans="8:31" ht="14.25">
      <c r="H1075" s="129"/>
      <c r="I1075" s="129"/>
      <c r="J1075" s="129"/>
      <c r="K1075" s="304"/>
      <c r="N1075" s="487"/>
      <c r="O1075" s="305"/>
      <c r="Q1075" s="305"/>
      <c r="R1075" s="305"/>
      <c r="S1075" s="471"/>
      <c r="T1075" s="471"/>
      <c r="U1075" s="471"/>
      <c r="V1075" s="471"/>
      <c r="W1075" s="471"/>
      <c r="X1075" s="471"/>
      <c r="Y1075" s="471"/>
      <c r="Z1075" s="305"/>
      <c r="AA1075" s="305"/>
      <c r="AB1075" s="305"/>
      <c r="AC1075" s="305"/>
      <c r="AD1075" s="305"/>
      <c r="AE1075" s="131"/>
    </row>
    <row r="1076" spans="8:31" ht="14.25">
      <c r="H1076" s="129"/>
      <c r="I1076" s="129"/>
      <c r="J1076" s="129"/>
      <c r="K1076" s="304"/>
      <c r="N1076" s="487"/>
      <c r="O1076" s="305"/>
      <c r="Q1076" s="305"/>
      <c r="R1076" s="305"/>
      <c r="S1076" s="471"/>
      <c r="T1076" s="471"/>
      <c r="U1076" s="471"/>
      <c r="V1076" s="471"/>
      <c r="W1076" s="471"/>
      <c r="X1076" s="471"/>
      <c r="Y1076" s="471"/>
      <c r="Z1076" s="305"/>
      <c r="AA1076" s="305"/>
      <c r="AB1076" s="305"/>
      <c r="AC1076" s="305"/>
      <c r="AD1076" s="305"/>
      <c r="AE1076" s="131"/>
    </row>
    <row r="1077" spans="8:31" ht="14.25">
      <c r="H1077" s="129"/>
      <c r="I1077" s="129"/>
      <c r="J1077" s="129"/>
      <c r="K1077" s="304"/>
      <c r="N1077" s="487"/>
      <c r="O1077" s="305"/>
      <c r="Q1077" s="305"/>
      <c r="R1077" s="305"/>
      <c r="S1077" s="471"/>
      <c r="T1077" s="471"/>
      <c r="U1077" s="471"/>
      <c r="V1077" s="471"/>
      <c r="W1077" s="471"/>
      <c r="X1077" s="471"/>
      <c r="Y1077" s="471"/>
      <c r="Z1077" s="305"/>
      <c r="AA1077" s="305"/>
      <c r="AB1077" s="305"/>
      <c r="AC1077" s="305"/>
      <c r="AD1077" s="305"/>
      <c r="AE1077" s="131"/>
    </row>
    <row r="1078" spans="8:31" ht="14.25">
      <c r="H1078" s="129"/>
      <c r="I1078" s="129"/>
      <c r="J1078" s="129"/>
      <c r="K1078" s="304"/>
      <c r="N1078" s="487"/>
      <c r="O1078" s="305"/>
      <c r="Q1078" s="305"/>
      <c r="R1078" s="305"/>
      <c r="S1078" s="471"/>
      <c r="T1078" s="471"/>
      <c r="U1078" s="471"/>
      <c r="V1078" s="471"/>
      <c r="W1078" s="471"/>
      <c r="X1078" s="471"/>
      <c r="Y1078" s="471"/>
      <c r="Z1078" s="305"/>
      <c r="AA1078" s="305"/>
      <c r="AB1078" s="305"/>
      <c r="AC1078" s="305"/>
      <c r="AD1078" s="305"/>
      <c r="AE1078" s="131"/>
    </row>
    <row r="1079" spans="8:31" ht="14.25">
      <c r="H1079" s="129"/>
      <c r="I1079" s="129"/>
      <c r="J1079" s="129"/>
      <c r="K1079" s="304"/>
      <c r="N1079" s="487"/>
      <c r="O1079" s="305"/>
      <c r="Q1079" s="305"/>
      <c r="R1079" s="305"/>
      <c r="S1079" s="471"/>
      <c r="T1079" s="471"/>
      <c r="U1079" s="471"/>
      <c r="V1079" s="471"/>
      <c r="W1079" s="471"/>
      <c r="X1079" s="471"/>
      <c r="Y1079" s="471"/>
      <c r="Z1079" s="305"/>
      <c r="AA1079" s="305"/>
      <c r="AB1079" s="305"/>
      <c r="AC1079" s="305"/>
      <c r="AD1079" s="305"/>
      <c r="AE1079" s="131"/>
    </row>
    <row r="1080" spans="8:31" ht="14.25">
      <c r="H1080" s="129"/>
      <c r="I1080" s="129"/>
      <c r="J1080" s="129"/>
      <c r="K1080" s="304"/>
      <c r="N1080" s="487"/>
      <c r="O1080" s="305"/>
      <c r="Q1080" s="305"/>
      <c r="R1080" s="305"/>
      <c r="S1080" s="471"/>
      <c r="T1080" s="471"/>
      <c r="U1080" s="471"/>
      <c r="V1080" s="471"/>
      <c r="W1080" s="471"/>
      <c r="X1080" s="471"/>
      <c r="Y1080" s="471"/>
      <c r="Z1080" s="305"/>
      <c r="AA1080" s="305"/>
      <c r="AB1080" s="305"/>
      <c r="AC1080" s="305"/>
      <c r="AD1080" s="305"/>
      <c r="AE1080" s="131"/>
    </row>
  </sheetData>
  <sheetProtection selectLockedCells="1" selectUnlockedCells="1"/>
  <autoFilter ref="AS9:AS12"/>
  <mergeCells count="49">
    <mergeCell ref="A144:A150"/>
    <mergeCell ref="E9:E10"/>
    <mergeCell ref="A9:A10"/>
    <mergeCell ref="B9:B10"/>
    <mergeCell ref="C9:C10"/>
    <mergeCell ref="D9:D10"/>
    <mergeCell ref="B144:B148"/>
    <mergeCell ref="C131:C136"/>
    <mergeCell ref="C138:C141"/>
    <mergeCell ref="C144:C148"/>
    <mergeCell ref="AJ9:AM9"/>
    <mergeCell ref="AN9:AN10"/>
    <mergeCell ref="F9:J9"/>
    <mergeCell ref="AS9:AS10"/>
    <mergeCell ref="K9:N9"/>
    <mergeCell ref="O9:Q9"/>
    <mergeCell ref="AE9:AE10"/>
    <mergeCell ref="AF9:AH9"/>
    <mergeCell ref="AI9:AI10"/>
    <mergeCell ref="Z9:AD9"/>
    <mergeCell ref="AR28:AR30"/>
    <mergeCell ref="AR31:AR32"/>
    <mergeCell ref="B35:B38"/>
    <mergeCell ref="C125:C130"/>
    <mergeCell ref="C47:C54"/>
    <mergeCell ref="C72:C76"/>
    <mergeCell ref="B71:B76"/>
    <mergeCell ref="B79:B100"/>
    <mergeCell ref="B103:B122"/>
    <mergeCell ref="AE17:AE149"/>
    <mergeCell ref="W158:AE158"/>
    <mergeCell ref="C21:C25"/>
    <mergeCell ref="B22:B25"/>
    <mergeCell ref="B28:B32"/>
    <mergeCell ref="C28:C32"/>
    <mergeCell ref="B41:B44"/>
    <mergeCell ref="C35:C38"/>
    <mergeCell ref="C79:C88"/>
    <mergeCell ref="C120:C122"/>
    <mergeCell ref="S9:Y9"/>
    <mergeCell ref="A18:A19"/>
    <mergeCell ref="B47:B68"/>
    <mergeCell ref="C56:C68"/>
    <mergeCell ref="A12:A13"/>
    <mergeCell ref="A15:A16"/>
    <mergeCell ref="A21:A26"/>
    <mergeCell ref="A28:A142"/>
    <mergeCell ref="C106:C117"/>
    <mergeCell ref="C104:C105"/>
  </mergeCells>
  <printOptions/>
  <pageMargins left="0.25" right="0.25" top="0.75" bottom="0.75" header="0.5118055555555555" footer="0.5118055555555555"/>
  <pageSetup fitToHeight="0" fitToWidth="1" horizontalDpi="300" verticalDpi="300" orientation="landscape" paperSize="8" scale="37" r:id="rId3"/>
  <legacyDrawing r:id="rId2"/>
</worksheet>
</file>

<file path=xl/worksheets/sheet4.xml><?xml version="1.0" encoding="utf-8"?>
<worksheet xmlns="http://schemas.openxmlformats.org/spreadsheetml/2006/main" xmlns:r="http://schemas.openxmlformats.org/officeDocument/2006/relationships">
  <dimension ref="B1:Q20"/>
  <sheetViews>
    <sheetView zoomScalePageLayoutView="0" workbookViewId="0" topLeftCell="E10">
      <selection activeCell="F20" sqref="F20"/>
    </sheetView>
  </sheetViews>
  <sheetFormatPr defaultColWidth="11.00390625" defaultRowHeight="14.25"/>
  <cols>
    <col min="1" max="1" width="3.875" style="3" customWidth="1"/>
    <col min="2" max="2" width="26.00390625" style="3" customWidth="1"/>
    <col min="3" max="3" width="20.00390625" style="3" customWidth="1"/>
    <col min="4" max="4" width="20.75390625" style="3" customWidth="1"/>
    <col min="5" max="5" width="19.50390625" style="3" customWidth="1"/>
    <col min="6" max="6" width="14.625" style="3" customWidth="1"/>
    <col min="7" max="7" width="2.75390625" style="3" customWidth="1"/>
    <col min="8" max="8" width="14.00390625" style="3" customWidth="1"/>
    <col min="9" max="9" width="16.00390625" style="3" customWidth="1"/>
    <col min="10" max="10" width="18.00390625" style="3" customWidth="1"/>
    <col min="11" max="11" width="9.625" style="3" hidden="1" customWidth="1"/>
    <col min="12" max="12" width="11.875" style="3" hidden="1" customWidth="1"/>
    <col min="13" max="13" width="14.875" style="3" bestFit="1" customWidth="1"/>
    <col min="14" max="14" width="9.50390625" style="3" hidden="1" customWidth="1"/>
    <col min="15" max="15" width="13.625" style="3" customWidth="1"/>
    <col min="16" max="16" width="36.25390625" style="3" customWidth="1"/>
    <col min="17" max="17" width="23.00390625" style="3" customWidth="1"/>
    <col min="18" max="16384" width="11.00390625" style="3" customWidth="1"/>
  </cols>
  <sheetData>
    <row r="1" spans="2:5" ht="15.75">
      <c r="B1" s="604" t="s">
        <v>0</v>
      </c>
      <c r="C1" s="604"/>
      <c r="D1" s="604"/>
      <c r="E1" s="2"/>
    </row>
    <row r="2" spans="2:5" ht="33.75">
      <c r="B2" s="605" t="s">
        <v>1</v>
      </c>
      <c r="C2" s="605"/>
      <c r="D2" s="606" t="s">
        <v>2</v>
      </c>
      <c r="E2" s="606"/>
    </row>
    <row r="3" spans="2:5" ht="33.75">
      <c r="B3" s="605" t="s">
        <v>3</v>
      </c>
      <c r="C3" s="605"/>
      <c r="D3" s="606" t="s">
        <v>4</v>
      </c>
      <c r="E3" s="606"/>
    </row>
    <row r="4" spans="2:5" ht="20.25">
      <c r="B4" s="605" t="s">
        <v>5</v>
      </c>
      <c r="C4" s="605"/>
      <c r="D4" s="615">
        <v>42194</v>
      </c>
      <c r="E4" s="616"/>
    </row>
    <row r="5" spans="2:5" ht="20.25">
      <c r="B5" s="605" t="s">
        <v>6</v>
      </c>
      <c r="C5" s="605"/>
      <c r="D5" s="615">
        <v>42231</v>
      </c>
      <c r="E5" s="616"/>
    </row>
    <row r="6" spans="2:17" ht="27.75" customHeight="1">
      <c r="B6" s="588" t="s">
        <v>329</v>
      </c>
      <c r="C6" s="588"/>
      <c r="D6" s="588"/>
      <c r="E6" s="588"/>
      <c r="F6" s="588"/>
      <c r="G6" s="588"/>
      <c r="H6" s="588"/>
      <c r="I6" s="588"/>
      <c r="J6" s="588"/>
      <c r="K6" s="588"/>
      <c r="L6" s="588"/>
      <c r="M6" s="588"/>
      <c r="N6" s="588"/>
      <c r="O6" s="588"/>
      <c r="P6" s="588"/>
      <c r="Q6" s="588"/>
    </row>
    <row r="7" ht="9" customHeight="1" thickBot="1"/>
    <row r="8" spans="2:17" s="5" customFormat="1" ht="50.25" customHeight="1" thickBot="1">
      <c r="B8" s="583" t="s">
        <v>328</v>
      </c>
      <c r="C8" s="584"/>
      <c r="D8" s="584"/>
      <c r="E8" s="584"/>
      <c r="F8" s="585"/>
      <c r="G8" s="4"/>
      <c r="H8" s="583" t="s">
        <v>327</v>
      </c>
      <c r="I8" s="584"/>
      <c r="J8" s="585"/>
      <c r="K8" s="581" t="s">
        <v>9</v>
      </c>
      <c r="L8" s="582"/>
      <c r="M8" s="582"/>
      <c r="N8" s="602"/>
      <c r="O8" s="590" t="s">
        <v>10</v>
      </c>
      <c r="P8" s="590" t="s">
        <v>11</v>
      </c>
      <c r="Q8" s="590" t="s">
        <v>12</v>
      </c>
    </row>
    <row r="9" spans="2:17" s="5" customFormat="1" ht="85.5" customHeight="1">
      <c r="B9" s="6" t="s">
        <v>13</v>
      </c>
      <c r="C9" s="6" t="s">
        <v>14</v>
      </c>
      <c r="D9" s="6" t="s">
        <v>15</v>
      </c>
      <c r="E9" s="6" t="s">
        <v>326</v>
      </c>
      <c r="F9" s="7" t="s">
        <v>325</v>
      </c>
      <c r="G9" s="4"/>
      <c r="H9" s="6" t="s">
        <v>13</v>
      </c>
      <c r="I9" s="6" t="s">
        <v>14</v>
      </c>
      <c r="J9" s="7" t="s">
        <v>15</v>
      </c>
      <c r="K9" s="8" t="s">
        <v>18</v>
      </c>
      <c r="L9" s="8" t="s">
        <v>324</v>
      </c>
      <c r="M9" s="8" t="s">
        <v>20</v>
      </c>
      <c r="N9" s="8" t="s">
        <v>20</v>
      </c>
      <c r="O9" s="591"/>
      <c r="P9" s="603"/>
      <c r="Q9" s="603"/>
    </row>
    <row r="10" spans="2:17" ht="54.75" customHeight="1">
      <c r="B10" s="681" t="s">
        <v>323</v>
      </c>
      <c r="C10" s="682"/>
      <c r="D10" s="683"/>
      <c r="E10" s="679">
        <v>45694.83</v>
      </c>
      <c r="F10" s="679">
        <f>+E10</f>
        <v>45694.83</v>
      </c>
      <c r="G10" s="375"/>
      <c r="H10" s="676" t="s">
        <v>322</v>
      </c>
      <c r="I10" s="676" t="s">
        <v>97</v>
      </c>
      <c r="J10" s="676" t="s">
        <v>321</v>
      </c>
      <c r="K10" s="546"/>
      <c r="L10" s="546"/>
      <c r="M10" s="677">
        <v>6000</v>
      </c>
      <c r="N10" s="547"/>
      <c r="O10" s="677">
        <v>6000</v>
      </c>
      <c r="P10" s="678" t="s">
        <v>374</v>
      </c>
      <c r="Q10" s="373"/>
    </row>
    <row r="11" spans="2:17" ht="54.75" customHeight="1" thickBot="1">
      <c r="B11" s="684"/>
      <c r="C11" s="685"/>
      <c r="D11" s="686"/>
      <c r="E11" s="680"/>
      <c r="F11" s="680"/>
      <c r="G11" s="375"/>
      <c r="H11" s="676"/>
      <c r="I11" s="676"/>
      <c r="J11" s="676"/>
      <c r="K11" s="548"/>
      <c r="L11" s="548"/>
      <c r="M11" s="677"/>
      <c r="N11" s="548"/>
      <c r="O11" s="677"/>
      <c r="P11" s="678"/>
      <c r="Q11" s="370"/>
    </row>
    <row r="12" spans="2:17" ht="18.75" thickBot="1">
      <c r="B12" s="372"/>
      <c r="C12" s="372"/>
      <c r="D12" s="372"/>
      <c r="E12" s="371">
        <f>+E10</f>
        <v>45694.83</v>
      </c>
      <c r="F12" s="371">
        <f>SUM(F10:F11)</f>
        <v>45694.83</v>
      </c>
      <c r="G12" s="4"/>
      <c r="H12" s="4"/>
      <c r="I12" s="4"/>
      <c r="J12" s="4"/>
      <c r="K12" s="4"/>
      <c r="L12" s="4"/>
      <c r="M12" s="4"/>
      <c r="N12" s="4"/>
      <c r="O12" s="4"/>
      <c r="P12" s="4"/>
      <c r="Q12" s="4"/>
    </row>
    <row r="13" spans="2:16" ht="15">
      <c r="B13" s="4"/>
      <c r="C13" s="4"/>
      <c r="D13" s="4"/>
      <c r="E13" s="4"/>
      <c r="F13" s="4"/>
      <c r="G13" s="4"/>
      <c r="H13" s="4"/>
      <c r="I13" s="4"/>
      <c r="J13" s="42" t="s">
        <v>45</v>
      </c>
      <c r="K13" s="43">
        <f>SUM(K11:K11)</f>
        <v>0</v>
      </c>
      <c r="L13" s="369">
        <f>SUM(L11:L11)</f>
        <v>0</v>
      </c>
      <c r="M13" s="44">
        <f>SUM(M10:M11)</f>
        <v>6000</v>
      </c>
      <c r="N13" s="44">
        <f>SUM(N11:N11)</f>
        <v>0</v>
      </c>
      <c r="O13" s="44">
        <f>SUM(O10:O11)</f>
        <v>6000</v>
      </c>
      <c r="P13" s="368" t="s">
        <v>46</v>
      </c>
    </row>
    <row r="14" spans="2:17" ht="28.5" customHeight="1">
      <c r="B14" s="40" t="s">
        <v>44</v>
      </c>
      <c r="C14" s="40"/>
      <c r="D14" s="40"/>
      <c r="E14" s="4"/>
      <c r="F14" s="41"/>
      <c r="G14" s="4"/>
      <c r="H14" s="4"/>
      <c r="I14" s="4"/>
      <c r="J14" s="4"/>
      <c r="K14" s="4"/>
      <c r="L14" s="4"/>
      <c r="M14" s="4"/>
      <c r="N14" s="4"/>
      <c r="O14" s="367"/>
      <c r="P14" s="4"/>
      <c r="Q14" s="4"/>
    </row>
    <row r="15" spans="2:16" ht="14.25">
      <c r="B15" s="4"/>
      <c r="C15" s="4"/>
      <c r="D15" s="4"/>
      <c r="E15" s="4"/>
      <c r="F15" s="46"/>
      <c r="G15" s="4"/>
      <c r="H15" s="589"/>
      <c r="I15" s="589"/>
      <c r="J15" s="589"/>
      <c r="K15" s="589"/>
      <c r="L15" s="589"/>
      <c r="M15" s="589"/>
      <c r="N15" s="589"/>
      <c r="O15" s="589"/>
      <c r="P15" s="589"/>
    </row>
    <row r="16" spans="2:15" ht="14.25">
      <c r="B16" s="78"/>
      <c r="H16" s="366">
        <f>+F10</f>
        <v>45694.83</v>
      </c>
      <c r="I16" s="366">
        <f>+F17-H16</f>
        <v>-45694.83</v>
      </c>
      <c r="O16" s="69"/>
    </row>
    <row r="17" spans="2:6" ht="14.25">
      <c r="B17" s="668" t="s">
        <v>320</v>
      </c>
      <c r="C17" s="669"/>
      <c r="D17" s="670"/>
      <c r="E17" s="674">
        <v>0</v>
      </c>
      <c r="F17" s="674">
        <v>0</v>
      </c>
    </row>
    <row r="18" spans="2:13" ht="14.25" customHeight="1">
      <c r="B18" s="671"/>
      <c r="C18" s="672"/>
      <c r="D18" s="673"/>
      <c r="E18" s="675"/>
      <c r="F18" s="675"/>
      <c r="I18" s="350">
        <f>+O10</f>
        <v>6000</v>
      </c>
      <c r="J18" s="678" t="s">
        <v>330</v>
      </c>
      <c r="K18" s="678"/>
      <c r="L18" s="678"/>
      <c r="M18" s="678"/>
    </row>
    <row r="19" ht="36.75" customHeight="1"/>
    <row r="20" spans="2:6" ht="32.25" customHeight="1">
      <c r="B20" s="365" t="s">
        <v>319</v>
      </c>
      <c r="C20" s="365"/>
      <c r="D20" s="365"/>
      <c r="E20" s="365"/>
      <c r="F20" s="5"/>
    </row>
  </sheetData>
  <sheetProtection/>
  <mergeCells count="30">
    <mergeCell ref="J18:M18"/>
    <mergeCell ref="D5:E5"/>
    <mergeCell ref="E10:E11"/>
    <mergeCell ref="F10:F11"/>
    <mergeCell ref="H15:P15"/>
    <mergeCell ref="H10:H11"/>
    <mergeCell ref="F17:F18"/>
    <mergeCell ref="I10:I11"/>
    <mergeCell ref="P8:P9"/>
    <mergeCell ref="B10:D11"/>
    <mergeCell ref="B6:Q6"/>
    <mergeCell ref="B8:F8"/>
    <mergeCell ref="J10:J11"/>
    <mergeCell ref="Q8:Q9"/>
    <mergeCell ref="O8:O9"/>
    <mergeCell ref="H8:J8"/>
    <mergeCell ref="K8:N8"/>
    <mergeCell ref="M10:M11"/>
    <mergeCell ref="O10:O11"/>
    <mergeCell ref="P10:P11"/>
    <mergeCell ref="B1:D1"/>
    <mergeCell ref="B2:C2"/>
    <mergeCell ref="D2:E2"/>
    <mergeCell ref="B3:C3"/>
    <mergeCell ref="D3:E3"/>
    <mergeCell ref="B17:D18"/>
    <mergeCell ref="E17:E18"/>
    <mergeCell ref="B4:C4"/>
    <mergeCell ref="B5:C5"/>
    <mergeCell ref="D4:E4"/>
  </mergeCells>
  <printOptions/>
  <pageMargins left="0.31496062992125984" right="0.31496062992125984" top="0.7480314960629921" bottom="0.7480314960629921" header="0.31496062992125984" footer="0.31496062992125984"/>
  <pageSetup horizontalDpi="600" verticalDpi="600" orientation="landscape"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UCPFG</cp:lastModifiedBy>
  <cp:lastPrinted>2015-10-28T20:41:01Z</cp:lastPrinted>
  <dcterms:created xsi:type="dcterms:W3CDTF">2015-09-14T19:55:13Z</dcterms:created>
  <dcterms:modified xsi:type="dcterms:W3CDTF">2015-10-29T16:02:53Z</dcterms:modified>
  <cp:category/>
  <cp:version/>
  <cp:contentType/>
  <cp:contentStatus/>
</cp:coreProperties>
</file>