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4440" tabRatio="820" firstSheet="2" activeTab="7"/>
  </bookViews>
  <sheets>
    <sheet name="Menú" sheetId="1" r:id="rId1"/>
    <sheet name="Lista de indicadores" sheetId="2" r:id="rId2"/>
    <sheet name="Introducción de datos" sheetId="3" r:id="rId3"/>
    <sheet name="Información de la subvención" sheetId="4" r:id="rId4"/>
    <sheet name="Financiamiento" sheetId="5" r:id="rId5"/>
    <sheet name="Hoja1" sheetId="6" r:id="rId6"/>
    <sheet name="Gestión" sheetId="7" r:id="rId7"/>
    <sheet name="Programatico" sheetId="8" r:id="rId8"/>
    <sheet name="Recomendaciones" sheetId="9" r:id="rId9"/>
    <sheet name="Acciones" sheetId="10" r:id="rId10"/>
    <sheet name="Setup" sheetId="11" state="hidden" r:id="rId11"/>
    <sheet name="Hoja2" sheetId="12" r:id="rId12"/>
  </sheets>
  <externalReferences>
    <externalReference r:id="rId15"/>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9">'Acciones'!$A$1:$L$43</definedName>
    <definedName name="_xlnm.Print_Area" localSheetId="4">'Financiamiento'!$A$2:$L$31</definedName>
    <definedName name="_xlnm.Print_Area" localSheetId="6">'Gestión'!$A$1:$L$34</definedName>
    <definedName name="_xlnm.Print_Area" localSheetId="3">'Información de la subvención'!$A$1:$K$15</definedName>
    <definedName name="_xlnm.Print_Area" localSheetId="2">'Introducción de datos'!$A$1:$Q$164</definedName>
    <definedName name="_xlnm.Print_Area" localSheetId="7">'Programatico'!$A$1:$Q$26</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datos'!$B$25:$J$65</definedName>
    <definedName name="PrintDataM">'Introducción de datos'!$B$67:$H$112</definedName>
    <definedName name="PrintF">'Financiamiento'!$A$2:$K$31</definedName>
    <definedName name="PrintGD">'Información de la subvención'!$A$2:$J$13</definedName>
    <definedName name="PrintM" localSheetId="9">'Acciones'!$A$2:$L$6</definedName>
    <definedName name="PrintM">'Gestión'!$A$2:$L$36</definedName>
    <definedName name="PrintP">'Programatico'!$A$2:$P$26</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72" authorId="0">
      <text>
        <r>
          <rPr>
            <b/>
            <sz val="8"/>
            <color indexed="32"/>
            <rFont val="Tahoma"/>
            <family val="2"/>
          </rPr>
          <t xml:space="preserve">Si los datos no están disponibles, no introduzca ceros; deje las celdas de la tabla en blanco. </t>
        </r>
      </text>
    </comment>
    <comment ref="B73"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<sst xmlns="http://schemas.openxmlformats.org/spreadsheetml/2006/main" count="551" uniqueCount="379">
  <si>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</si>
  <si>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</si>
  <si>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</si>
  <si>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</si>
  <si>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</si>
  <si>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</si>
  <si>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</si>
  <si>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</si>
  <si>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</si>
  <si>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</si>
  <si>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</si>
  <si>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</si>
  <si>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</si>
  <si>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</si>
  <si>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</si>
  <si>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</si>
  <si>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P1</t>
  </si>
  <si>
    <t>P2</t>
  </si>
  <si>
    <t>P3</t>
  </si>
  <si>
    <t>P4</t>
  </si>
  <si>
    <t>P5</t>
  </si>
  <si>
    <t>P6</t>
  </si>
  <si>
    <t>P7</t>
  </si>
  <si>
    <t>P8</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</si>
  <si>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</si>
  <si>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</si>
  <si>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</si>
  <si>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</si>
  <si>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</si>
  <si>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</si>
  <si>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</si>
  <si>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</si>
  <si>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</si>
  <si>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</si>
  <si>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</si>
  <si>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</si>
  <si>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</si>
  <si>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</si>
  <si>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</si>
  <si>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</si>
  <si>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</si>
  <si>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</si>
  <si>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</si>
  <si>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</si>
  <si>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</si>
  <si>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</si>
  <si>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</si>
  <si>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</si>
  <si>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CA (Crown Agents)</t>
  </si>
  <si>
    <t>Antigua y Barbuda</t>
  </si>
  <si>
    <t>MALARIA</t>
  </si>
  <si>
    <t>€</t>
  </si>
  <si>
    <t>Ronda 2</t>
  </si>
  <si>
    <t>A2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</si>
  <si>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</si>
  <si>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</si>
  <si>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</si>
  <si>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</si>
  <si>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</si>
  <si>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</si>
  <si>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</si>
  <si>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</si>
  <si>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</si>
  <si>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</si>
  <si>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</si>
  <si>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</si>
  <si>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</si>
  <si>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</si>
  <si>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</si>
  <si>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</si>
  <si>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</si>
  <si>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</si>
  <si>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</si>
  <si>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</si>
  <si>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</si>
  <si>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</si>
  <si>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</si>
  <si>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</si>
  <si>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</si>
  <si>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</si>
  <si>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</si>
  <si>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</si>
  <si>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</si>
  <si>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</si>
  <si>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PwC (PricewaterhouseCoopers)</t>
  </si>
  <si>
    <t>AZT</t>
  </si>
  <si>
    <t>Bolivia</t>
  </si>
  <si>
    <t>Ronda 10</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</si>
  <si>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</si>
  <si>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</si>
  <si>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</si>
  <si>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</si>
  <si>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</si>
  <si>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</si>
  <si>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</si>
  <si>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</si>
  <si>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</si>
  <si>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</si>
  <si>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</si>
  <si>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</si>
  <si>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</si>
  <si>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</si>
  <si>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</si>
  <si>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</si>
  <si>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</si>
  <si>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</si>
  <si>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</si>
  <si>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</si>
  <si>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</si>
  <si>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</si>
  <si>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</si>
  <si>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</si>
  <si>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</si>
  <si>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</si>
  <si>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</si>
  <si>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</si>
  <si>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</si>
  <si>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</si>
  <si>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</si>
  <si>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</si>
  <si>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</si>
  <si>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</si>
  <si>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</si>
  <si>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</si>
  <si>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</si>
  <si>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</si>
  <si>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</si>
  <si>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</si>
  <si>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</si>
  <si>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</si>
  <si>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</si>
  <si>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</si>
  <si>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</si>
  <si>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</si>
  <si>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</si>
  <si>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</si>
  <si>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</si>
  <si>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</si>
  <si>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</si>
  <si>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</si>
  <si>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</si>
  <si>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</si>
  <si>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</si>
  <si>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</si>
  <si>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</si>
  <si>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</si>
  <si>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</si>
  <si>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</si>
  <si>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</si>
  <si>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</si>
  <si>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</si>
  <si>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</si>
  <si>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</si>
  <si>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</si>
  <si>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</si>
  <si>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</si>
  <si>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</si>
  <si>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</si>
  <si>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</si>
  <si>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</si>
  <si>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</si>
  <si>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</si>
  <si>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</si>
  <si>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</si>
  <si>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</si>
  <si>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</si>
  <si>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</si>
  <si>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</si>
  <si>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</si>
  <si>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</si>
  <si>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</si>
  <si>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</si>
  <si>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</si>
  <si>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</si>
  <si>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</si>
  <si>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</si>
  <si>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</si>
  <si>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TB</t>
  </si>
  <si>
    <t>Financiación total:</t>
  </si>
  <si>
    <t>Receptor Principal:</t>
  </si>
  <si>
    <t>Convocatoria:</t>
  </si>
  <si>
    <t>Ronda 9</t>
  </si>
  <si>
    <t>Fase:</t>
  </si>
  <si>
    <t>Fase 2</t>
  </si>
  <si>
    <t>Fecha de inicio (dd/mm/aa):</t>
  </si>
  <si>
    <t>Agente Local del Fondo:</t>
  </si>
  <si>
    <t xml:space="preserve">STI (Swiss Tropical Institute), </t>
  </si>
  <si>
    <t>Ultima calificación:</t>
  </si>
  <si>
    <t>A1</t>
  </si>
  <si>
    <t>Gerente de Cartera del Fondo:</t>
  </si>
  <si>
    <t>Giulia Perrone</t>
  </si>
  <si>
    <t>Periodo de referencia del que se informa</t>
  </si>
  <si>
    <t>Periodo:</t>
  </si>
  <si>
    <t>P12</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</si>
  <si>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</si>
  <si>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</si>
  <si>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</si>
  <si>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</si>
  <si>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</si>
  <si>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</si>
  <si>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</si>
  <si>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</si>
  <si>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</si>
  <si>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</si>
  <si>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</si>
  <si>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</si>
  <si>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</si>
  <si>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</si>
  <si>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</si>
  <si>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P9</t>
  </si>
  <si>
    <t>P10</t>
  </si>
  <si>
    <t>P11</t>
  </si>
  <si>
    <t>Presupuesto acumulado</t>
  </si>
  <si>
    <t>Desembolsos  acumulados</t>
  </si>
  <si>
    <t>F2: Presupuesto y gastos reales por objetivo de la subvención</t>
  </si>
  <si>
    <t>Objetivo de la subvención</t>
  </si>
  <si>
    <t>Objetivo 1</t>
  </si>
  <si>
    <t>Objetivo 2</t>
  </si>
  <si>
    <t>Objetivo 3</t>
  </si>
  <si>
    <t>Total</t>
  </si>
  <si>
    <t>F3: Desembolsos y gastos</t>
  </si>
  <si>
    <t>Anterior al periodo de referencia</t>
  </si>
  <si>
    <t>Periodo de referencia actual</t>
  </si>
  <si>
    <t>Desembolsado por el Fondo Mundial</t>
  </si>
  <si>
    <t>Gasto RP + desembolso a SRs</t>
  </si>
  <si>
    <t>Desembolsado a los subreceptores</t>
  </si>
  <si>
    <t>Gastos de los subreceptores</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</si>
  <si>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</si>
  <si>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</si>
  <si>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</si>
  <si>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</si>
  <si>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</si>
  <si>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</si>
  <si>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</si>
  <si>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</si>
  <si>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</si>
  <si>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</si>
  <si>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</si>
  <si>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</si>
  <si>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</si>
  <si>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</si>
  <si>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</si>
  <si>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</si>
  <si>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</si>
  <si>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</si>
  <si>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</si>
  <si>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</si>
  <si>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</si>
  <si>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</si>
  <si>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</si>
  <si>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</si>
  <si>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</si>
  <si>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</si>
  <si>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</si>
  <si>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M4: Número de informes completos recibidos a tiempo</t>
  </si>
  <si>
    <t>Esperados</t>
  </si>
  <si>
    <t>Recibidos</t>
  </si>
  <si>
    <t>Pendientes</t>
  </si>
  <si>
    <t>Sub SR al SR</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</si>
  <si>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</si>
  <si>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</si>
  <si>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</si>
  <si>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</si>
  <si>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</si>
  <si>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</si>
  <si>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</si>
  <si>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</si>
  <si>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</si>
  <si>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</si>
  <si>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</si>
  <si>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(8 = 6 - 7)
Diferencia entre existencias actuales y existencias de seguridad</t>
  </si>
  <si>
    <t>PASER</t>
  </si>
  <si>
    <t>Cicloserina 250mg</t>
  </si>
  <si>
    <t>Kanamicina 1gr</t>
  </si>
  <si>
    <t>Etionamida 250mg</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</si>
  <si>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</si>
  <si>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</si>
  <si>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</si>
  <si>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</si>
  <si>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</si>
  <si>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</si>
  <si>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</si>
  <si>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</si>
  <si>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</si>
  <si>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</si>
  <si>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</si>
  <si>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</si>
  <si>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</si>
  <si>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</si>
  <si>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</si>
  <si>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</si>
  <si>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</si>
  <si>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</si>
  <si>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</si>
  <si>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</si>
  <si>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</si>
  <si>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</si>
  <si>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</si>
  <si>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</si>
  <si>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</si>
  <si>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</si>
  <si>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</si>
  <si>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</si>
  <si>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</si>
  <si>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</si>
  <si>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</si>
  <si>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</si>
  <si>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</si>
  <si>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</si>
  <si>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</si>
  <si>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</si>
  <si>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</si>
  <si>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</si>
  <si>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</si>
  <si>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</si>
  <si>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</si>
  <si>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</si>
  <si>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</si>
  <si>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IMPACTO</t>
  </si>
  <si>
    <t>COMENTARIOS CME -MCP</t>
  </si>
  <si>
    <t>SLV-H-PLAN</t>
  </si>
  <si>
    <t>PLAN  INTERNACIONAL</t>
  </si>
  <si>
    <t>INNOVANDO SERVICIOS, REDUCIENDO RIESGOS, RENOVANDO VIDAS EN EL SALVADOR</t>
  </si>
  <si>
    <t>GRUPO JACOBS</t>
  </si>
  <si>
    <t xml:space="preserve">UCP/PLAN </t>
  </si>
  <si>
    <t>SR al RP</t>
  </si>
  <si>
    <t>CONDONES FEMENINOS</t>
  </si>
  <si>
    <t>PRUEBA RAPIDA</t>
  </si>
  <si>
    <t>(4 = 2 x 3)
Número total de productos de salud que se necesitan para todos los usuarios durante un año</t>
  </si>
  <si>
    <t>% de Población Transgenero infectada por el VIH</t>
  </si>
  <si>
    <t>% Y Número de personas HSH alcanzadas con el paquete básico de prevención de VIH</t>
  </si>
  <si>
    <t>% Y Número de personas TS alcanzadas con el paquete básico de prevención de VIH</t>
  </si>
  <si>
    <t>% Y Número de personas TRANS alcanzadas con el paquete básico de prevención de VIH</t>
  </si>
  <si>
    <t>% Y Número de personas HSH alcanzadas con el paquete complementario de prevención de VIH</t>
  </si>
  <si>
    <t>% Y Número de personas TS alcanzadas con el paquete complementario de prevención de VIH</t>
  </si>
  <si>
    <t>% Y Número de personas TRANS alcanzadas con el paquete complementario de prevención de VIH</t>
  </si>
  <si>
    <t>TOP TEN</t>
  </si>
  <si>
    <t>NO TOP TEN</t>
  </si>
  <si>
    <t>* Fuente de Información : PUDR_S1  VIH, Agosto 2014.</t>
  </si>
  <si>
    <t>Condiciones precedentes cumplidas en los tiempos establecidos.</t>
  </si>
  <si>
    <t>Meta Cumplida, todos fueron contratados en el tiempo</t>
  </si>
  <si>
    <t>6 subreceptores contratados , todos los contratos fueron firmados en el mes de febrero.</t>
  </si>
  <si>
    <t>La adquisicion de producto de salud esta en transito  y es realizada a traves de PNUD.</t>
  </si>
  <si>
    <t xml:space="preserve">No hay riesgo de desabastecimiento enproductos de salud </t>
  </si>
  <si>
    <t>Se recomienda al RP implementar un plan de aceleramiento para solventar la baja ejecución del primer semestre. El Comité de Supervisión hará visitas periodicas de campo a los CCPI´S junto con el RP para identificar las dificultades y recomendar acciones de mejora.</t>
  </si>
  <si>
    <t>Al momento se encuentra en proceso de estudio de talla poblacional, comportamiento actitudes y prácticas y prevalencia de VIH en esta población</t>
  </si>
  <si>
    <t xml:space="preserve">La diferencia entre el presupuesto y desembolso, se debe a que el fondo global desembolso el monto total del año 2014 y primer trimestre 2015. </t>
  </si>
  <si>
    <t>Algunos SR reflejan  que el mismo desembolso del primer trimestre fue utilizado para el segundo por inicio de actividades en Marzo.</t>
  </si>
  <si>
    <t xml:space="preserve">Se ha cumplido con los informes presentados de forma oportuna, asi como el FM a enviado los desembolsos de forma anticipados. </t>
  </si>
  <si>
    <t>La diferencia entre el presupuesto y los gastos se debe a que existen compromisos y para el caso del objetivo 2 no se ha  iniciado con la ejecucion para este Periodo.</t>
  </si>
  <si>
    <t>Debido a que la ejejcucion durante el Q1 fue administrativa financiera todos los subreceptores presentaron unicamente informes de ejecucion tecnica y financiera para el Q2.</t>
  </si>
  <si>
    <t>El  porcentaje corresponde a personas TRANS referidas a   servicios complementarios  relacionados con : Asistencia psicologica, asesoria legal, seguimiento y tratamiento a VIH en el caso de  TRANS positivas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Muchas intervenciones no han sido incluidas porque las organizaciones no tienen documentadas las referencias a estos servicios. Se realizarán reuniones con los SRs para dar lineamientos de seguridad así como coordinaciones para que en las diversas actividades se cuente con apoyo de otras instituciones para realizarlas conjuntamente y reducir los riesgos relacionados a violencia.</t>
  </si>
  <si>
    <t xml:space="preserve">El porcentaje reportado corresponde a las personas TS que han participado en los componentes del paquete básico, de acuerdo con  el desarrollo de la metodologia de prevencion combinada. </t>
  </si>
  <si>
    <t>El porcentaje reportado corresponde a las personas HSH que han participado en los componentes del paquete básico, de acuerdo con  el desarrollo de la metodologia de prevencion combinada.</t>
  </si>
  <si>
    <t>El porcentaje reportado corresponde a las personas TRANS que han participado en los componentes del paquete básico, de acuerdo con  el desarrollo de la metodologia de prevencion combinada.</t>
  </si>
  <si>
    <t>CONDONES MASCULINOS (HSH, TS Y TRANS)</t>
  </si>
  <si>
    <t>CONDONES FEMENINOS (TS)</t>
  </si>
  <si>
    <t>CUADRO DISTRIBUCION DE CONDONES POR POBLACION</t>
  </si>
  <si>
    <t>DISTRIBUCION POR AÑO</t>
  </si>
  <si>
    <t>CONDONES MACULINOS</t>
  </si>
  <si>
    <t>POBLACION HSH</t>
  </si>
  <si>
    <t>POBLACION TS</t>
  </si>
  <si>
    <t>POBLACION TRANS</t>
  </si>
  <si>
    <t>DISTRIBUCION POR SEMESTRE</t>
  </si>
  <si>
    <t>TOTAL DISTRIBUCION SEMESTRAL</t>
  </si>
  <si>
    <t>TOTAL DISTRIBUCION ANUAL</t>
  </si>
  <si>
    <t>(5)
Existencias actuales en el almacén central.</t>
  </si>
  <si>
    <t>(6 = 5 / 4)
Nivel de existencias expresado en meses de productos de salud para los usuarios actuales</t>
  </si>
  <si>
    <t xml:space="preserve">(7)
Nivel de existencias de seguridad
(expresado en meses) </t>
  </si>
  <si>
    <t>(3)
Número total de ususarios de productos de salud de las 3 poblaciones</t>
  </si>
  <si>
    <t>(1)
Número de condones por usuario por intervencion en promedio entre las 3 poblaciones</t>
  </si>
  <si>
    <t>(2= 1x12)
Producto 
(condones por usuario cada año distribuidos en las 3 intervenciones) en promedio entre las 3 poblaciones</t>
  </si>
  <si>
    <r>
      <t xml:space="preserve">El porcentaje reportado corresponde a las personas HSH que han participado en los componentes del paquete básico, de acuerdo con  el desarrollo de la metodologia de prevencion combinada. Hasta junio se han aperturado  3,013 CUI (193.4% relacionado con el numero de CUI implicitos en la meta prevista para el periodo) que corresponden a 3,935 abordajes. Estas personas no han completado ciclo debido a : </t>
    </r>
    <r>
      <rPr>
        <sz val="8"/>
        <color indexed="53"/>
        <rFont val="Calibri"/>
        <family val="2"/>
      </rPr>
      <t xml:space="preserve">a) entrega parcial de insumos ( ya que estos estan </t>
    </r>
    <r>
      <rPr>
        <sz val="8"/>
        <color indexed="40"/>
        <rFont val="Calibri"/>
        <family val="2"/>
      </rPr>
      <t>condicionados a las intervenciones educativas</t>
    </r>
    <r>
      <rPr>
        <sz val="8"/>
        <color indexed="53"/>
        <rFont val="Calibri"/>
        <family val="2"/>
      </rPr>
      <t>), b) Personas con CUI aperturados  ya cuentan con una prueba de VIH reciente por lo que no se refiere a la misma, c) Zonas de intervencion  de alta peligrosidad</t>
    </r>
    <r>
      <rPr>
        <sz val="8"/>
        <color indexed="8"/>
        <rFont val="Calibri"/>
        <family val="2"/>
      </rPr>
      <t>.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tres SR ,  Entreamigos, Fundasida y PASMO. El RP en coordinación con los SR desarrollarán un plan de aceleramiento  para  el cumplimeinto de las metas.</t>
    </r>
  </si>
  <si>
    <r>
      <t xml:space="preserve">El porcentaje reportado corresponde a las personas TS que han participado en los componentes del paquete básico, de acuerdo con  el desarrollo de la metodologia de prevencion combinada. Hasta junio se han aperturado  1,957 CUI (167% relacionado con el numero de CUI implicitos en la meta prevista para el periodo) que corresponden a  3,282 abordajes. Estas personas no han completado ciclo debido a : a) entrega parcial de insumos ( ya que estos estan condicionados a las intervenciones educativas), b) Personas con CUI aperturados  ya cuentan con una prueba de VIH reciente por lo que no se refiere a la misma, c) Zonas de intervencion  de alta peligrosidad.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dos SR ,  Orquideas del Mar y PASMO. El RP en coordinación con los SR desarrollarán </t>
    </r>
    <r>
      <rPr>
        <sz val="8"/>
        <color indexed="53"/>
        <rFont val="Calibri"/>
        <family val="2"/>
      </rPr>
      <t>un plan de aceleramiento  para  el cumplimeinto de las metas.</t>
    </r>
  </si>
  <si>
    <r>
      <t>El porcentaje reportado corresponde a las personas TRANS que han participado en los componentes del paquete básico, de acuerdo con  el desarrollo de la metodologia de prevencion combinada. Hasta junio se han aperturado  665 CUI (302% relacionado con el numero de CUI implicitos en la meta prevista para el periodo) que corresponden a  871 abordajes. Estas personas no han completado ciclo debido a : a) entrega parcial de insumos ( ya que estos estan condicionados a las intervenciones educativas), b) Personas con CUI aperturados  ya cuentan con una prueba de VIH reciente por lo que no se refiere a la misma, c) Zonas de intervencion  de alta peligrosidad.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dos S</t>
    </r>
    <r>
      <rPr>
        <sz val="8"/>
        <color indexed="53"/>
        <rFont val="Calibri"/>
        <family val="2"/>
      </rPr>
      <t>R ,  Orquideas del Mar y PASMO</t>
    </r>
    <r>
      <rPr>
        <sz val="8"/>
        <color indexed="8"/>
        <rFont val="Calibri"/>
        <family val="2"/>
      </rPr>
      <t>. El RP en coordinación con los SR desarrollarán un plan de aceleramiento  para  el cumplimeinto de las metas.</t>
    </r>
  </si>
  <si>
    <r>
      <t xml:space="preserve">El  porcentaje corresponde a personas HSH referidos a   servicios complementarios  relacionados con : Asistencia psicologica, asesoria legal, seguimiento y tratamiento a VIH en el caso de  HSH positivos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t>
    </r>
    <r>
      <rPr>
        <sz val="8"/>
        <color indexed="53"/>
        <rFont val="Calibri"/>
        <family val="2"/>
      </rPr>
      <t xml:space="preserve">Muchas intervenciones no han sido incluidas porque las organizaciones no tienen documentadas las referencias a estos servicios. Se realizarán reuniones con los SRs para dar lineamientos de seguridad así como coordinaciones para que en las diversas actividades se cuente con apoyo de otras instituciones para realizarlas conjuntamente y reducir los riesgos relacionados a violencia.  </t>
    </r>
    <r>
      <rPr>
        <sz val="8"/>
        <color indexed="56"/>
        <rFont val="Calibri"/>
        <family val="2"/>
      </rPr>
      <t xml:space="preserve"> (explicacion en cuanto a personas alcanzadas y no personas referidas y medio de verificacion.</t>
    </r>
  </si>
  <si>
    <r>
      <t>El  porcentaje corresponde a personas TS referidas a   servicios complementarios  relacionados con : Asistencia psicologica, asesoria legal, seguimiento y tratamiento a VIH en el caso de  TS positivos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Muchas intervenciones no han sido incluidas porque las</t>
    </r>
    <r>
      <rPr>
        <sz val="8"/>
        <color indexed="53"/>
        <rFont val="Calibri"/>
        <family val="2"/>
      </rPr>
      <t xml:space="preserve"> organizaciones n</t>
    </r>
    <r>
      <rPr>
        <sz val="8"/>
        <color indexed="8"/>
        <rFont val="Calibri"/>
        <family val="2"/>
      </rPr>
      <t>o tienen documentadas las referencias a estos servicios. Se realizarán reuniones con los SRs para dar lineamientos de seguridad así como coordinaciones para que en las diversas actividades se cuente con apoyo de otras instituciones para realizarlas conjuntamente y reducir los riesgos relacionados a violencia.</t>
    </r>
  </si>
  <si>
    <t>pa</t>
  </si>
  <si>
    <t>la explicacion sobre el no cumplimiento de la meta, no corresponde al indicador, ya que el RP esta explicando porblemas en el numero de referidos al paquete completmentario y el inidcador require el numero de personas que rebirieron el paquete complementario.</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</si>
</sst>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_);_(@_)"/>
    <numFmt numFmtId="173" formatCode="_(* #,##0.00_);_(* \(#,##0.00\);_(* \-??_);_(@_)"/>
    <numFmt numFmtId="174" formatCode="_(\$* #,##0.00_);_(\$* \(#,##0.00\);_(\$* \-??_);_(@_)"/>
    <numFmt numFmtId="175" formatCode="d&quot; de &quot;mmm&quot; de &quot;yy"/>
    <numFmt numFmtId="176" formatCode="\Q#,##0_);[Red]&quot;(Q&quot;#,##0\)"/>
    <numFmt numFmtId="177" formatCode="_(* #,##0_);_(* \(#,##0\);_(* \-??_);_(@_)"/>
    <numFmt numFmtId="178" formatCode="#,##0.00;[Red]#,##0.00"/>
    <numFmt numFmtId="179" formatCode="#.##0"/>
    <numFmt numFmtId="180" formatCode="#,##0.00\ _€;[Red]#,##0.00\ _€"/>
    <numFmt numFmtId="181" formatCode="#.##000"/>
    <numFmt numFmtId="182" formatCode="[$$-409]#,##0"/>
    <numFmt numFmtId="183" formatCode="_-* #,##0.00\ _€_-;\-* #,##0.00\ _€_-;_-* \-??\ _€_-;_-@_-"/>
    <numFmt numFmtId="184" formatCode="000%"/>
    <numFmt numFmtId="185" formatCode="#"/>
    <numFmt numFmtId="186" formatCode="0.0"/>
    <numFmt numFmtId="187" formatCode="#.00"/>
    <numFmt numFmtId="188" formatCode="#.##"/>
    <numFmt numFmtId="189" formatCode="dd/mm/yyyy"/>
    <numFmt numFmtId="190" formatCode="[$$-409]#,##0_);\([$$-409]#,##0\)"/>
    <numFmt numFmtId="191" formatCode="d/mmm/yyyy;@"/>
    <numFmt numFmtId="192" formatCode="dd/mm/yy\ hh:mm"/>
    <numFmt numFmtId="193" formatCode="000"/>
    <numFmt numFmtId="194" formatCode="_ * #,##0_ ;_ * \-#,##0_ ;_ * \-_ ;_ @_ "/>
    <numFmt numFmtId="195" formatCode=";;;"/>
    <numFmt numFmtId="196" formatCode=";;;&quot;Financial Variance in %&quot;"/>
    <numFmt numFmtId="197" formatCode="[$-440A]dddd\,\ dd&quot; de &quot;mmmm&quot; de &quot;yyyy"/>
    <numFmt numFmtId="198" formatCode="[$-440A]hh:mm:ss\ AM/PM"/>
    <numFmt numFmtId="199" formatCode="#.##00"/>
    <numFmt numFmtId="200" formatCode="#.#"/>
    <numFmt numFmtId="201" formatCode="_(* #,##0_);_(* \(#,##0\);_(* &quot;-&quot;??_);_(@_)"/>
    <numFmt numFmtId="202" formatCode="0.0%"/>
    <numFmt numFmtId="203" formatCode="0.000"/>
    <numFmt numFmtId="204" formatCode="#.0"/>
    <numFmt numFmtId="205" formatCode="&quot;$&quot;#,##0.000"/>
    <numFmt numFmtId="206" formatCode="&quot;$&quot;#,##0.00"/>
  </numFmts>
  <fonts count="138">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sz val="11"/>
      <color indexed="10"/>
      <name val="Calibri"/>
      <family val="2"/>
    </font>
    <font>
      <b/>
      <sz val="18"/>
      <color indexed="62"/>
      <name val="Cambria"/>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1"/>
      <color indexed="53"/>
      <name val="Calibri"/>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i/>
      <sz val="11"/>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9"/>
      <color indexed="8"/>
      <name val="Calibri"/>
      <family val="2"/>
    </font>
    <font>
      <sz val="9"/>
      <name val="Calibri"/>
      <family val="2"/>
    </font>
    <font>
      <b/>
      <sz val="8"/>
      <name val="Calibri"/>
      <family val="2"/>
    </font>
    <font>
      <sz val="8"/>
      <color indexed="53"/>
      <name val="Calibri"/>
      <family val="2"/>
    </font>
    <font>
      <sz val="8"/>
      <color indexed="40"/>
      <name val="Calibri"/>
      <family val="2"/>
    </font>
    <font>
      <sz val="8"/>
      <color indexed="56"/>
      <name val="Calibri"/>
      <family val="2"/>
    </font>
    <font>
      <b/>
      <i/>
      <sz val="8"/>
      <color indexed="8"/>
      <name val="Calibri"/>
      <family val="2"/>
    </font>
    <font>
      <sz val="12"/>
      <color indexed="8"/>
      <name val="Arial"/>
      <family val="0"/>
    </font>
    <font>
      <sz val="6"/>
      <color indexed="8"/>
      <name val="Arial"/>
      <family val="0"/>
    </font>
    <font>
      <b/>
      <sz val="5.75"/>
      <color indexed="8"/>
      <name val="Arial"/>
      <family val="0"/>
    </font>
    <font>
      <sz val="4"/>
      <color indexed="8"/>
      <name val="Arial"/>
      <family val="0"/>
    </font>
    <font>
      <sz val="7"/>
      <color indexed="8"/>
      <name val="Arial"/>
      <family val="0"/>
    </font>
    <font>
      <sz val="5"/>
      <color indexed="8"/>
      <name val="Arial"/>
      <family val="0"/>
    </font>
    <font>
      <b/>
      <sz val="10.5"/>
      <color indexed="8"/>
      <name val="Calibri"/>
      <family val="0"/>
    </font>
    <font>
      <sz val="8.45"/>
      <color indexed="8"/>
      <name val="Calibri"/>
      <family val="0"/>
    </font>
    <font>
      <b/>
      <sz val="9"/>
      <color indexed="8"/>
      <name val="Arial"/>
      <family val="0"/>
    </font>
    <font>
      <b/>
      <sz val="8"/>
      <color indexed="8"/>
      <name val="Arial"/>
      <family val="0"/>
    </font>
    <font>
      <sz val="8"/>
      <color indexed="8"/>
      <name val="Arial"/>
      <family val="0"/>
    </font>
    <font>
      <sz val="5.7"/>
      <color indexed="8"/>
      <name val="Arial"/>
      <family val="0"/>
    </font>
    <font>
      <sz val="6.75"/>
      <color indexed="8"/>
      <name val="Arial"/>
      <family val="0"/>
    </font>
    <font>
      <sz val="4.25"/>
      <color indexed="8"/>
      <name val="Arial"/>
      <family val="0"/>
    </font>
    <font>
      <sz val="5.85"/>
      <color indexed="8"/>
      <name val="Arial"/>
      <family val="0"/>
    </font>
    <font>
      <b/>
      <sz val="5.5"/>
      <color indexed="8"/>
      <name val="Arial"/>
      <family val="0"/>
    </font>
    <font>
      <sz val="4.75"/>
      <color indexed="8"/>
      <name val="Arial"/>
      <family val="0"/>
    </font>
    <font>
      <b/>
      <i/>
      <sz val="8"/>
      <color theme="1"/>
      <name val="Calibri"/>
      <family val="2"/>
    </font>
  </fonts>
  <fills count="3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61"/>
        <bgColor indexed="64"/>
      </patternFill>
    </fill>
    <fill>
      <patternFill patternType="solid">
        <fgColor indexed="55"/>
        <bgColor indexed="64"/>
      </patternFill>
    </fill>
    <fill>
      <patternFill patternType="solid">
        <fgColor indexed="62"/>
        <bgColor indexed="64"/>
      </patternFill>
    </fill>
    <fill>
      <patternFill patternType="solid">
        <fgColor indexed="28"/>
        <bgColor indexed="64"/>
      </patternFill>
    </fill>
    <fill>
      <patternFill patternType="solid">
        <fgColor indexed="25"/>
        <bgColor indexed="64"/>
      </patternFill>
    </fill>
    <fill>
      <patternFill patternType="solid">
        <fgColor indexed="47"/>
        <bgColor indexed="64"/>
      </patternFill>
    </fill>
    <fill>
      <patternFill patternType="solid">
        <fgColor indexed="34"/>
        <bgColor indexed="64"/>
      </patternFill>
    </fill>
    <fill>
      <patternFill patternType="gray0625">
        <fgColor indexed="52"/>
      </patternFill>
    </fill>
    <fill>
      <patternFill patternType="solid">
        <fgColor indexed="43"/>
        <bgColor indexed="64"/>
      </patternFill>
    </fill>
    <fill>
      <patternFill patternType="solid">
        <fgColor indexed="43"/>
        <bgColor indexed="64"/>
      </patternFill>
    </fill>
    <fill>
      <patternFill patternType="solid">
        <fgColor indexed="18"/>
        <bgColor indexed="64"/>
      </patternFill>
    </fill>
    <fill>
      <patternFill patternType="solid">
        <fgColor indexed="43"/>
        <bgColor indexed="64"/>
      </patternFill>
    </fill>
    <fill>
      <patternFill patternType="gray0625">
        <fgColor indexed="52"/>
        <bgColor indexed="43"/>
      </patternFill>
    </fill>
    <fill>
      <patternFill patternType="solid">
        <fgColor indexed="13"/>
        <bgColor indexed="64"/>
      </patternFill>
    </fill>
  </fills>
  <borders count="18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medium">
        <color indexed="60"/>
      </left>
      <right style="thin">
        <color indexed="32"/>
      </right>
      <top style="thin">
        <color indexed="32"/>
      </top>
      <bottom style="thin">
        <color indexed="32"/>
      </bottom>
    </border>
    <border>
      <left style="thin">
        <color indexed="58"/>
      </left>
      <right style="thin">
        <color indexed="58"/>
      </right>
      <top style="thin">
        <color indexed="58"/>
      </top>
      <bottom style="thin">
        <color indexed="58"/>
      </bottom>
    </border>
    <border>
      <left style="thin">
        <color indexed="32"/>
      </left>
      <right style="medium">
        <color indexed="60"/>
      </right>
      <top style="thin">
        <color indexed="32"/>
      </top>
      <bottom style="thin">
        <color indexed="32"/>
      </bottom>
    </border>
    <border>
      <left style="medium">
        <color indexed="60"/>
      </left>
      <right style="thin">
        <color indexed="32"/>
      </right>
      <top style="thin">
        <color indexed="32"/>
      </top>
      <bottom style="medium">
        <color indexed="60"/>
      </bottom>
    </border>
    <border>
      <left style="thin">
        <color indexed="32"/>
      </left>
      <right style="thin">
        <color indexed="32"/>
      </right>
      <top style="thin">
        <color indexed="32"/>
      </top>
      <bottom style="medium">
        <color indexed="60"/>
      </bottom>
    </border>
    <border>
      <left style="thin">
        <color indexed="32"/>
      </left>
      <right style="medium">
        <color indexed="60"/>
      </right>
      <top style="thin">
        <color indexed="32"/>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medium">
        <color indexed="32"/>
      </left>
      <right style="thin">
        <color indexed="32"/>
      </right>
      <top>
        <color indexed="63"/>
      </top>
      <bottom style="thin">
        <color indexed="32"/>
      </bottom>
    </border>
    <border>
      <left style="thin">
        <color indexed="32"/>
      </left>
      <right style="thin">
        <color indexed="32"/>
      </right>
      <top style="medium">
        <color indexed="32"/>
      </top>
      <bottom style="thin">
        <color indexed="32"/>
      </bottom>
    </border>
    <border>
      <left style="thin">
        <color indexed="32"/>
      </left>
      <right style="medium">
        <color indexed="32"/>
      </right>
      <top style="medium">
        <color indexed="32"/>
      </top>
      <bottom style="thin">
        <color indexed="32"/>
      </bottom>
    </border>
    <border>
      <left style="thin">
        <color indexed="32"/>
      </left>
      <right style="thin">
        <color indexed="32"/>
      </right>
      <top style="thin">
        <color indexed="32"/>
      </top>
      <bottom style="medium">
        <color indexed="32"/>
      </bottom>
    </border>
    <border>
      <left style="thin">
        <color indexed="58"/>
      </left>
      <right style="thin">
        <color indexed="58"/>
      </right>
      <top style="thin">
        <color indexed="58"/>
      </top>
      <bottom style="medium">
        <color indexed="58"/>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medium">
        <color indexed="32"/>
      </left>
      <right style="thin">
        <color indexed="32"/>
      </right>
      <top style="thin">
        <color indexed="32"/>
      </top>
      <bottom style="medium">
        <color indexed="32"/>
      </bottom>
    </border>
    <border>
      <left style="thin">
        <color indexed="32"/>
      </left>
      <right style="medium">
        <color indexed="32"/>
      </right>
      <top style="thin">
        <color indexed="32"/>
      </top>
      <bottom style="medium">
        <color indexed="32"/>
      </bottom>
    </border>
    <border>
      <left>
        <color indexed="63"/>
      </left>
      <right style="medium">
        <color indexed="32"/>
      </right>
      <top style="thin">
        <color indexed="32"/>
      </top>
      <bottom style="thin">
        <color indexed="32"/>
      </bottom>
    </border>
    <border>
      <left style="thin">
        <color indexed="32"/>
      </left>
      <right>
        <color indexed="63"/>
      </right>
      <top style="thin">
        <color indexed="32"/>
      </top>
      <bottom style="medium">
        <color indexed="32"/>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thin">
        <color indexed="16"/>
      </left>
      <right style="thin">
        <color indexed="16"/>
      </right>
      <top style="thin">
        <color indexed="16"/>
      </top>
      <bottom>
        <color indexed="63"/>
      </bottom>
    </border>
    <border>
      <left style="thin">
        <color indexed="60"/>
      </left>
      <right style="thin">
        <color indexed="60"/>
      </right>
      <top style="thin">
        <color indexed="60"/>
      </top>
      <bottom style="medium">
        <color indexed="60"/>
      </bottom>
    </border>
    <border>
      <left style="thin">
        <color indexed="58"/>
      </left>
      <right style="thin">
        <color indexed="58"/>
      </right>
      <top style="thin">
        <color indexed="58"/>
      </top>
      <bottom>
        <color indexed="63"/>
      </bottom>
    </border>
    <border>
      <left>
        <color indexed="63"/>
      </left>
      <right style="medium">
        <color indexed="51"/>
      </right>
      <top>
        <color indexed="63"/>
      </top>
      <bottom>
        <color indexed="63"/>
      </bottom>
    </border>
    <border>
      <left style="thin"/>
      <right style="thin"/>
      <top style="thin"/>
      <bottom style="thin"/>
    </border>
    <border>
      <left>
        <color indexed="63"/>
      </left>
      <right style="medium">
        <color indexed="32"/>
      </right>
      <top style="medium">
        <color indexed="32"/>
      </top>
      <bottom style="thin">
        <color indexed="32"/>
      </bottom>
    </border>
    <border>
      <left style="thin">
        <color indexed="32"/>
      </left>
      <right>
        <color indexed="63"/>
      </right>
      <top style="medium">
        <color indexed="32"/>
      </top>
      <bottom style="thin">
        <color indexed="32"/>
      </bottom>
    </border>
    <border>
      <left>
        <color indexed="63"/>
      </left>
      <right style="thin">
        <color indexed="9"/>
      </right>
      <top style="thin">
        <color indexed="9"/>
      </top>
      <bottom style="thin">
        <color indexed="9"/>
      </bottom>
    </border>
    <border>
      <left style="thin"/>
      <right style="thin"/>
      <top>
        <color indexed="63"/>
      </top>
      <bottom style="thin"/>
    </border>
    <border>
      <left style="thin">
        <color indexed="32"/>
      </left>
      <right style="thin">
        <color indexed="32"/>
      </right>
      <top style="thin">
        <color indexed="32"/>
      </top>
      <bottom>
        <color indexed="63"/>
      </bottom>
    </border>
    <border>
      <left>
        <color indexed="63"/>
      </left>
      <right>
        <color indexed="63"/>
      </right>
      <top style="thin">
        <color indexed="32"/>
      </top>
      <bottom>
        <color indexed="63"/>
      </botto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thin">
        <color indexed="32"/>
      </top>
      <bottom style="medium">
        <color indexed="51"/>
      </bottom>
    </border>
    <border>
      <left style="medium">
        <color indexed="51"/>
      </left>
      <right/>
      <top style="thin"/>
      <bottom/>
    </border>
    <border>
      <left>
        <color indexed="63"/>
      </left>
      <right>
        <color indexed="63"/>
      </right>
      <top style="thin"/>
      <bottom>
        <color indexed="63"/>
      </bottom>
    </border>
    <border>
      <left/>
      <right style="medium">
        <color indexed="51"/>
      </right>
      <top style="thin"/>
      <bottom/>
    </border>
    <border>
      <left style="medium">
        <color indexed="51"/>
      </left>
      <right>
        <color indexed="63"/>
      </right>
      <top>
        <color indexed="63"/>
      </top>
      <bottom style="thin"/>
    </border>
    <border>
      <left>
        <color indexed="63"/>
      </left>
      <right>
        <color indexed="63"/>
      </right>
      <top>
        <color indexed="63"/>
      </top>
      <bottom style="thin"/>
    </border>
    <border>
      <left>
        <color indexed="63"/>
      </left>
      <right style="medium">
        <color indexed="51"/>
      </right>
      <top>
        <color indexed="63"/>
      </top>
      <bottom style="thin"/>
    </border>
    <border>
      <left style="medium">
        <color indexed="51"/>
      </left>
      <right style="medium">
        <color indexed="51"/>
      </right>
      <top style="thin"/>
      <bottom/>
    </border>
    <border>
      <left style="medium">
        <color indexed="51"/>
      </left>
      <right style="medium">
        <color indexed="51"/>
      </right>
      <top>
        <color indexed="63"/>
      </top>
      <bottom style="thin"/>
    </border>
    <border>
      <left style="medium">
        <color indexed="51"/>
      </left>
      <right style="thin"/>
      <top style="thin"/>
      <bottom/>
    </border>
    <border>
      <left style="medium">
        <color indexed="51"/>
      </left>
      <right style="thin"/>
      <top>
        <color indexed="63"/>
      </top>
      <bottom style="thin"/>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color indexed="63"/>
      </left>
      <right style="thin">
        <color indexed="32"/>
      </right>
      <top>
        <color indexed="63"/>
      </top>
      <bottom>
        <color indexed="63"/>
      </bottom>
    </border>
    <border>
      <left style="medium">
        <color indexed="48"/>
      </left>
      <right style="thin">
        <color indexed="32"/>
      </right>
      <top style="medium">
        <color indexed="48"/>
      </top>
      <bottom style="thin">
        <color indexed="32"/>
      </bottom>
    </border>
    <border>
      <left style="thin">
        <color indexed="32"/>
      </left>
      <right style="thin">
        <color indexed="32"/>
      </right>
      <top>
        <color indexed="63"/>
      </top>
      <bottom>
        <color indexed="63"/>
      </bottom>
    </border>
    <border>
      <left style="medium">
        <color indexed="32"/>
      </left>
      <right>
        <color indexed="63"/>
      </right>
      <top style="thin">
        <color indexed="32"/>
      </top>
      <bottom style="medium">
        <color indexed="32"/>
      </bottom>
    </border>
    <border>
      <left>
        <color indexed="63"/>
      </left>
      <right style="medium">
        <color indexed="32"/>
      </right>
      <top style="thin">
        <color indexed="32"/>
      </top>
      <bottom style="medium">
        <color indexed="32"/>
      </botto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medium">
        <color indexed="32"/>
      </left>
      <right>
        <color indexed="63"/>
      </right>
      <top style="medium">
        <color indexed="32"/>
      </top>
      <bottom style="thin">
        <color indexed="32"/>
      </bottom>
    </border>
    <border>
      <left style="medium">
        <color indexed="32"/>
      </left>
      <right>
        <color indexed="63"/>
      </right>
      <top style="thin">
        <color indexed="32"/>
      </top>
      <bottom style="thin">
        <color indexed="32"/>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medium">
        <color indexed="51"/>
      </bottom>
    </border>
    <border>
      <left style="medium">
        <color indexed="51"/>
      </left>
      <right style="medium">
        <color indexed="51"/>
      </right>
      <top style="hair">
        <color indexed="51"/>
      </top>
      <bottom style="hair">
        <color indexed="51"/>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color indexed="63"/>
      </left>
      <right style="medium">
        <color indexed="52"/>
      </right>
      <top>
        <color indexed="63"/>
      </top>
      <bottom>
        <color indexed="63"/>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style="medium">
        <color indexed="32"/>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hair">
        <color indexed="32"/>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hair">
        <color indexed="32"/>
      </top>
      <bottom style="hair">
        <color indexed="32"/>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color indexed="63"/>
      </left>
      <right style="medium">
        <color indexed="32"/>
      </right>
      <top style="hair">
        <color indexed="32"/>
      </top>
      <bottom style="medium">
        <color indexed="32"/>
      </bottom>
    </border>
    <border>
      <left>
        <color indexed="63"/>
      </left>
      <right style="medium">
        <color indexed="32"/>
      </right>
      <top style="hair">
        <color indexed="32"/>
      </top>
      <bottom style="hair">
        <color indexed="32"/>
      </bottom>
    </border>
    <border>
      <left style="hair">
        <color indexed="32"/>
      </left>
      <right style="medium">
        <color indexed="32"/>
      </right>
      <top style="medium">
        <color indexed="57"/>
      </top>
      <bottom style="hair">
        <color indexed="32"/>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5" fillId="2" borderId="1" applyNumberFormat="0" applyAlignment="0" applyProtection="0"/>
    <xf numFmtId="0" fontId="5" fillId="10" borderId="1" applyNumberFormat="0" applyAlignment="0" applyProtection="0"/>
    <xf numFmtId="0" fontId="6" fillId="25" borderId="2" applyNumberFormat="0" applyAlignment="0" applyProtection="0"/>
    <xf numFmtId="0" fontId="7" fillId="0" borderId="3" applyNumberFormat="0" applyFill="0" applyAlignment="0" applyProtection="0"/>
    <xf numFmtId="0" fontId="6" fillId="25" borderId="2" applyNumberFormat="0" applyAlignment="0" applyProtection="0"/>
    <xf numFmtId="0" fontId="8" fillId="0" borderId="0" applyNumberFormat="0" applyFill="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9" fillId="3" borderId="1" applyNumberFormat="0" applyAlignment="0" applyProtection="0"/>
    <xf numFmtId="172" fontId="0" fillId="0" borderId="0" applyFill="0" applyBorder="0" applyAlignment="0" applyProtection="0"/>
    <xf numFmtId="0" fontId="10" fillId="0" borderId="0" applyNumberFormat="0" applyFill="0" applyBorder="0" applyAlignment="0" applyProtection="0"/>
    <xf numFmtId="0" fontId="4" fillId="8"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3" fillId="7" borderId="0" applyNumberFormat="0" applyBorder="0" applyAlignment="0" applyProtection="0"/>
    <xf numFmtId="0" fontId="9" fillId="3" borderId="1" applyNumberFormat="0" applyAlignment="0" applyProtection="0"/>
    <xf numFmtId="0" fontId="7" fillId="0" borderId="3" applyNumberFormat="0" applyFill="0" applyAlignment="0" applyProtection="0"/>
    <xf numFmtId="173" fontId="0" fillId="0" borderId="0" applyFill="0" applyBorder="0" applyAlignment="0" applyProtection="0"/>
    <xf numFmtId="169" fontId="1" fillId="0" borderId="0" applyFill="0" applyBorder="0" applyAlignment="0" applyProtection="0"/>
    <xf numFmtId="173"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14" fillId="12" borderId="0" applyNumberFormat="0" applyBorder="0" applyAlignment="0" applyProtection="0"/>
    <xf numFmtId="173"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1" fillId="0" borderId="0">
      <alignment/>
      <protection/>
    </xf>
    <xf numFmtId="0" fontId="0" fillId="4" borderId="7" applyNumberFormat="0" applyAlignment="0" applyProtection="0"/>
    <xf numFmtId="0" fontId="0" fillId="4" borderId="7" applyNumberFormat="0" applyAlignment="0" applyProtection="0"/>
    <xf numFmtId="0" fontId="15" fillId="2" borderId="8" applyNumberFormat="0" applyAlignment="0" applyProtection="0"/>
    <xf numFmtId="9"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15" fillId="10" borderId="8" applyNumberFormat="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5" applyNumberFormat="0" applyFill="0" applyAlignment="0" applyProtection="0"/>
    <xf numFmtId="0" fontId="8"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18" fillId="0" borderId="11" applyNumberFormat="0" applyFill="0" applyAlignment="0" applyProtection="0"/>
    <xf numFmtId="0" fontId="22" fillId="0" borderId="0" applyNumberFormat="0" applyFill="0" applyBorder="0" applyAlignment="0" applyProtection="0"/>
  </cellStyleXfs>
  <cellXfs count="718">
    <xf numFmtId="0" fontId="0" fillId="0" borderId="0" xfId="0" applyAlignment="1">
      <alignment/>
    </xf>
    <xf numFmtId="173" fontId="24" fillId="0" borderId="0" xfId="97" applyFont="1" applyFill="1" applyAlignment="1">
      <alignment vertical="center"/>
      <protection/>
    </xf>
    <xf numFmtId="0" fontId="26" fillId="0" borderId="0" xfId="0" applyFont="1" applyAlignment="1">
      <alignment/>
    </xf>
    <xf numFmtId="173" fontId="26" fillId="0" borderId="0" xfId="0" applyNumberFormat="1" applyFont="1" applyAlignment="1">
      <alignment/>
    </xf>
    <xf numFmtId="173" fontId="26"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73" fontId="23" fillId="0" borderId="0" xfId="96" applyFont="1" applyFill="1" applyAlignment="1" applyProtection="1">
      <alignment horizontal="center" vertical="center"/>
      <protection/>
    </xf>
    <xf numFmtId="173" fontId="24" fillId="0" borderId="0" xfId="96" applyFont="1" applyFill="1" applyAlignment="1" applyProtection="1">
      <alignment vertical="center"/>
      <protection/>
    </xf>
    <xf numFmtId="0" fontId="22" fillId="0" borderId="0" xfId="0" applyFont="1" applyAlignment="1">
      <alignment/>
    </xf>
    <xf numFmtId="0" fontId="0" fillId="0" borderId="0" xfId="0" applyBorder="1" applyAlignment="1">
      <alignment/>
    </xf>
    <xf numFmtId="0" fontId="22" fillId="0" borderId="0" xfId="0" applyFont="1" applyBorder="1" applyAlignment="1">
      <alignment/>
    </xf>
    <xf numFmtId="0" fontId="0" fillId="0" borderId="0" xfId="0" applyBorder="1" applyAlignment="1">
      <alignment horizontal="center"/>
    </xf>
    <xf numFmtId="0" fontId="38" fillId="0" borderId="0" xfId="0" applyFont="1" applyFill="1" applyAlignment="1">
      <alignment/>
    </xf>
    <xf numFmtId="0" fontId="0" fillId="0" borderId="0" xfId="0" applyFont="1" applyAlignment="1">
      <alignment/>
    </xf>
    <xf numFmtId="0" fontId="30" fillId="12" borderId="12" xfId="0" applyFont="1" applyFill="1" applyBorder="1" applyAlignment="1">
      <alignment horizontal="justify" vertical="center" wrapText="1"/>
    </xf>
    <xf numFmtId="0" fontId="34" fillId="12" borderId="13" xfId="0" applyFont="1" applyFill="1" applyBorder="1" applyAlignment="1">
      <alignment horizontal="justify" vertical="center" wrapText="1"/>
    </xf>
    <xf numFmtId="0" fontId="34" fillId="12" borderId="14" xfId="0" applyFont="1" applyFill="1" applyBorder="1" applyAlignment="1">
      <alignment horizontal="justify" vertical="center" wrapText="1"/>
    </xf>
    <xf numFmtId="0" fontId="30" fillId="12" borderId="12" xfId="0" applyFont="1" applyFill="1" applyBorder="1" applyAlignment="1">
      <alignment horizontal="left" vertical="center" wrapText="1"/>
    </xf>
    <xf numFmtId="0" fontId="30" fillId="12" borderId="13" xfId="0" applyFont="1" applyFill="1" applyBorder="1" applyAlignment="1">
      <alignment horizontal="left" vertical="center" wrapText="1"/>
    </xf>
    <xf numFmtId="0" fontId="30" fillId="12" borderId="14" xfId="0" applyFont="1" applyFill="1" applyBorder="1" applyAlignment="1">
      <alignment horizontal="left" vertical="center" wrapText="1"/>
    </xf>
    <xf numFmtId="0" fontId="30" fillId="0" borderId="12"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2" xfId="0" applyFont="1" applyBorder="1" applyAlignment="1" applyProtection="1">
      <alignment horizontal="justify" vertical="center" wrapText="1"/>
      <protection locked="0"/>
    </xf>
    <xf numFmtId="0" fontId="34" fillId="0" borderId="13" xfId="0" applyFont="1" applyBorder="1" applyAlignment="1" applyProtection="1">
      <alignment horizontal="justify" vertical="center" wrapText="1"/>
      <protection locked="0"/>
    </xf>
    <xf numFmtId="0" fontId="34" fillId="0" borderId="14" xfId="0" applyFont="1" applyBorder="1" applyAlignment="1" applyProtection="1">
      <alignment horizontal="justify" vertical="center" wrapText="1"/>
      <protection locked="0"/>
    </xf>
    <xf numFmtId="0" fontId="33" fillId="0" borderId="12" xfId="0" applyFont="1" applyBorder="1" applyAlignment="1">
      <alignment vertical="center" wrapText="1"/>
    </xf>
    <xf numFmtId="0" fontId="33" fillId="0" borderId="13" xfId="0" applyFont="1" applyBorder="1" applyAlignment="1">
      <alignment vertical="center" wrapText="1"/>
    </xf>
    <xf numFmtId="0" fontId="30"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0" fillId="0" borderId="14" xfId="0" applyFont="1" applyBorder="1" applyAlignment="1">
      <alignment horizontal="justify" vertical="center" wrapText="1"/>
    </xf>
    <xf numFmtId="0" fontId="30" fillId="0" borderId="12" xfId="0" applyFont="1" applyBorder="1" applyAlignment="1">
      <alignment horizontal="justify" vertical="center" wrapText="1"/>
    </xf>
    <xf numFmtId="173" fontId="43" fillId="0" borderId="0" xfId="88" applyFont="1" applyFill="1" applyAlignment="1" applyProtection="1">
      <alignment vertical="center"/>
      <protection/>
    </xf>
    <xf numFmtId="173" fontId="44" fillId="0" borderId="0" xfId="0" applyNumberFormat="1" applyFont="1" applyAlignment="1" applyProtection="1">
      <alignment horizontal="right"/>
      <protection/>
    </xf>
    <xf numFmtId="173" fontId="0" fillId="0" borderId="15" xfId="0" applyNumberFormat="1" applyFont="1" applyBorder="1" applyAlignment="1" applyProtection="1">
      <alignment horizontal="center"/>
      <protection locked="0"/>
    </xf>
    <xf numFmtId="173" fontId="44" fillId="0" borderId="0" xfId="0" applyNumberFormat="1" applyFont="1" applyBorder="1" applyAlignment="1" applyProtection="1">
      <alignment horizontal="right"/>
      <protection/>
    </xf>
    <xf numFmtId="0" fontId="44" fillId="0" borderId="0" xfId="0" applyFont="1" applyAlignment="1" applyProtection="1">
      <alignment horizontal="right"/>
      <protection/>
    </xf>
    <xf numFmtId="0" fontId="44" fillId="0" borderId="0" xfId="0" applyFont="1" applyAlignment="1" applyProtection="1">
      <alignment/>
      <protection/>
    </xf>
    <xf numFmtId="49" fontId="44" fillId="0" borderId="0" xfId="0" applyNumberFormat="1" applyFont="1" applyAlignment="1" applyProtection="1">
      <alignment horizontal="right"/>
      <protection/>
    </xf>
    <xf numFmtId="0" fontId="44" fillId="0" borderId="0" xfId="0" applyFont="1" applyBorder="1" applyAlignment="1" applyProtection="1">
      <alignment/>
      <protection/>
    </xf>
    <xf numFmtId="175" fontId="0" fillId="0" borderId="0" xfId="0" applyNumberFormat="1" applyAlignment="1" applyProtection="1">
      <alignment/>
      <protection/>
    </xf>
    <xf numFmtId="175" fontId="0" fillId="0" borderId="15" xfId="126" applyNumberFormat="1" applyFont="1" applyFill="1" applyBorder="1" applyAlignment="1" applyProtection="1">
      <alignment horizontal="center"/>
      <protection locked="0"/>
    </xf>
    <xf numFmtId="173" fontId="44" fillId="0" borderId="16" xfId="0" applyNumberFormat="1" applyFont="1" applyBorder="1" applyAlignment="1" applyProtection="1">
      <alignment horizontal="right"/>
      <protection/>
    </xf>
    <xf numFmtId="0" fontId="0" fillId="0" borderId="0" xfId="0" applyBorder="1" applyAlignment="1" applyProtection="1">
      <alignment/>
      <protection/>
    </xf>
    <xf numFmtId="173" fontId="44" fillId="0" borderId="0" xfId="0" applyNumberFormat="1" applyFont="1" applyAlignment="1" applyProtection="1">
      <alignment/>
      <protection/>
    </xf>
    <xf numFmtId="0" fontId="0" fillId="0" borderId="0" xfId="0" applyAlignment="1" applyProtection="1">
      <alignment/>
      <protection/>
    </xf>
    <xf numFmtId="0" fontId="0" fillId="3" borderId="15" xfId="0" applyFill="1" applyBorder="1" applyAlignment="1" applyProtection="1">
      <alignment/>
      <protection/>
    </xf>
    <xf numFmtId="0" fontId="0" fillId="13" borderId="15" xfId="0" applyFill="1" applyBorder="1" applyAlignment="1" applyProtection="1">
      <alignment/>
      <protection/>
    </xf>
    <xf numFmtId="0" fontId="0" fillId="0" borderId="0" xfId="0" applyFill="1" applyBorder="1" applyAlignment="1">
      <alignment/>
    </xf>
    <xf numFmtId="173" fontId="46" fillId="0" borderId="17" xfId="132" applyNumberFormat="1" applyFont="1" applyFill="1" applyBorder="1" applyAlignment="1" applyProtection="1">
      <alignment/>
      <protection/>
    </xf>
    <xf numFmtId="173" fontId="0" fillId="0" borderId="17" xfId="132" applyNumberFormat="1" applyFill="1" applyBorder="1" applyAlignment="1" applyProtection="1">
      <alignment vertical="center"/>
      <protection/>
    </xf>
    <xf numFmtId="173" fontId="47" fillId="0" borderId="17" xfId="132" applyNumberFormat="1" applyFont="1" applyFill="1" applyBorder="1" applyAlignment="1" applyProtection="1">
      <alignment horizontal="left" vertical="center"/>
      <protection/>
    </xf>
    <xf numFmtId="173" fontId="0" fillId="3" borderId="18" xfId="132" applyNumberFormat="1" applyFill="1" applyBorder="1" applyAlignment="1" applyProtection="1">
      <alignment vertical="center"/>
      <protection/>
    </xf>
    <xf numFmtId="173" fontId="48" fillId="0" borderId="0" xfId="132" applyNumberFormat="1" applyFont="1" applyFill="1" applyBorder="1" applyAlignment="1" applyProtection="1">
      <alignment vertical="center"/>
      <protection locked="0"/>
    </xf>
    <xf numFmtId="173" fontId="28" fillId="0" borderId="15" xfId="0" applyNumberFormat="1" applyFont="1" applyBorder="1" applyAlignment="1" applyProtection="1">
      <alignment horizontal="center"/>
      <protection locked="0"/>
    </xf>
    <xf numFmtId="173" fontId="0" fillId="0" borderId="0" xfId="132" applyNumberFormat="1" applyFill="1" applyBorder="1" applyAlignment="1" applyProtection="1">
      <alignment vertical="center"/>
      <protection/>
    </xf>
    <xf numFmtId="173" fontId="0" fillId="0" borderId="0" xfId="132" applyNumberFormat="1" applyFont="1" applyFill="1" applyBorder="1" applyAlignment="1" applyProtection="1">
      <alignment vertical="center"/>
      <protection/>
    </xf>
    <xf numFmtId="173" fontId="0" fillId="0" borderId="0" xfId="132" applyNumberFormat="1" applyFill="1" applyBorder="1" applyAlignment="1" applyProtection="1">
      <alignment vertical="center"/>
      <protection locked="0"/>
    </xf>
    <xf numFmtId="173" fontId="46" fillId="0" borderId="0" xfId="132" applyNumberFormat="1" applyFont="1" applyFill="1" applyBorder="1" applyAlignment="1" applyProtection="1">
      <alignment/>
      <protection/>
    </xf>
    <xf numFmtId="176" fontId="2" fillId="2" borderId="0" xfId="0" applyNumberFormat="1" applyFont="1" applyFill="1" applyAlignment="1">
      <alignment/>
    </xf>
    <xf numFmtId="177" fontId="2" fillId="2" borderId="0" xfId="0" applyNumberFormat="1" applyFont="1" applyFill="1" applyAlignment="1">
      <alignment/>
    </xf>
    <xf numFmtId="0" fontId="2" fillId="2" borderId="0" xfId="0" applyFont="1" applyFill="1" applyAlignment="1">
      <alignment/>
    </xf>
    <xf numFmtId="173" fontId="49" fillId="0" borderId="19" xfId="0" applyNumberFormat="1" applyFont="1" applyBorder="1" applyAlignment="1" applyProtection="1">
      <alignment horizontal="left"/>
      <protection/>
    </xf>
    <xf numFmtId="176" fontId="49" fillId="10" borderId="20" xfId="0" applyNumberFormat="1" applyFont="1" applyFill="1" applyBorder="1" applyAlignment="1" applyProtection="1">
      <alignment horizontal="center"/>
      <protection locked="0"/>
    </xf>
    <xf numFmtId="175" fontId="41" fillId="0" borderId="21" xfId="0" applyNumberFormat="1" applyFont="1" applyBorder="1" applyAlignment="1" applyProtection="1">
      <alignment horizontal="left"/>
      <protection/>
    </xf>
    <xf numFmtId="179" fontId="41" fillId="3" borderId="20" xfId="0" applyNumberFormat="1" applyFont="1" applyFill="1" applyBorder="1" applyAlignment="1" applyProtection="1">
      <alignment/>
      <protection locked="0"/>
    </xf>
    <xf numFmtId="0" fontId="41" fillId="0" borderId="19" xfId="0" applyFont="1" applyBorder="1" applyAlignment="1" applyProtection="1">
      <alignment horizontal="left"/>
      <protection/>
    </xf>
    <xf numFmtId="175" fontId="41" fillId="0" borderId="22" xfId="0" applyNumberFormat="1" applyFont="1" applyBorder="1" applyAlignment="1" applyProtection="1">
      <alignment horizontal="left"/>
      <protection/>
    </xf>
    <xf numFmtId="179" fontId="41" fillId="0" borderId="15" xfId="0" applyNumberFormat="1" applyFont="1" applyFill="1" applyBorder="1" applyAlignment="1" applyProtection="1">
      <alignment/>
      <protection/>
    </xf>
    <xf numFmtId="175" fontId="41" fillId="0" borderId="23" xfId="0" applyNumberFormat="1" applyFont="1" applyBorder="1" applyAlignment="1" applyProtection="1">
      <alignment horizontal="left"/>
      <protection/>
    </xf>
    <xf numFmtId="179" fontId="41" fillId="0" borderId="24" xfId="0" applyNumberFormat="1" applyFont="1" applyFill="1" applyBorder="1" applyAlignment="1" applyProtection="1">
      <alignment/>
      <protection/>
    </xf>
    <xf numFmtId="9" fontId="2" fillId="0" borderId="0" xfId="109" applyFont="1" applyFill="1" applyBorder="1" applyAlignment="1" applyProtection="1">
      <alignment/>
      <protection/>
    </xf>
    <xf numFmtId="176" fontId="2" fillId="2" borderId="0" xfId="0" applyNumberFormat="1" applyFont="1" applyFill="1" applyAlignment="1" applyProtection="1">
      <alignment/>
      <protection/>
    </xf>
    <xf numFmtId="49" fontId="0" fillId="0" borderId="0" xfId="0" applyNumberFormat="1" applyAlignment="1" applyProtection="1">
      <alignment/>
      <protection/>
    </xf>
    <xf numFmtId="177" fontId="0" fillId="0" borderId="0" xfId="0" applyNumberFormat="1" applyAlignment="1" applyProtection="1">
      <alignment/>
      <protection/>
    </xf>
    <xf numFmtId="176" fontId="49" fillId="0" borderId="0" xfId="0" applyNumberFormat="1" applyFont="1" applyFill="1" applyBorder="1" applyAlignment="1">
      <alignment horizontal="center"/>
    </xf>
    <xf numFmtId="173" fontId="41" fillId="0" borderId="0" xfId="0" applyNumberFormat="1" applyFont="1" applyFill="1" applyBorder="1" applyAlignment="1">
      <alignment/>
    </xf>
    <xf numFmtId="173" fontId="50" fillId="0" borderId="25" xfId="0" applyNumberFormat="1" applyFont="1" applyFill="1" applyBorder="1" applyAlignment="1" applyProtection="1">
      <alignment vertical="center" wrapText="1"/>
      <protection/>
    </xf>
    <xf numFmtId="0" fontId="50" fillId="0" borderId="26" xfId="0" applyNumberFormat="1" applyFont="1" applyFill="1" applyBorder="1" applyAlignment="1" applyProtection="1">
      <alignment horizontal="center" vertical="center" wrapText="1"/>
      <protection/>
    </xf>
    <xf numFmtId="0" fontId="50" fillId="0" borderId="27" xfId="0" applyNumberFormat="1" applyFont="1" applyFill="1" applyBorder="1" applyAlignment="1" applyProtection="1">
      <alignment horizontal="center" vertical="center" wrapText="1"/>
      <protection/>
    </xf>
    <xf numFmtId="0" fontId="44" fillId="0" borderId="0" xfId="0" applyFont="1" applyFill="1" applyBorder="1" applyAlignment="1" applyProtection="1">
      <alignment horizontal="center"/>
      <protection/>
    </xf>
    <xf numFmtId="0" fontId="14"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51" fillId="0" borderId="0" xfId="0" applyFont="1" applyFill="1" applyBorder="1" applyAlignment="1">
      <alignment horizontal="center"/>
    </xf>
    <xf numFmtId="173" fontId="51" fillId="0" borderId="28" xfId="0" applyNumberFormat="1" applyFont="1" applyFill="1" applyBorder="1" applyAlignment="1" applyProtection="1">
      <alignment wrapText="1"/>
      <protection locked="0"/>
    </xf>
    <xf numFmtId="180" fontId="0" fillId="3" borderId="29" xfId="82" applyNumberFormat="1" applyFont="1" applyFill="1" applyBorder="1" applyAlignment="1" applyProtection="1">
      <alignment/>
      <protection locked="0"/>
    </xf>
    <xf numFmtId="180" fontId="0" fillId="3" borderId="30" xfId="82" applyNumberFormat="1" applyFont="1" applyFill="1" applyBorder="1" applyAlignment="1" applyProtection="1">
      <alignment/>
      <protection locked="0"/>
    </xf>
    <xf numFmtId="175" fontId="44" fillId="0" borderId="0" xfId="0" applyNumberFormat="1" applyFont="1" applyFill="1" applyBorder="1" applyAlignment="1" applyProtection="1">
      <alignment horizontal="center"/>
      <protection/>
    </xf>
    <xf numFmtId="181" fontId="0" fillId="0" borderId="0" xfId="0" applyNumberFormat="1" applyFill="1" applyBorder="1" applyAlignment="1" applyProtection="1">
      <alignment/>
      <protection locked="0"/>
    </xf>
    <xf numFmtId="181"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73" fontId="51" fillId="0" borderId="28"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82"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1" fontId="0" fillId="3" borderId="29" xfId="82" applyNumberFormat="1" applyFont="1" applyFill="1" applyBorder="1" applyAlignment="1" applyProtection="1">
      <alignment/>
      <protection locked="0"/>
    </xf>
    <xf numFmtId="181" fontId="0" fillId="3" borderId="30" xfId="82" applyNumberFormat="1" applyFont="1" applyFill="1" applyBorder="1" applyAlignment="1" applyProtection="1">
      <alignment/>
      <protection locked="0"/>
    </xf>
    <xf numFmtId="179" fontId="0" fillId="0" borderId="0" xfId="0" applyNumberFormat="1" applyFill="1" applyBorder="1" applyAlignment="1" applyProtection="1">
      <alignment/>
      <protection locked="0"/>
    </xf>
    <xf numFmtId="49" fontId="51" fillId="0" borderId="28" xfId="0" applyNumberFormat="1" applyFont="1" applyFill="1" applyBorder="1" applyAlignment="1" applyProtection="1">
      <alignment/>
      <protection locked="0"/>
    </xf>
    <xf numFmtId="0" fontId="51" fillId="0" borderId="28" xfId="0" applyFont="1" applyFill="1" applyBorder="1" applyAlignment="1" applyProtection="1">
      <alignment wrapText="1"/>
      <protection locked="0"/>
    </xf>
    <xf numFmtId="173" fontId="0" fillId="0" borderId="31" xfId="0" applyNumberFormat="1" applyFont="1" applyBorder="1" applyAlignment="1" applyProtection="1">
      <alignment/>
      <protection/>
    </xf>
    <xf numFmtId="181" fontId="0" fillId="0" borderId="32" xfId="0" applyNumberFormat="1" applyBorder="1" applyAlignment="1" applyProtection="1">
      <alignment/>
      <protection/>
    </xf>
    <xf numFmtId="179" fontId="0" fillId="0" borderId="0" xfId="0" applyNumberFormat="1" applyFill="1" applyAlignment="1" applyProtection="1">
      <alignment/>
      <protection/>
    </xf>
    <xf numFmtId="179" fontId="0" fillId="0" borderId="0" xfId="0" applyNumberFormat="1" applyAlignment="1" applyProtection="1">
      <alignment/>
      <protection/>
    </xf>
    <xf numFmtId="179" fontId="2" fillId="2" borderId="0" xfId="0" applyNumberFormat="1" applyFont="1" applyFill="1" applyAlignment="1" applyProtection="1">
      <alignment/>
      <protection/>
    </xf>
    <xf numFmtId="179" fontId="14" fillId="0" borderId="0" xfId="0" applyNumberFormat="1" applyFont="1" applyAlignment="1" applyProtection="1">
      <alignment horizontal="right"/>
      <protection/>
    </xf>
    <xf numFmtId="0" fontId="50" fillId="0" borderId="33" xfId="0" applyFont="1" applyBorder="1" applyAlignment="1" applyProtection="1">
      <alignment vertical="distributed" wrapText="1"/>
      <protection/>
    </xf>
    <xf numFmtId="173" fontId="52" fillId="0" borderId="34" xfId="0" applyNumberFormat="1" applyFont="1" applyFill="1" applyBorder="1" applyAlignment="1" applyProtection="1">
      <alignment horizontal="center" vertical="center" wrapText="1"/>
      <protection/>
    </xf>
    <xf numFmtId="175" fontId="52" fillId="0" borderId="35" xfId="0" applyNumberFormat="1"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protection/>
    </xf>
    <xf numFmtId="175" fontId="54" fillId="0" borderId="0" xfId="0" applyNumberFormat="1" applyFont="1" applyFill="1" applyBorder="1" applyAlignment="1" applyProtection="1">
      <alignment horizontal="center" vertical="center" wrapText="1"/>
      <protection/>
    </xf>
    <xf numFmtId="175" fontId="54" fillId="0" borderId="0" xfId="0" applyNumberFormat="1" applyFont="1" applyFill="1" applyBorder="1" applyAlignment="1" applyProtection="1">
      <alignment horizontal="center" vertical="center" wrapText="1"/>
      <protection locked="0"/>
    </xf>
    <xf numFmtId="173" fontId="14" fillId="0" borderId="36" xfId="0" applyNumberFormat="1" applyFont="1" applyBorder="1" applyAlignment="1" applyProtection="1">
      <alignment/>
      <protection/>
    </xf>
    <xf numFmtId="183" fontId="55" fillId="3" borderId="37" xfId="82" applyNumberFormat="1" applyFont="1" applyFill="1" applyBorder="1" applyAlignment="1" applyProtection="1">
      <alignment/>
      <protection locked="0"/>
    </xf>
    <xf numFmtId="179" fontId="14" fillId="0" borderId="38" xfId="82" applyNumberFormat="1" applyFont="1" applyFill="1" applyBorder="1" applyAlignment="1" applyProtection="1">
      <alignment/>
      <protection/>
    </xf>
    <xf numFmtId="0" fontId="14" fillId="0" borderId="0" xfId="0" applyFont="1" applyFill="1" applyBorder="1" applyAlignment="1" applyProtection="1">
      <alignment horizontal="center"/>
      <protection/>
    </xf>
    <xf numFmtId="0" fontId="14" fillId="0" borderId="0" xfId="0" applyFont="1" applyFill="1" applyBorder="1" applyAlignment="1" applyProtection="1">
      <alignment/>
      <protection locked="0"/>
    </xf>
    <xf numFmtId="177" fontId="2" fillId="0" borderId="0" xfId="0" applyNumberFormat="1" applyFont="1" applyFill="1" applyBorder="1" applyAlignment="1" applyProtection="1">
      <alignment/>
      <protection/>
    </xf>
    <xf numFmtId="177" fontId="14" fillId="0" borderId="0" xfId="82" applyNumberFormat="1" applyFont="1" applyFill="1" applyBorder="1" applyAlignment="1" applyProtection="1">
      <alignment/>
      <protection locked="0"/>
    </xf>
    <xf numFmtId="184" fontId="14" fillId="0" borderId="0" xfId="109" applyNumberFormat="1" applyFont="1" applyFill="1" applyBorder="1" applyAlignment="1" applyProtection="1">
      <alignment horizontal="center"/>
      <protection/>
    </xf>
    <xf numFmtId="175" fontId="14" fillId="0" borderId="0" xfId="0" applyNumberFormat="1" applyFont="1" applyFill="1" applyBorder="1" applyAlignment="1" applyProtection="1">
      <alignment horizontal="center"/>
      <protection/>
    </xf>
    <xf numFmtId="184" fontId="14" fillId="0" borderId="0" xfId="109" applyNumberFormat="1" applyFont="1" applyFill="1" applyBorder="1" applyAlignment="1" applyProtection="1">
      <alignment horizontal="center"/>
      <protection locked="0"/>
    </xf>
    <xf numFmtId="179" fontId="55" fillId="3" borderId="15" xfId="82" applyNumberFormat="1" applyFont="1" applyFill="1" applyBorder="1" applyAlignment="1" applyProtection="1">
      <alignment/>
      <protection locked="0"/>
    </xf>
    <xf numFmtId="173" fontId="14" fillId="0" borderId="39" xfId="0" applyNumberFormat="1" applyFont="1" applyBorder="1" applyAlignment="1" applyProtection="1">
      <alignment/>
      <protection/>
    </xf>
    <xf numFmtId="179" fontId="55" fillId="3" borderId="40" xfId="82" applyNumberFormat="1" applyFont="1" applyFill="1" applyBorder="1" applyAlignment="1" applyProtection="1">
      <alignment/>
      <protection locked="0"/>
    </xf>
    <xf numFmtId="179" fontId="14" fillId="0" borderId="41" xfId="82" applyNumberFormat="1" applyFont="1" applyFill="1" applyBorder="1" applyAlignment="1" applyProtection="1">
      <alignment/>
      <protection/>
    </xf>
    <xf numFmtId="0" fontId="56" fillId="0" borderId="0" xfId="0" applyFont="1" applyFill="1" applyBorder="1" applyAlignment="1" applyProtection="1">
      <alignment horizontal="left"/>
      <protection locked="0"/>
    </xf>
    <xf numFmtId="0" fontId="14" fillId="0" borderId="0" xfId="0" applyFont="1" applyFill="1" applyBorder="1" applyAlignment="1" applyProtection="1">
      <alignment/>
      <protection/>
    </xf>
    <xf numFmtId="175" fontId="51" fillId="0" borderId="42" xfId="0" applyNumberFormat="1" applyFont="1" applyFill="1" applyBorder="1" applyAlignment="1" applyProtection="1">
      <alignment/>
      <protection/>
    </xf>
    <xf numFmtId="173" fontId="51" fillId="0" borderId="15" xfId="0" applyNumberFormat="1" applyFont="1" applyFill="1" applyBorder="1" applyAlignment="1" applyProtection="1">
      <alignment horizontal="center"/>
      <protection/>
    </xf>
    <xf numFmtId="173" fontId="51" fillId="0" borderId="43" xfId="0" applyNumberFormat="1" applyFont="1" applyFill="1" applyBorder="1" applyAlignment="1" applyProtection="1">
      <alignment horizontal="center"/>
      <protection/>
    </xf>
    <xf numFmtId="173" fontId="51" fillId="0" borderId="42" xfId="0" applyNumberFormat="1" applyFont="1" applyFill="1" applyBorder="1" applyAlignment="1" applyProtection="1">
      <alignment/>
      <protection/>
    </xf>
    <xf numFmtId="1" fontId="0" fillId="3" borderId="15" xfId="0" applyNumberFormat="1" applyFill="1" applyBorder="1" applyAlignment="1" applyProtection="1">
      <alignment horizontal="center"/>
      <protection locked="0"/>
    </xf>
    <xf numFmtId="1" fontId="0" fillId="3" borderId="43" xfId="0" applyNumberFormat="1" applyFill="1" applyBorder="1" applyAlignment="1" applyProtection="1">
      <alignment horizontal="center"/>
      <protection locked="0"/>
    </xf>
    <xf numFmtId="173" fontId="51" fillId="0" borderId="44" xfId="0" applyNumberFormat="1" applyFont="1" applyFill="1" applyBorder="1" applyAlignment="1" applyProtection="1">
      <alignment/>
      <protection/>
    </xf>
    <xf numFmtId="173" fontId="51" fillId="0" borderId="45" xfId="0" applyNumberFormat="1" applyFont="1" applyFill="1" applyBorder="1" applyAlignment="1" applyProtection="1">
      <alignment/>
      <protection/>
    </xf>
    <xf numFmtId="1" fontId="0" fillId="3" borderId="24" xfId="0" applyNumberFormat="1" applyFill="1" applyBorder="1" applyAlignment="1" applyProtection="1">
      <alignment horizontal="center"/>
      <protection locked="0"/>
    </xf>
    <xf numFmtId="1" fontId="0" fillId="3" borderId="46" xfId="0" applyNumberFormat="1" applyFill="1" applyBorder="1" applyAlignment="1" applyProtection="1">
      <alignment horizontal="center"/>
      <protection locked="0"/>
    </xf>
    <xf numFmtId="0" fontId="0" fillId="0" borderId="47" xfId="0" applyBorder="1" applyAlignment="1" applyProtection="1">
      <alignment/>
      <protection/>
    </xf>
    <xf numFmtId="173" fontId="57" fillId="0" borderId="47" xfId="132" applyNumberFormat="1" applyFont="1" applyFill="1" applyBorder="1" applyAlignment="1" applyProtection="1">
      <alignment/>
      <protection/>
    </xf>
    <xf numFmtId="173" fontId="48" fillId="0" borderId="47" xfId="132" applyNumberFormat="1" applyFont="1" applyFill="1" applyBorder="1" applyAlignment="1" applyProtection="1">
      <alignment vertical="center"/>
      <protection/>
    </xf>
    <xf numFmtId="173" fontId="58" fillId="0" borderId="47" xfId="132" applyNumberFormat="1" applyFont="1" applyFill="1" applyBorder="1" applyAlignment="1" applyProtection="1">
      <alignment vertical="center"/>
      <protection/>
    </xf>
    <xf numFmtId="173" fontId="48" fillId="0" borderId="47" xfId="132" applyNumberFormat="1" applyFont="1" applyFill="1" applyBorder="1" applyAlignment="1" applyProtection="1">
      <alignment horizontal="center" vertical="center"/>
      <protection/>
    </xf>
    <xf numFmtId="173" fontId="48" fillId="13" borderId="48" xfId="132" applyNumberFormat="1" applyFont="1" applyFill="1" applyBorder="1" applyAlignment="1" applyProtection="1">
      <alignment horizontal="center" vertical="center"/>
      <protection/>
    </xf>
    <xf numFmtId="173" fontId="48" fillId="0" borderId="49" xfId="132" applyNumberFormat="1" applyFont="1" applyFill="1" applyBorder="1" applyAlignment="1" applyProtection="1">
      <alignment vertical="center"/>
      <protection/>
    </xf>
    <xf numFmtId="173" fontId="48" fillId="0" borderId="0" xfId="132" applyNumberFormat="1" applyFont="1" applyFill="1" applyBorder="1" applyAlignment="1" applyProtection="1">
      <alignment horizontal="center" vertical="center"/>
      <protection locked="0"/>
    </xf>
    <xf numFmtId="173" fontId="57" fillId="0" borderId="0" xfId="132" applyNumberFormat="1" applyFont="1" applyFill="1" applyBorder="1" applyAlignment="1" applyProtection="1">
      <alignment/>
      <protection/>
    </xf>
    <xf numFmtId="173" fontId="48" fillId="0" borderId="0" xfId="132" applyNumberFormat="1" applyFont="1" applyFill="1" applyBorder="1" applyAlignment="1" applyProtection="1">
      <alignment vertical="center"/>
      <protection/>
    </xf>
    <xf numFmtId="173" fontId="59" fillId="0" borderId="0" xfId="132" applyNumberFormat="1" applyFont="1" applyFill="1" applyBorder="1" applyAlignment="1" applyProtection="1">
      <alignment vertical="center"/>
      <protection/>
    </xf>
    <xf numFmtId="0" fontId="0" fillId="0" borderId="0" xfId="0" applyBorder="1" applyAlignment="1" applyProtection="1">
      <alignment/>
      <protection/>
    </xf>
    <xf numFmtId="0" fontId="18" fillId="0" borderId="0" xfId="0" applyFont="1" applyBorder="1" applyAlignment="1" applyProtection="1">
      <alignment horizontal="center"/>
      <protection/>
    </xf>
    <xf numFmtId="173" fontId="18" fillId="0" borderId="50" xfId="0" applyNumberFormat="1" applyFont="1" applyBorder="1" applyAlignment="1" applyProtection="1">
      <alignment horizontal="center"/>
      <protection/>
    </xf>
    <xf numFmtId="173" fontId="18" fillId="0" borderId="50" xfId="0" applyNumberFormat="1" applyFont="1" applyBorder="1" applyAlignment="1" applyProtection="1">
      <alignment horizontal="center" wrapText="1"/>
      <protection/>
    </xf>
    <xf numFmtId="173" fontId="18" fillId="0" borderId="51"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48" fillId="0" borderId="0" xfId="0" applyFont="1" applyFill="1" applyBorder="1" applyAlignment="1" applyProtection="1">
      <alignment horizontal="center" vertical="center"/>
      <protection/>
    </xf>
    <xf numFmtId="173" fontId="0" fillId="0" borderId="52" xfId="0" applyNumberFormat="1" applyFont="1" applyBorder="1" applyAlignment="1" applyProtection="1">
      <alignment horizontal="left"/>
      <protection/>
    </xf>
    <xf numFmtId="1" fontId="55" fillId="13" borderId="15" xfId="0" applyNumberFormat="1" applyFont="1" applyFill="1" applyBorder="1" applyAlignment="1" applyProtection="1">
      <alignment horizontal="center"/>
      <protection locked="0"/>
    </xf>
    <xf numFmtId="1" fontId="55" fillId="2" borderId="53"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73" fontId="0" fillId="0" borderId="54" xfId="0" applyNumberFormat="1" applyFont="1" applyBorder="1" applyAlignment="1" applyProtection="1">
      <alignment horizontal="left"/>
      <protection/>
    </xf>
    <xf numFmtId="1" fontId="55" fillId="13" borderId="55" xfId="0" applyNumberFormat="1" applyFont="1" applyFill="1" applyBorder="1" applyAlignment="1" applyProtection="1">
      <alignment horizontal="center"/>
      <protection locked="0"/>
    </xf>
    <xf numFmtId="1" fontId="55" fillId="2" borderId="56" xfId="0" applyNumberFormat="1" applyFont="1" applyFill="1" applyBorder="1" applyAlignment="1" applyProtection="1">
      <alignment horizontal="center"/>
      <protection/>
    </xf>
    <xf numFmtId="0" fontId="0" fillId="0" borderId="57" xfId="0" applyBorder="1" applyAlignment="1" applyProtection="1">
      <alignment/>
      <protection/>
    </xf>
    <xf numFmtId="173" fontId="0" fillId="0" borderId="50" xfId="0" applyNumberFormat="1" applyFont="1" applyBorder="1" applyAlignment="1" applyProtection="1">
      <alignment horizontal="center"/>
      <protection/>
    </xf>
    <xf numFmtId="173" fontId="0" fillId="0" borderId="51" xfId="0" applyNumberFormat="1" applyFont="1" applyBorder="1" applyAlignment="1" applyProtection="1">
      <alignment horizontal="center"/>
      <protection/>
    </xf>
    <xf numFmtId="0" fontId="0" fillId="13" borderId="55" xfId="0" applyNumberFormat="1" applyFill="1" applyBorder="1" applyAlignment="1" applyProtection="1">
      <alignment horizontal="center"/>
      <protection locked="0"/>
    </xf>
    <xf numFmtId="0" fontId="0" fillId="0" borderId="56" xfId="0" applyNumberFormat="1" applyFill="1" applyBorder="1" applyAlignment="1" applyProtection="1">
      <alignment horizontal="center"/>
      <protection/>
    </xf>
    <xf numFmtId="0" fontId="44" fillId="0" borderId="0" xfId="0" applyFont="1" applyFill="1" applyBorder="1" applyAlignment="1" applyProtection="1">
      <alignment horizontal="right"/>
      <protection/>
    </xf>
    <xf numFmtId="175" fontId="0" fillId="0" borderId="0" xfId="0" applyNumberFormat="1" applyFont="1" applyFill="1" applyBorder="1" applyAlignment="1" applyProtection="1">
      <alignment horizontal="left"/>
      <protection/>
    </xf>
    <xf numFmtId="173" fontId="0" fillId="0" borderId="51" xfId="0" applyNumberFormat="1" applyFont="1" applyBorder="1" applyAlignment="1" applyProtection="1">
      <alignment horizontal="center" wrapText="1"/>
      <protection/>
    </xf>
    <xf numFmtId="0" fontId="60" fillId="0" borderId="0" xfId="0" applyFont="1" applyFill="1" applyBorder="1" applyAlignment="1" applyProtection="1">
      <alignment horizontal="center" wrapText="1"/>
      <protection/>
    </xf>
    <xf numFmtId="0" fontId="0" fillId="13" borderId="56" xfId="0" applyNumberFormat="1" applyFill="1" applyBorder="1" applyAlignment="1" applyProtection="1">
      <alignment horizontal="center"/>
      <protection locked="0"/>
    </xf>
    <xf numFmtId="175" fontId="0" fillId="0" borderId="0" xfId="0" applyNumberFormat="1" applyFill="1" applyBorder="1" applyAlignment="1" applyProtection="1">
      <alignment horizontal="center"/>
      <protection locked="0"/>
    </xf>
    <xf numFmtId="173" fontId="49" fillId="0" borderId="50" xfId="0" applyNumberFormat="1" applyFont="1" applyBorder="1" applyAlignment="1" applyProtection="1">
      <alignment horizontal="center"/>
      <protection/>
    </xf>
    <xf numFmtId="173" fontId="49" fillId="0" borderId="51" xfId="0" applyNumberFormat="1" applyFont="1" applyBorder="1" applyAlignment="1" applyProtection="1">
      <alignment horizontal="center"/>
      <protection/>
    </xf>
    <xf numFmtId="1" fontId="0" fillId="13" borderId="15" xfId="0" applyNumberFormat="1" applyFill="1" applyBorder="1" applyAlignment="1" applyProtection="1">
      <alignment horizontal="center"/>
      <protection locked="0"/>
    </xf>
    <xf numFmtId="1" fontId="0" fillId="0" borderId="53" xfId="0" applyNumberFormat="1" applyFill="1" applyBorder="1" applyAlignment="1" applyProtection="1">
      <alignment horizontal="center"/>
      <protection/>
    </xf>
    <xf numFmtId="1" fontId="0" fillId="13" borderId="55" xfId="0" applyNumberFormat="1" applyFill="1" applyBorder="1" applyAlignment="1" applyProtection="1">
      <alignment horizontal="center"/>
      <protection locked="0"/>
    </xf>
    <xf numFmtId="0" fontId="0" fillId="0" borderId="58" xfId="0" applyBorder="1" applyAlignment="1" applyProtection="1">
      <alignment/>
      <protection/>
    </xf>
    <xf numFmtId="176" fontId="49" fillId="10" borderId="59" xfId="0" applyNumberFormat="1" applyFont="1" applyFill="1" applyBorder="1" applyAlignment="1" applyProtection="1">
      <alignment horizontal="center"/>
      <protection locked="0"/>
    </xf>
    <xf numFmtId="176" fontId="49" fillId="10" borderId="60" xfId="0" applyNumberFormat="1" applyFont="1" applyFill="1" applyBorder="1" applyAlignment="1" applyProtection="1">
      <alignment horizontal="center"/>
      <protection locked="0"/>
    </xf>
    <xf numFmtId="176" fontId="0" fillId="0" borderId="61" xfId="0" applyNumberFormat="1" applyFont="1" applyFill="1" applyBorder="1" applyAlignment="1" applyProtection="1">
      <alignment horizontal="left"/>
      <protection/>
    </xf>
    <xf numFmtId="179" fontId="0" fillId="13" borderId="37" xfId="0" applyNumberFormat="1" applyFill="1" applyBorder="1" applyAlignment="1" applyProtection="1">
      <alignment horizontal="right" wrapText="1"/>
      <protection/>
    </xf>
    <xf numFmtId="179" fontId="0" fillId="13" borderId="15" xfId="0" applyNumberFormat="1" applyFill="1" applyBorder="1" applyAlignment="1" applyProtection="1">
      <alignment horizontal="right" wrapText="1"/>
      <protection locked="0"/>
    </xf>
    <xf numFmtId="176" fontId="0" fillId="0" borderId="62" xfId="0" applyNumberFormat="1" applyFont="1" applyBorder="1" applyAlignment="1" applyProtection="1">
      <alignment horizontal="left"/>
      <protection/>
    </xf>
    <xf numFmtId="179" fontId="0" fillId="0" borderId="37" xfId="0" applyNumberFormat="1" applyBorder="1" applyAlignment="1" applyProtection="1">
      <alignment horizontal="right" wrapText="1"/>
      <protection/>
    </xf>
    <xf numFmtId="179" fontId="0" fillId="0" borderId="15" xfId="0" applyNumberFormat="1" applyBorder="1" applyAlignment="1" applyProtection="1">
      <alignment horizontal="right" wrapText="1"/>
      <protection/>
    </xf>
    <xf numFmtId="176" fontId="0" fillId="0" borderId="44" xfId="0" applyNumberFormat="1" applyFont="1" applyBorder="1" applyAlignment="1" applyProtection="1">
      <alignment horizontal="left" wrapText="1"/>
      <protection/>
    </xf>
    <xf numFmtId="179" fontId="0" fillId="0" borderId="37" xfId="82"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173" fontId="0" fillId="0" borderId="0" xfId="82" applyFont="1" applyFill="1" applyBorder="1" applyAlignment="1" applyProtection="1">
      <alignment/>
      <protection/>
    </xf>
    <xf numFmtId="173" fontId="0" fillId="0" borderId="0" xfId="0" applyNumberFormat="1" applyFill="1" applyBorder="1" applyAlignment="1" applyProtection="1">
      <alignment/>
      <protection/>
    </xf>
    <xf numFmtId="176" fontId="0" fillId="0" borderId="0" xfId="0" applyNumberFormat="1" applyFont="1" applyBorder="1" applyAlignment="1" applyProtection="1">
      <alignment/>
      <protection/>
    </xf>
    <xf numFmtId="173" fontId="0" fillId="0" borderId="58" xfId="0" applyNumberFormat="1" applyFont="1" applyFill="1" applyBorder="1" applyAlignment="1" applyProtection="1">
      <alignment horizontal="left"/>
      <protection/>
    </xf>
    <xf numFmtId="173" fontId="0" fillId="0" borderId="63" xfId="0" applyNumberFormat="1" applyFont="1" applyFill="1" applyBorder="1" applyAlignment="1" applyProtection="1">
      <alignment horizontal="center" wrapText="1"/>
      <protection/>
    </xf>
    <xf numFmtId="173" fontId="41" fillId="0" borderId="63" xfId="0" applyNumberFormat="1" applyFont="1" applyBorder="1" applyAlignment="1">
      <alignment horizontal="center" wrapText="1"/>
    </xf>
    <xf numFmtId="173" fontId="0" fillId="0" borderId="63" xfId="0" applyNumberFormat="1" applyFont="1" applyBorder="1" applyAlignment="1">
      <alignment horizontal="center" wrapText="1"/>
    </xf>
    <xf numFmtId="173" fontId="0" fillId="0" borderId="64" xfId="0" applyNumberFormat="1" applyFont="1" applyFill="1" applyBorder="1" applyAlignment="1" applyProtection="1">
      <alignment horizontal="center" wrapText="1"/>
      <protection/>
    </xf>
    <xf numFmtId="173" fontId="0" fillId="13" borderId="15" xfId="0" applyNumberFormat="1" applyFont="1" applyFill="1" applyBorder="1" applyAlignment="1" applyProtection="1">
      <alignment/>
      <protection locked="0"/>
    </xf>
    <xf numFmtId="49" fontId="0" fillId="13" borderId="65" xfId="0" applyNumberFormat="1" applyFont="1" applyFill="1" applyBorder="1" applyAlignment="1" applyProtection="1">
      <alignment horizontal="left"/>
      <protection locked="0"/>
    </xf>
    <xf numFmtId="49" fontId="0" fillId="13" borderId="66" xfId="0" applyNumberFormat="1" applyFont="1" applyFill="1" applyBorder="1" applyAlignment="1" applyProtection="1">
      <alignment horizontal="left"/>
      <protection/>
    </xf>
    <xf numFmtId="0" fontId="0" fillId="0" borderId="0" xfId="0" applyNumberFormat="1" applyFill="1" applyBorder="1" applyAlignment="1" applyProtection="1">
      <alignment/>
      <protection/>
    </xf>
    <xf numFmtId="173" fontId="61" fillId="0" borderId="67" xfId="132" applyNumberFormat="1" applyFont="1" applyFill="1" applyBorder="1" applyAlignment="1" applyProtection="1">
      <alignment/>
      <protection/>
    </xf>
    <xf numFmtId="173" fontId="62" fillId="0" borderId="67" xfId="132" applyNumberFormat="1" applyFont="1" applyFill="1" applyBorder="1" applyAlignment="1" applyProtection="1">
      <alignment/>
      <protection/>
    </xf>
    <xf numFmtId="173" fontId="48" fillId="0" borderId="67" xfId="132" applyNumberFormat="1" applyFont="1" applyFill="1" applyBorder="1" applyAlignment="1" applyProtection="1">
      <alignment vertical="center"/>
      <protection/>
    </xf>
    <xf numFmtId="173" fontId="63" fillId="0" borderId="67" xfId="132" applyNumberFormat="1" applyFont="1" applyFill="1" applyBorder="1" applyAlignment="1" applyProtection="1">
      <alignment vertical="center"/>
      <protection/>
    </xf>
    <xf numFmtId="173" fontId="5" fillId="0" borderId="67" xfId="132" applyNumberFormat="1" applyFont="1" applyFill="1" applyBorder="1" applyAlignment="1" applyProtection="1">
      <alignment vertical="center"/>
      <protection/>
    </xf>
    <xf numFmtId="0" fontId="0" fillId="0" borderId="67" xfId="0" applyFill="1" applyBorder="1" applyAlignment="1" applyProtection="1">
      <alignment/>
      <protection/>
    </xf>
    <xf numFmtId="173" fontId="62" fillId="0" borderId="67" xfId="132" applyNumberFormat="1" applyFont="1" applyFill="1" applyBorder="1" applyAlignment="1" applyProtection="1">
      <alignment vertical="center"/>
      <protection/>
    </xf>
    <xf numFmtId="0" fontId="0" fillId="0" borderId="67" xfId="0" applyBorder="1" applyAlignment="1" applyProtection="1">
      <alignment/>
      <protection/>
    </xf>
    <xf numFmtId="0" fontId="0" fillId="0" borderId="67" xfId="0" applyBorder="1" applyAlignment="1">
      <alignment/>
    </xf>
    <xf numFmtId="173" fontId="64" fillId="0" borderId="68" xfId="0" applyNumberFormat="1" applyFont="1" applyFill="1" applyBorder="1" applyAlignment="1" applyProtection="1">
      <alignment horizontal="center" vertical="center"/>
      <protection/>
    </xf>
    <xf numFmtId="173" fontId="64" fillId="0" borderId="69" xfId="0" applyNumberFormat="1" applyFont="1" applyFill="1" applyBorder="1" applyAlignment="1" applyProtection="1">
      <alignment horizontal="center" vertical="center" wrapText="1"/>
      <protection/>
    </xf>
    <xf numFmtId="0" fontId="1" fillId="0" borderId="70" xfId="0" applyFont="1" applyFill="1" applyBorder="1" applyAlignment="1" applyProtection="1">
      <alignment horizontal="center"/>
      <protection/>
    </xf>
    <xf numFmtId="176" fontId="18" fillId="10" borderId="71" xfId="0" applyNumberFormat="1" applyFont="1" applyFill="1" applyBorder="1" applyAlignment="1" applyProtection="1">
      <alignment horizontal="center"/>
      <protection locked="0"/>
    </xf>
    <xf numFmtId="173" fontId="64" fillId="0" borderId="72" xfId="0" applyNumberFormat="1" applyFont="1" applyFill="1" applyBorder="1" applyAlignment="1" applyProtection="1">
      <alignment horizontal="center" vertical="center"/>
      <protection/>
    </xf>
    <xf numFmtId="0" fontId="64" fillId="0" borderId="73" xfId="0" applyFont="1" applyFill="1" applyBorder="1" applyAlignment="1" applyProtection="1">
      <alignment horizontal="center" vertical="center"/>
      <protection/>
    </xf>
    <xf numFmtId="173" fontId="64" fillId="0" borderId="74" xfId="0" applyNumberFormat="1" applyFont="1" applyFill="1" applyBorder="1" applyAlignment="1" applyProtection="1">
      <alignment horizontal="center" vertical="center"/>
      <protection/>
    </xf>
    <xf numFmtId="173" fontId="64" fillId="0" borderId="75" xfId="0" applyNumberFormat="1" applyFont="1" applyFill="1" applyBorder="1" applyAlignment="1" applyProtection="1">
      <alignment horizontal="center" vertical="center" wrapText="1"/>
      <protection/>
    </xf>
    <xf numFmtId="0" fontId="1" fillId="0" borderId="76" xfId="0" applyFont="1" applyFill="1" applyBorder="1" applyAlignment="1" applyProtection="1">
      <alignment horizontal="center"/>
      <protection/>
    </xf>
    <xf numFmtId="179" fontId="1" fillId="12" borderId="37" xfId="0" applyNumberFormat="1" applyFont="1" applyFill="1" applyBorder="1" applyAlignment="1" applyProtection="1">
      <alignment horizontal="center" vertical="center" wrapText="1"/>
      <protection/>
    </xf>
    <xf numFmtId="186" fontId="1" fillId="12" borderId="37" xfId="0" applyNumberFormat="1" applyFont="1" applyFill="1" applyBorder="1" applyAlignment="1" applyProtection="1">
      <alignment horizontal="center" vertical="center" wrapText="1"/>
      <protection/>
    </xf>
    <xf numFmtId="0" fontId="39" fillId="0" borderId="0" xfId="0" applyFont="1" applyAlignment="1" applyProtection="1">
      <alignment/>
      <protection/>
    </xf>
    <xf numFmtId="49" fontId="0" fillId="0" borderId="0" xfId="0" applyNumberFormat="1" applyFont="1" applyAlignment="1" applyProtection="1">
      <alignment/>
      <protection/>
    </xf>
    <xf numFmtId="49" fontId="64" fillId="0" borderId="68" xfId="0" applyNumberFormat="1" applyFont="1" applyFill="1" applyBorder="1" applyAlignment="1" applyProtection="1">
      <alignment horizontal="center" vertical="center"/>
      <protection/>
    </xf>
    <xf numFmtId="49" fontId="64" fillId="0" borderId="69" xfId="0" applyNumberFormat="1" applyFont="1" applyFill="1" applyBorder="1" applyAlignment="1" applyProtection="1">
      <alignment horizontal="center" vertical="center" wrapText="1"/>
      <protection/>
    </xf>
    <xf numFmtId="49" fontId="1" fillId="2" borderId="77" xfId="0" applyNumberFormat="1" applyFont="1" applyFill="1" applyBorder="1" applyAlignment="1" applyProtection="1">
      <alignment/>
      <protection/>
    </xf>
    <xf numFmtId="179" fontId="1" fillId="0" borderId="37" xfId="0" applyNumberFormat="1" applyFont="1" applyFill="1" applyBorder="1" applyAlignment="1" applyProtection="1">
      <alignment vertical="center"/>
      <protection/>
    </xf>
    <xf numFmtId="179" fontId="1" fillId="0" borderId="15" xfId="0" applyNumberFormat="1" applyFont="1" applyFill="1" applyBorder="1" applyAlignment="1" applyProtection="1">
      <alignment vertical="center"/>
      <protection/>
    </xf>
    <xf numFmtId="49" fontId="1" fillId="2" borderId="12" xfId="0" applyNumberFormat="1" applyFont="1" applyFill="1" applyBorder="1" applyAlignment="1" applyProtection="1">
      <alignment/>
      <protection/>
    </xf>
    <xf numFmtId="49" fontId="1" fillId="27" borderId="15" xfId="0" applyNumberFormat="1" applyFont="1" applyFill="1" applyBorder="1" applyAlignment="1" applyProtection="1">
      <alignment/>
      <protection/>
    </xf>
    <xf numFmtId="179" fontId="1" fillId="27" borderId="15" xfId="0" applyNumberFormat="1" applyFont="1" applyFill="1" applyBorder="1" applyAlignment="1" applyProtection="1">
      <alignment vertical="center"/>
      <protection/>
    </xf>
    <xf numFmtId="49" fontId="1" fillId="2" borderId="78" xfId="0" applyNumberFormat="1" applyFont="1" applyFill="1" applyBorder="1" applyAlignment="1" applyProtection="1">
      <alignment/>
      <protection/>
    </xf>
    <xf numFmtId="179" fontId="1" fillId="0" borderId="79" xfId="0" applyNumberFormat="1" applyFont="1" applyFill="1" applyBorder="1" applyAlignment="1" applyProtection="1">
      <alignment vertical="center"/>
      <protection/>
    </xf>
    <xf numFmtId="173" fontId="66" fillId="0" borderId="0" xfId="88" applyFont="1" applyFill="1" applyAlignment="1" applyProtection="1">
      <alignment vertical="center"/>
      <protection/>
    </xf>
    <xf numFmtId="0" fontId="55" fillId="0" borderId="0" xfId="0" applyFont="1" applyAlignment="1" applyProtection="1">
      <alignment/>
      <protection/>
    </xf>
    <xf numFmtId="173" fontId="67" fillId="0" borderId="0" xfId="100" applyFont="1" applyFill="1" applyAlignment="1" applyProtection="1">
      <alignment horizontal="right" vertical="center"/>
      <protection/>
    </xf>
    <xf numFmtId="0" fontId="2" fillId="0" borderId="0" xfId="0" applyFont="1" applyFill="1" applyBorder="1" applyAlignment="1" applyProtection="1">
      <alignment horizontal="center"/>
      <protection/>
    </xf>
    <xf numFmtId="0" fontId="68" fillId="0" borderId="0" xfId="0" applyFont="1" applyFill="1" applyBorder="1" applyAlignment="1" applyProtection="1">
      <alignment horizontal="left"/>
      <protection/>
    </xf>
    <xf numFmtId="0" fontId="69" fillId="0" borderId="0" xfId="0" applyFont="1" applyFill="1" applyAlignment="1" applyProtection="1">
      <alignment/>
      <protection/>
    </xf>
    <xf numFmtId="0" fontId="2" fillId="0" borderId="0" xfId="0" applyFont="1" applyAlignment="1" applyProtection="1">
      <alignment/>
      <protection/>
    </xf>
    <xf numFmtId="173" fontId="70" fillId="0" borderId="0" xfId="100" applyFont="1" applyFill="1" applyAlignment="1" applyProtection="1">
      <alignment/>
      <protection/>
    </xf>
    <xf numFmtId="173" fontId="70" fillId="0" borderId="0" xfId="100" applyFont="1" applyFill="1" applyAlignment="1" applyProtection="1">
      <alignment horizontal="center"/>
      <protection/>
    </xf>
    <xf numFmtId="173" fontId="70" fillId="0" borderId="0" xfId="100" applyFont="1" applyFill="1" applyAlignment="1" applyProtection="1">
      <alignment horizontal="right"/>
      <protection/>
    </xf>
    <xf numFmtId="173" fontId="70" fillId="0" borderId="0" xfId="100" applyFont="1" applyFill="1" applyBorder="1" applyAlignment="1" applyProtection="1">
      <alignment horizontal="center"/>
      <protection/>
    </xf>
    <xf numFmtId="173" fontId="0" fillId="0" borderId="0" xfId="99" applyProtection="1">
      <alignment/>
      <protection/>
    </xf>
    <xf numFmtId="0" fontId="2" fillId="0" borderId="0" xfId="0" applyFont="1" applyAlignment="1" applyProtection="1">
      <alignment horizontal="left" indent="1"/>
      <protection/>
    </xf>
    <xf numFmtId="0" fontId="27" fillId="0" borderId="0" xfId="0" applyFont="1" applyAlignment="1" applyProtection="1">
      <alignment horizontal="left" indent="1"/>
      <protection/>
    </xf>
    <xf numFmtId="173" fontId="0" fillId="0" borderId="80" xfId="126" applyNumberFormat="1" applyFont="1" applyFill="1" applyBorder="1" applyAlignment="1" applyProtection="1">
      <alignment horizontal="right"/>
      <protection/>
    </xf>
    <xf numFmtId="189" fontId="39" fillId="13" borderId="80" xfId="126" applyNumberFormat="1" applyFont="1" applyFill="1" applyBorder="1" applyAlignment="1" applyProtection="1">
      <alignment horizontal="center" vertical="center"/>
      <protection/>
    </xf>
    <xf numFmtId="173" fontId="67" fillId="0" borderId="80" xfId="126" applyNumberFormat="1" applyFont="1" applyFill="1" applyBorder="1" applyAlignment="1" applyProtection="1">
      <alignment horizontal="right"/>
      <protection/>
    </xf>
    <xf numFmtId="173" fontId="39" fillId="13" borderId="80" xfId="126" applyNumberFormat="1" applyFont="1" applyFill="1" applyBorder="1" applyAlignment="1" applyProtection="1">
      <alignment horizontal="center" vertical="center"/>
      <protection/>
    </xf>
    <xf numFmtId="175" fontId="39" fillId="13" borderId="80" xfId="126" applyNumberFormat="1" applyFont="1" applyFill="1" applyBorder="1" applyAlignment="1" applyProtection="1">
      <alignment horizontal="center" vertical="center"/>
      <protection/>
    </xf>
    <xf numFmtId="173" fontId="2" fillId="0" borderId="0" xfId="99" applyFont="1" applyProtection="1">
      <alignment/>
      <protection/>
    </xf>
    <xf numFmtId="191" fontId="39" fillId="13" borderId="80" xfId="126" applyNumberFormat="1" applyFont="1" applyFill="1" applyBorder="1" applyAlignment="1" applyProtection="1">
      <alignment horizontal="center"/>
      <protection/>
    </xf>
    <xf numFmtId="179" fontId="39" fillId="13" borderId="80" xfId="126" applyNumberFormat="1" applyFont="1" applyFill="1" applyBorder="1" applyAlignment="1" applyProtection="1">
      <alignment horizontal="center"/>
      <protection/>
    </xf>
    <xf numFmtId="173" fontId="39" fillId="13" borderId="80" xfId="126" applyNumberFormat="1" applyFont="1" applyFill="1" applyBorder="1" applyAlignment="1" applyProtection="1">
      <alignment horizontal="center"/>
      <protection/>
    </xf>
    <xf numFmtId="0" fontId="2" fillId="0" borderId="0" xfId="0" applyFont="1" applyFill="1" applyBorder="1" applyAlignment="1" applyProtection="1">
      <alignment/>
      <protection/>
    </xf>
    <xf numFmtId="175" fontId="39" fillId="13" borderId="80" xfId="126" applyNumberFormat="1" applyFont="1" applyFill="1" applyBorder="1" applyAlignment="1" applyProtection="1">
      <alignment horizontal="center"/>
      <protection/>
    </xf>
    <xf numFmtId="0" fontId="72" fillId="0" borderId="0" xfId="0" applyFont="1" applyFill="1" applyBorder="1" applyAlignment="1" applyProtection="1">
      <alignment/>
      <protection/>
    </xf>
    <xf numFmtId="0" fontId="27" fillId="0" borderId="0" xfId="99" applyNumberFormat="1" applyFont="1" applyBorder="1" applyProtection="1">
      <alignment/>
      <protection/>
    </xf>
    <xf numFmtId="173" fontId="73" fillId="0" borderId="0" xfId="99" applyFont="1" applyProtection="1">
      <alignment/>
      <protection/>
    </xf>
    <xf numFmtId="173" fontId="2" fillId="0" borderId="0" xfId="101" applyFont="1" applyProtection="1">
      <alignment/>
      <protection/>
    </xf>
    <xf numFmtId="173" fontId="73" fillId="0" borderId="0" xfId="101" applyFont="1" applyProtection="1">
      <alignment/>
      <protection/>
    </xf>
    <xf numFmtId="173" fontId="24" fillId="0" borderId="0" xfId="88" applyFont="1" applyFill="1" applyAlignment="1">
      <alignment vertical="center"/>
      <protection/>
    </xf>
    <xf numFmtId="173" fontId="41" fillId="0" borderId="0" xfId="0" applyNumberFormat="1" applyFont="1" applyAlignment="1" applyProtection="1">
      <alignment horizontal="right"/>
      <protection/>
    </xf>
    <xf numFmtId="173" fontId="41" fillId="0" borderId="0" xfId="0" applyNumberFormat="1" applyFont="1" applyBorder="1" applyAlignment="1" applyProtection="1">
      <alignment horizontal="right"/>
      <protection/>
    </xf>
    <xf numFmtId="0" fontId="41" fillId="0" borderId="0" xfId="0" applyNumberFormat="1" applyFont="1" applyAlignment="1" applyProtection="1">
      <alignment horizontal="center"/>
      <protection/>
    </xf>
    <xf numFmtId="0" fontId="72" fillId="0" borderId="0" xfId="0" applyFont="1" applyAlignment="1">
      <alignment/>
    </xf>
    <xf numFmtId="175" fontId="41" fillId="0" borderId="0" xfId="0" applyNumberFormat="1" applyFont="1" applyAlignment="1" applyProtection="1">
      <alignment horizontal="center"/>
      <protection/>
    </xf>
    <xf numFmtId="173" fontId="41" fillId="0" borderId="0" xfId="0" applyNumberFormat="1" applyFont="1" applyAlignment="1" applyProtection="1">
      <alignment/>
      <protection/>
    </xf>
    <xf numFmtId="177" fontId="41" fillId="0" borderId="0" xfId="82" applyNumberFormat="1" applyFont="1" applyFill="1" applyBorder="1" applyAlignment="1" applyProtection="1">
      <alignment horizontal="left"/>
      <protection/>
    </xf>
    <xf numFmtId="173" fontId="41" fillId="0" borderId="0" xfId="0" applyNumberFormat="1" applyFont="1" applyBorder="1" applyAlignment="1" applyProtection="1">
      <alignment/>
      <protection/>
    </xf>
    <xf numFmtId="0" fontId="70" fillId="0" borderId="0" xfId="0" applyFont="1" applyBorder="1" applyAlignment="1" applyProtection="1">
      <alignment horizontal="center"/>
      <protection/>
    </xf>
    <xf numFmtId="0" fontId="70" fillId="0" borderId="0" xfId="0" applyFont="1" applyAlignment="1" applyProtection="1">
      <alignment horizontal="center"/>
      <protection/>
    </xf>
    <xf numFmtId="175" fontId="41" fillId="0" borderId="0" xfId="0" applyNumberFormat="1" applyFont="1" applyAlignment="1" applyProtection="1">
      <alignment horizontal="right"/>
      <protection/>
    </xf>
    <xf numFmtId="175" fontId="41" fillId="0" borderId="0" xfId="0" applyNumberFormat="1" applyFont="1" applyAlignment="1" applyProtection="1">
      <alignment horizontal="left"/>
      <protection/>
    </xf>
    <xf numFmtId="173" fontId="75" fillId="0" borderId="0" xfId="0" applyNumberFormat="1" applyFont="1" applyBorder="1" applyAlignment="1" applyProtection="1">
      <alignment/>
      <protection/>
    </xf>
    <xf numFmtId="0" fontId="76" fillId="0" borderId="0" xfId="0" applyFont="1" applyBorder="1" applyAlignment="1" applyProtection="1">
      <alignment/>
      <protection/>
    </xf>
    <xf numFmtId="0" fontId="2" fillId="0" borderId="0" xfId="0" applyFont="1" applyAlignment="1">
      <alignment/>
    </xf>
    <xf numFmtId="173" fontId="78" fillId="0" borderId="0" xfId="0" applyNumberFormat="1" applyFont="1" applyAlignment="1" applyProtection="1">
      <alignment/>
      <protection/>
    </xf>
    <xf numFmtId="0" fontId="0" fillId="0" borderId="0" xfId="0" applyBorder="1" applyAlignment="1">
      <alignment horizontal="left" wrapText="1"/>
    </xf>
    <xf numFmtId="0" fontId="76" fillId="0" borderId="0" xfId="0" applyFont="1" applyFill="1" applyAlignment="1" applyProtection="1">
      <alignment horizontal="left"/>
      <protection locked="0"/>
    </xf>
    <xf numFmtId="0" fontId="76" fillId="0" borderId="0" xfId="0" applyFont="1" applyFill="1" applyBorder="1" applyAlignment="1" applyProtection="1">
      <alignment horizontal="left"/>
      <protection locked="0"/>
    </xf>
    <xf numFmtId="173" fontId="79" fillId="0" borderId="0" xfId="0" applyNumberFormat="1" applyFont="1" applyBorder="1" applyAlignment="1" applyProtection="1">
      <alignment vertical="center" wrapText="1"/>
      <protection/>
    </xf>
    <xf numFmtId="173" fontId="79" fillId="0" borderId="58" xfId="0" applyNumberFormat="1" applyFont="1" applyFill="1" applyBorder="1" applyAlignment="1" applyProtection="1">
      <alignment horizontal="center" wrapText="1"/>
      <protection/>
    </xf>
    <xf numFmtId="173" fontId="79" fillId="0" borderId="64" xfId="0" applyNumberFormat="1" applyFont="1" applyFill="1" applyBorder="1" applyAlignment="1" applyProtection="1">
      <alignment horizontal="center" wrapText="1"/>
      <protection/>
    </xf>
    <xf numFmtId="0" fontId="79" fillId="0" borderId="0" xfId="0" applyFont="1" applyFill="1" applyBorder="1" applyAlignment="1" applyProtection="1">
      <alignment wrapText="1"/>
      <protection/>
    </xf>
    <xf numFmtId="0" fontId="75" fillId="0" borderId="44" xfId="0" applyFont="1" applyFill="1" applyBorder="1" applyAlignment="1" applyProtection="1">
      <alignment horizontal="center"/>
      <protection/>
    </xf>
    <xf numFmtId="0" fontId="75" fillId="0" borderId="81" xfId="0" applyFont="1" applyFill="1" applyBorder="1" applyAlignment="1" applyProtection="1">
      <alignment horizontal="center"/>
      <protection/>
    </xf>
    <xf numFmtId="0" fontId="49" fillId="3" borderId="82" xfId="0" applyFont="1" applyFill="1" applyBorder="1" applyAlignment="1" applyProtection="1">
      <alignment horizontal="center"/>
      <protection/>
    </xf>
    <xf numFmtId="0" fontId="76" fillId="0" borderId="0" xfId="0" applyFont="1" applyAlignment="1" applyProtection="1">
      <alignment/>
      <protection/>
    </xf>
    <xf numFmtId="173" fontId="0" fillId="0" borderId="0" xfId="0" applyNumberFormat="1" applyAlignment="1">
      <alignment/>
    </xf>
    <xf numFmtId="173" fontId="24" fillId="0" borderId="0" xfId="98" applyFont="1" applyFill="1" applyAlignment="1">
      <alignment vertical="center"/>
      <protection/>
    </xf>
    <xf numFmtId="173" fontId="41" fillId="0" borderId="0" xfId="0" applyNumberFormat="1" applyFont="1" applyAlignment="1">
      <alignment horizontal="right"/>
    </xf>
    <xf numFmtId="173" fontId="41" fillId="0" borderId="0" xfId="0" applyNumberFormat="1" applyFont="1" applyAlignment="1">
      <alignment/>
    </xf>
    <xf numFmtId="173" fontId="78" fillId="0" borderId="0" xfId="0" applyNumberFormat="1" applyFont="1" applyAlignment="1">
      <alignment/>
    </xf>
    <xf numFmtId="0" fontId="76" fillId="0" borderId="0" xfId="0" applyFont="1" applyAlignment="1">
      <alignment/>
    </xf>
    <xf numFmtId="0" fontId="0" fillId="0" borderId="0" xfId="0" applyBorder="1" applyAlignment="1">
      <alignment horizontal="left"/>
    </xf>
    <xf numFmtId="192" fontId="0" fillId="0" borderId="0" xfId="0" applyNumberFormat="1" applyAlignment="1">
      <alignment/>
    </xf>
    <xf numFmtId="0" fontId="18" fillId="0" borderId="0" xfId="0" applyFont="1" applyBorder="1" applyAlignment="1">
      <alignment horizontal="center"/>
    </xf>
    <xf numFmtId="193" fontId="0" fillId="0" borderId="0" xfId="126" applyNumberFormat="1" applyFill="1" applyBorder="1" applyAlignment="1" applyProtection="1">
      <alignment horizontal="center"/>
      <protection locked="0"/>
    </xf>
    <xf numFmtId="193" fontId="0" fillId="0" borderId="0" xfId="0" applyNumberFormat="1" applyFill="1" applyAlignment="1">
      <alignment/>
    </xf>
    <xf numFmtId="175" fontId="0" fillId="0" borderId="0" xfId="0" applyNumberFormat="1" applyFont="1" applyFill="1" applyBorder="1" applyAlignment="1">
      <alignment horizontal="center"/>
    </xf>
    <xf numFmtId="1" fontId="55" fillId="0" borderId="0" xfId="0" applyNumberFormat="1" applyFont="1" applyFill="1" applyBorder="1" applyAlignment="1">
      <alignment horizontal="center"/>
    </xf>
    <xf numFmtId="1" fontId="68" fillId="2"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41" fillId="0" borderId="0" xfId="0" applyFont="1" applyFill="1" applyBorder="1" applyAlignment="1" applyProtection="1">
      <alignment wrapText="1"/>
      <protection/>
    </xf>
    <xf numFmtId="0" fontId="55" fillId="2" borderId="12" xfId="0" applyFont="1" applyFill="1" applyBorder="1" applyAlignment="1" applyProtection="1">
      <alignment/>
      <protection/>
    </xf>
    <xf numFmtId="186" fontId="0" fillId="2" borderId="15" xfId="0" applyNumberFormat="1" applyFill="1" applyBorder="1" applyAlignment="1" applyProtection="1">
      <alignment horizontal="center"/>
      <protection/>
    </xf>
    <xf numFmtId="186" fontId="0" fillId="0" borderId="15" xfId="0" applyNumberFormat="1" applyBorder="1" applyAlignment="1" applyProtection="1">
      <alignment horizontal="center"/>
      <protection/>
    </xf>
    <xf numFmtId="186" fontId="2" fillId="28" borderId="83" xfId="0" applyNumberFormat="1" applyFont="1" applyFill="1" applyBorder="1" applyAlignment="1" applyProtection="1">
      <alignment horizontal="center"/>
      <protection/>
    </xf>
    <xf numFmtId="186" fontId="55" fillId="28" borderId="83" xfId="0" applyNumberFormat="1" applyFont="1" applyFill="1" applyBorder="1" applyAlignment="1" applyProtection="1">
      <alignment horizontal="center"/>
      <protection/>
    </xf>
    <xf numFmtId="0" fontId="55" fillId="2" borderId="84" xfId="0" applyFont="1" applyFill="1" applyBorder="1" applyAlignment="1" applyProtection="1">
      <alignment/>
      <protection/>
    </xf>
    <xf numFmtId="186" fontId="0" fillId="2" borderId="65" xfId="0" applyNumberFormat="1" applyFill="1" applyBorder="1" applyAlignment="1" applyProtection="1">
      <alignment horizontal="center"/>
      <protection/>
    </xf>
    <xf numFmtId="186" fontId="0" fillId="0" borderId="65" xfId="0" applyNumberFormat="1" applyBorder="1" applyAlignment="1" applyProtection="1">
      <alignment horizontal="center"/>
      <protection/>
    </xf>
    <xf numFmtId="0" fontId="41" fillId="0" borderId="0" xfId="0" applyFont="1" applyFill="1" applyBorder="1" applyAlignment="1">
      <alignment vertical="center" wrapText="1"/>
    </xf>
    <xf numFmtId="0" fontId="41" fillId="0" borderId="0" xfId="0" applyFont="1" applyFill="1" applyBorder="1" applyAlignment="1">
      <alignment horizontal="center"/>
    </xf>
    <xf numFmtId="0" fontId="0" fillId="2" borderId="0" xfId="0" applyFill="1" applyBorder="1" applyAlignment="1">
      <alignment horizontal="center"/>
    </xf>
    <xf numFmtId="0" fontId="41" fillId="0" borderId="0" xfId="0" applyFont="1" applyAlignment="1" applyProtection="1">
      <alignment horizontal="center"/>
      <protection/>
    </xf>
    <xf numFmtId="173" fontId="41" fillId="0" borderId="0" xfId="0" applyNumberFormat="1" applyFont="1" applyAlignment="1" applyProtection="1">
      <alignment/>
      <protection/>
    </xf>
    <xf numFmtId="175" fontId="41" fillId="0" borderId="0" xfId="0" applyNumberFormat="1" applyFont="1" applyAlignment="1">
      <alignment/>
    </xf>
    <xf numFmtId="0" fontId="16" fillId="0" borderId="0" xfId="0" applyFont="1" applyAlignment="1">
      <alignment/>
    </xf>
    <xf numFmtId="0" fontId="2" fillId="0" borderId="0" xfId="0" applyNumberFormat="1" applyFont="1" applyAlignment="1">
      <alignment/>
    </xf>
    <xf numFmtId="173" fontId="18" fillId="0" borderId="0" xfId="0" applyNumberFormat="1" applyFont="1" applyAlignment="1" applyProtection="1">
      <alignment horizontal="center"/>
      <protection/>
    </xf>
    <xf numFmtId="173" fontId="0" fillId="0" borderId="0" xfId="0" applyNumberFormat="1" applyAlignment="1" applyProtection="1">
      <alignment horizontal="right"/>
      <protection/>
    </xf>
    <xf numFmtId="175" fontId="49" fillId="0" borderId="0" xfId="0" applyNumberFormat="1" applyFont="1" applyAlignment="1" applyProtection="1">
      <alignment horizontal="center"/>
      <protection/>
    </xf>
    <xf numFmtId="0" fontId="76" fillId="0" borderId="15" xfId="0" applyFont="1" applyBorder="1" applyAlignment="1" applyProtection="1">
      <alignment horizontal="center" vertical="center" wrapText="1"/>
      <protection/>
    </xf>
    <xf numFmtId="9" fontId="82" fillId="14" borderId="15" xfId="109" applyFont="1" applyFill="1" applyBorder="1" applyAlignment="1" applyProtection="1">
      <alignment horizontal="center" vertical="center" wrapText="1"/>
      <protection/>
    </xf>
    <xf numFmtId="179" fontId="2" fillId="2" borderId="85" xfId="0" applyNumberFormat="1" applyFont="1" applyFill="1" applyBorder="1" applyAlignment="1">
      <alignment horizontal="right"/>
    </xf>
    <xf numFmtId="179" fontId="2" fillId="2" borderId="85" xfId="82" applyNumberFormat="1" applyFont="1" applyFill="1" applyBorder="1" applyAlignment="1" applyProtection="1">
      <alignment/>
      <protection/>
    </xf>
    <xf numFmtId="9" fontId="2" fillId="2" borderId="85" xfId="109" applyFont="1" applyFill="1" applyBorder="1" applyAlignment="1" applyProtection="1">
      <alignment/>
      <protection/>
    </xf>
    <xf numFmtId="9" fontId="2" fillId="2" borderId="85" xfId="109" applyNumberFormat="1" applyFont="1" applyFill="1" applyBorder="1" applyAlignment="1" applyProtection="1">
      <alignment/>
      <protection/>
    </xf>
    <xf numFmtId="9" fontId="2" fillId="2" borderId="85" xfId="109" applyFont="1" applyFill="1" applyBorder="1" applyAlignment="1" applyProtection="1">
      <alignment horizontal="center"/>
      <protection/>
    </xf>
    <xf numFmtId="179" fontId="2" fillId="0" borderId="0" xfId="0" applyNumberFormat="1" applyFont="1" applyAlignment="1">
      <alignment/>
    </xf>
    <xf numFmtId="179" fontId="2" fillId="2" borderId="85" xfId="0" applyNumberFormat="1" applyFont="1" applyFill="1" applyBorder="1" applyAlignment="1">
      <alignment/>
    </xf>
    <xf numFmtId="173" fontId="2" fillId="0" borderId="0" xfId="0" applyNumberFormat="1" applyFont="1" applyAlignment="1">
      <alignment/>
    </xf>
    <xf numFmtId="0" fontId="51" fillId="0" borderId="0" xfId="0" applyFont="1" applyFill="1" applyBorder="1" applyAlignment="1" applyProtection="1">
      <alignment/>
      <protection/>
    </xf>
    <xf numFmtId="0" fontId="83" fillId="0" borderId="0" xfId="0" applyFont="1" applyAlignment="1">
      <alignment/>
    </xf>
    <xf numFmtId="0" fontId="83" fillId="0" borderId="0" xfId="0" applyFont="1" applyAlignment="1">
      <alignment horizontal="right"/>
    </xf>
    <xf numFmtId="0" fontId="83" fillId="0" borderId="0" xfId="0" applyFont="1" applyAlignment="1" applyProtection="1">
      <alignment/>
      <protection/>
    </xf>
    <xf numFmtId="0" fontId="83" fillId="0" borderId="0" xfId="0" applyFont="1" applyAlignment="1" applyProtection="1">
      <alignment horizontal="right"/>
      <protection/>
    </xf>
    <xf numFmtId="173" fontId="42" fillId="0" borderId="0" xfId="98" applyFont="1" applyFill="1" applyAlignment="1">
      <alignment vertical="center"/>
      <protection/>
    </xf>
    <xf numFmtId="0" fontId="83" fillId="0" borderId="0" xfId="0" applyFont="1" applyBorder="1" applyAlignment="1" applyProtection="1">
      <alignment/>
      <protection/>
    </xf>
    <xf numFmtId="0" fontId="84" fillId="0" borderId="0" xfId="0" applyFont="1" applyBorder="1" applyAlignment="1" applyProtection="1">
      <alignment horizontal="left" vertical="center"/>
      <protection/>
    </xf>
    <xf numFmtId="0" fontId="84" fillId="0" borderId="0" xfId="0" applyFont="1" applyBorder="1" applyAlignment="1" applyProtection="1">
      <alignment horizontal="left"/>
      <protection/>
    </xf>
    <xf numFmtId="195" fontId="84" fillId="0" borderId="0" xfId="0" applyNumberFormat="1" applyFont="1" applyBorder="1" applyAlignment="1" applyProtection="1">
      <alignment horizontal="left"/>
      <protection/>
    </xf>
    <xf numFmtId="0" fontId="83" fillId="0" borderId="0" xfId="0" applyFont="1" applyBorder="1" applyAlignment="1">
      <alignment/>
    </xf>
    <xf numFmtId="0" fontId="86" fillId="0" borderId="0" xfId="0" applyFont="1" applyAlignment="1" applyProtection="1">
      <alignment/>
      <protection/>
    </xf>
    <xf numFmtId="0" fontId="89" fillId="0" borderId="0" xfId="0" applyFont="1" applyFill="1" applyBorder="1" applyAlignment="1" applyProtection="1">
      <alignment horizontal="right"/>
      <protection/>
    </xf>
    <xf numFmtId="0" fontId="86" fillId="0" borderId="0" xfId="0" applyFont="1" applyAlignment="1">
      <alignment/>
    </xf>
    <xf numFmtId="0" fontId="64" fillId="0" borderId="86" xfId="0" applyFont="1" applyFill="1" applyBorder="1" applyAlignment="1" applyProtection="1">
      <alignment horizontal="center" vertical="center" wrapText="1"/>
      <protection/>
    </xf>
    <xf numFmtId="0" fontId="90" fillId="0" borderId="87" xfId="0" applyNumberFormat="1" applyFont="1" applyFill="1" applyBorder="1" applyAlignment="1" applyProtection="1">
      <alignment horizontal="right"/>
      <protection/>
    </xf>
    <xf numFmtId="9" fontId="91" fillId="0" borderId="0" xfId="0" applyNumberFormat="1" applyFont="1" applyFill="1" applyBorder="1" applyAlignment="1" applyProtection="1">
      <alignment/>
      <protection/>
    </xf>
    <xf numFmtId="0" fontId="64" fillId="0" borderId="88" xfId="0" applyFont="1" applyFill="1" applyBorder="1" applyAlignment="1" applyProtection="1">
      <alignment horizontal="center"/>
      <protection/>
    </xf>
    <xf numFmtId="0" fontId="90" fillId="0" borderId="89" xfId="0" applyNumberFormat="1" applyFont="1" applyFill="1" applyBorder="1" applyAlignment="1" applyProtection="1">
      <alignment horizontal="right"/>
      <protection/>
    </xf>
    <xf numFmtId="0" fontId="64" fillId="0" borderId="90" xfId="0" applyFont="1" applyFill="1" applyBorder="1" applyAlignment="1" applyProtection="1">
      <alignment horizontal="center"/>
      <protection/>
    </xf>
    <xf numFmtId="0" fontId="90" fillId="0" borderId="91" xfId="0" applyNumberFormat="1" applyFont="1" applyFill="1" applyBorder="1" applyAlignment="1" applyProtection="1">
      <alignment horizontal="right"/>
      <protection/>
    </xf>
    <xf numFmtId="0" fontId="92" fillId="0" borderId="0" xfId="0" applyFont="1" applyFill="1" applyBorder="1" applyAlignment="1" applyProtection="1">
      <alignment horizontal="center"/>
      <protection/>
    </xf>
    <xf numFmtId="0" fontId="90" fillId="0" borderId="0" xfId="0" applyNumberFormat="1" applyFont="1" applyFill="1" applyBorder="1" applyAlignment="1" applyProtection="1">
      <alignment horizontal="right"/>
      <protection/>
    </xf>
    <xf numFmtId="0" fontId="30" fillId="0" borderId="0" xfId="0" applyFont="1" applyFill="1" applyBorder="1" applyAlignment="1" applyProtection="1">
      <alignment horizontal="center" vertical="center"/>
      <protection/>
    </xf>
    <xf numFmtId="9" fontId="91" fillId="0" borderId="0" xfId="0" applyNumberFormat="1" applyFont="1" applyFill="1" applyBorder="1" applyAlignment="1" applyProtection="1">
      <alignment horizontal="center"/>
      <protection/>
    </xf>
    <xf numFmtId="0" fontId="86" fillId="0" borderId="0" xfId="0" applyFont="1" applyFill="1" applyAlignment="1">
      <alignment/>
    </xf>
    <xf numFmtId="196" fontId="93" fillId="2" borderId="0" xfId="0" applyNumberFormat="1" applyFont="1" applyFill="1" applyBorder="1" applyAlignment="1" applyProtection="1">
      <alignment vertical="center"/>
      <protection/>
    </xf>
    <xf numFmtId="0" fontId="90" fillId="2" borderId="0" xfId="0" applyNumberFormat="1" applyFont="1" applyFill="1" applyBorder="1" applyAlignment="1" applyProtection="1">
      <alignment horizontal="right"/>
      <protection/>
    </xf>
    <xf numFmtId="0" fontId="30" fillId="2" borderId="0" xfId="0" applyFont="1" applyFill="1" applyBorder="1" applyAlignment="1" applyProtection="1">
      <alignment horizontal="center" vertical="center"/>
      <protection/>
    </xf>
    <xf numFmtId="0" fontId="94" fillId="2" borderId="0" xfId="0" applyFont="1" applyFill="1" applyBorder="1" applyAlignment="1" applyProtection="1">
      <alignment horizontal="center" vertical="center"/>
      <protection/>
    </xf>
    <xf numFmtId="186" fontId="93" fillId="2" borderId="0" xfId="109" applyNumberFormat="1" applyFont="1" applyFill="1" applyBorder="1" applyAlignment="1" applyProtection="1">
      <alignment horizontal="right"/>
      <protection/>
    </xf>
    <xf numFmtId="9" fontId="95" fillId="2" borderId="0" xfId="0" applyNumberFormat="1" applyFont="1" applyFill="1" applyBorder="1" applyAlignment="1" applyProtection="1">
      <alignment/>
      <protection/>
    </xf>
    <xf numFmtId="0" fontId="96" fillId="2" borderId="0" xfId="0" applyFont="1" applyFill="1" applyBorder="1" applyAlignment="1" applyProtection="1">
      <alignment horizontal="center" vertical="center"/>
      <protection/>
    </xf>
    <xf numFmtId="9" fontId="95" fillId="2" borderId="0" xfId="0" applyNumberFormat="1" applyFont="1" applyFill="1" applyBorder="1" applyAlignment="1" applyProtection="1">
      <alignment horizontal="left"/>
      <protection/>
    </xf>
    <xf numFmtId="0" fontId="76" fillId="0" borderId="0" xfId="0" applyFont="1" applyBorder="1" applyAlignment="1" applyProtection="1">
      <alignment horizontal="center" vertical="center"/>
      <protection/>
    </xf>
    <xf numFmtId="0" fontId="93" fillId="2" borderId="0" xfId="0" applyFont="1" applyFill="1" applyBorder="1" applyAlignment="1" applyProtection="1">
      <alignment horizontal="left" vertical="center"/>
      <protection/>
    </xf>
    <xf numFmtId="179" fontId="97" fillId="0" borderId="0" xfId="0" applyNumberFormat="1" applyFont="1" applyFill="1" applyBorder="1" applyAlignment="1" applyProtection="1">
      <alignment horizontal="right" vertical="center"/>
      <protection/>
    </xf>
    <xf numFmtId="0" fontId="98" fillId="2" borderId="0" xfId="0" applyFont="1" applyFill="1" applyBorder="1" applyAlignment="1" applyProtection="1">
      <alignment horizontal="left" vertical="center"/>
      <protection/>
    </xf>
    <xf numFmtId="0" fontId="64" fillId="0" borderId="92" xfId="0" applyNumberFormat="1" applyFont="1" applyFill="1" applyBorder="1" applyAlignment="1" applyProtection="1">
      <alignment horizontal="center"/>
      <protection/>
    </xf>
    <xf numFmtId="0" fontId="90" fillId="0" borderId="93" xfId="0" applyNumberFormat="1" applyFont="1" applyFill="1" applyBorder="1" applyAlignment="1" applyProtection="1">
      <alignment horizontal="right"/>
      <protection/>
    </xf>
    <xf numFmtId="9" fontId="95" fillId="0" borderId="0" xfId="0" applyNumberFormat="1" applyFont="1" applyFill="1" applyBorder="1" applyAlignment="1" applyProtection="1">
      <alignment/>
      <protection/>
    </xf>
    <xf numFmtId="0" fontId="64" fillId="0" borderId="94" xfId="0" applyNumberFormat="1" applyFont="1" applyFill="1" applyBorder="1" applyAlignment="1" applyProtection="1">
      <alignment horizontal="center"/>
      <protection/>
    </xf>
    <xf numFmtId="0" fontId="90" fillId="0" borderId="95" xfId="0" applyNumberFormat="1" applyFont="1" applyFill="1" applyBorder="1" applyAlignment="1" applyProtection="1">
      <alignment horizontal="right"/>
      <protection/>
    </xf>
    <xf numFmtId="0" fontId="83" fillId="0" borderId="0" xfId="0" applyNumberFormat="1" applyFont="1" applyBorder="1" applyAlignment="1">
      <alignment/>
    </xf>
    <xf numFmtId="0" fontId="64" fillId="0" borderId="94" xfId="0" applyNumberFormat="1" applyFont="1" applyFill="1" applyBorder="1" applyAlignment="1" applyProtection="1">
      <alignment horizontal="center" vertical="center"/>
      <protection/>
    </xf>
    <xf numFmtId="0" fontId="64" fillId="0" borderId="96" xfId="0" applyNumberFormat="1" applyFont="1" applyFill="1" applyBorder="1" applyAlignment="1" applyProtection="1">
      <alignment horizontal="center" vertical="center"/>
      <protection/>
    </xf>
    <xf numFmtId="0" fontId="90" fillId="0" borderId="97" xfId="0" applyNumberFormat="1" applyFont="1" applyFill="1" applyBorder="1" applyAlignment="1" applyProtection="1">
      <alignment horizontal="right"/>
      <protection/>
    </xf>
    <xf numFmtId="0" fontId="100" fillId="0" borderId="0" xfId="0" applyFont="1" applyFill="1" applyBorder="1" applyAlignment="1" applyProtection="1">
      <alignment/>
      <protection/>
    </xf>
    <xf numFmtId="0" fontId="101" fillId="0" borderId="0" xfId="0" applyFont="1" applyFill="1" applyBorder="1" applyAlignment="1" applyProtection="1">
      <alignment/>
      <protection/>
    </xf>
    <xf numFmtId="0" fontId="102" fillId="0" borderId="0" xfId="0" applyFont="1" applyFill="1" applyBorder="1" applyAlignment="1" applyProtection="1">
      <alignment horizontal="center" vertical="center"/>
      <protection/>
    </xf>
    <xf numFmtId="0" fontId="103" fillId="0" borderId="0" xfId="0" applyFont="1" applyFill="1" applyBorder="1" applyAlignment="1" applyProtection="1">
      <alignment horizontal="center" vertical="center"/>
      <protection/>
    </xf>
    <xf numFmtId="0" fontId="103" fillId="0" borderId="0" xfId="0" applyFont="1" applyFill="1" applyBorder="1" applyAlignment="1" applyProtection="1">
      <alignment horizontal="right" vertical="center" indent="1"/>
      <protection/>
    </xf>
    <xf numFmtId="0" fontId="104" fillId="0" borderId="0" xfId="0" applyFont="1" applyFill="1" applyBorder="1" applyAlignment="1" applyProtection="1">
      <alignment horizontal="center"/>
      <protection/>
    </xf>
    <xf numFmtId="0" fontId="105" fillId="0" borderId="98" xfId="0" applyNumberFormat="1" applyFont="1" applyFill="1" applyBorder="1" applyAlignment="1" applyProtection="1">
      <alignment horizontal="center" vertical="center"/>
      <protection/>
    </xf>
    <xf numFmtId="0" fontId="76" fillId="0" borderId="99" xfId="0" applyNumberFormat="1" applyFont="1" applyFill="1" applyBorder="1" applyAlignment="1" applyProtection="1">
      <alignment vertical="center"/>
      <protection/>
    </xf>
    <xf numFmtId="0" fontId="105" fillId="0" borderId="100" xfId="0" applyNumberFormat="1" applyFont="1" applyFill="1" applyBorder="1" applyAlignment="1" applyProtection="1">
      <alignment horizontal="center" vertical="center"/>
      <protection/>
    </xf>
    <xf numFmtId="0" fontId="76" fillId="0" borderId="101" xfId="0" applyNumberFormat="1" applyFont="1" applyFill="1" applyBorder="1" applyAlignment="1" applyProtection="1">
      <alignment vertical="center"/>
      <protection/>
    </xf>
    <xf numFmtId="0" fontId="105" fillId="0" borderId="102" xfId="0" applyNumberFormat="1" applyFont="1" applyFill="1" applyBorder="1" applyAlignment="1" applyProtection="1">
      <alignment horizontal="center" vertical="center"/>
      <protection/>
    </xf>
    <xf numFmtId="0" fontId="76" fillId="0" borderId="103" xfId="0" applyNumberFormat="1" applyFont="1" applyFill="1" applyBorder="1" applyAlignment="1" applyProtection="1">
      <alignment vertical="center"/>
      <protection/>
    </xf>
    <xf numFmtId="0" fontId="76" fillId="0" borderId="104" xfId="0" applyNumberFormat="1" applyFont="1" applyFill="1" applyBorder="1" applyAlignment="1" applyProtection="1">
      <alignment vertical="center"/>
      <protection/>
    </xf>
    <xf numFmtId="175" fontId="0" fillId="0" borderId="0" xfId="0" applyNumberFormat="1" applyAlignment="1">
      <alignment/>
    </xf>
    <xf numFmtId="0" fontId="25" fillId="0" borderId="0" xfId="0" applyFont="1" applyAlignment="1">
      <alignment horizontal="center"/>
    </xf>
    <xf numFmtId="0" fontId="85" fillId="10" borderId="105" xfId="0" applyNumberFormat="1" applyFont="1" applyFill="1" applyBorder="1" applyAlignment="1">
      <alignment vertical="center"/>
    </xf>
    <xf numFmtId="0" fontId="85" fillId="10" borderId="105" xfId="0" applyFont="1" applyFill="1" applyBorder="1" applyAlignment="1">
      <alignment vertical="center"/>
    </xf>
    <xf numFmtId="0" fontId="18" fillId="0" borderId="0" xfId="0" applyFont="1" applyAlignment="1">
      <alignment/>
    </xf>
    <xf numFmtId="0" fontId="51" fillId="0" borderId="0" xfId="0" applyFont="1" applyAlignment="1">
      <alignment/>
    </xf>
    <xf numFmtId="0" fontId="106" fillId="0" borderId="0" xfId="105" applyNumberFormat="1" applyFont="1" applyFill="1" applyBorder="1" applyAlignment="1">
      <alignment horizontal="center" vertical="center" wrapText="1"/>
      <protection/>
    </xf>
    <xf numFmtId="0" fontId="106" fillId="8" borderId="106" xfId="105" applyNumberFormat="1" applyFont="1" applyFill="1" applyBorder="1" applyAlignment="1">
      <alignment horizontal="center" vertical="center" wrapText="1"/>
      <protection/>
    </xf>
    <xf numFmtId="0" fontId="108" fillId="0" borderId="0" xfId="0" applyNumberFormat="1" applyFont="1" applyAlignment="1">
      <alignment/>
    </xf>
    <xf numFmtId="0" fontId="108" fillId="0" borderId="0" xfId="0" applyFont="1" applyAlignment="1">
      <alignment/>
    </xf>
    <xf numFmtId="0" fontId="108" fillId="0" borderId="0" xfId="0" applyFont="1" applyAlignment="1">
      <alignment horizontal="center"/>
    </xf>
    <xf numFmtId="0" fontId="109" fillId="0" borderId="0" xfId="0" applyFont="1" applyBorder="1" applyAlignment="1">
      <alignment/>
    </xf>
    <xf numFmtId="0" fontId="110" fillId="10" borderId="105" xfId="0" applyFont="1" applyFill="1" applyBorder="1" applyAlignment="1">
      <alignment vertical="center"/>
    </xf>
    <xf numFmtId="0" fontId="50" fillId="0" borderId="0" xfId="0" applyFont="1" applyAlignment="1">
      <alignment/>
    </xf>
    <xf numFmtId="0" fontId="111" fillId="10" borderId="15" xfId="0" applyFont="1" applyFill="1" applyBorder="1" applyAlignment="1" applyProtection="1">
      <alignment horizontal="center"/>
      <protection/>
    </xf>
    <xf numFmtId="0" fontId="111" fillId="10" borderId="15" xfId="0" applyFont="1" applyFill="1" applyBorder="1" applyAlignment="1">
      <alignment horizontal="center"/>
    </xf>
    <xf numFmtId="0" fontId="0" fillId="0" borderId="15" xfId="0" applyNumberFormat="1" applyFont="1" applyBorder="1" applyAlignment="1">
      <alignment/>
    </xf>
    <xf numFmtId="0" fontId="0" fillId="0" borderId="15" xfId="0" applyNumberFormat="1" applyFont="1" applyBorder="1" applyAlignment="1">
      <alignment horizontal="center"/>
    </xf>
    <xf numFmtId="0" fontId="73" fillId="0" borderId="15" xfId="0" applyFont="1" applyFill="1" applyBorder="1" applyAlignment="1" applyProtection="1">
      <alignment horizontal="center"/>
      <protection/>
    </xf>
    <xf numFmtId="0" fontId="73" fillId="0" borderId="15" xfId="0" applyFont="1" applyBorder="1" applyAlignment="1" applyProtection="1">
      <alignment horizontal="center"/>
      <protection/>
    </xf>
    <xf numFmtId="0" fontId="112" fillId="0" borderId="15" xfId="0" applyFont="1" applyBorder="1" applyAlignment="1" applyProtection="1">
      <alignment horizontal="left" indent="1"/>
      <protection/>
    </xf>
    <xf numFmtId="0" fontId="0" fillId="0" borderId="15" xfId="0" applyFont="1" applyBorder="1" applyAlignment="1">
      <alignment horizontal="center"/>
    </xf>
    <xf numFmtId="0" fontId="73" fillId="0" borderId="0" xfId="0" applyFont="1" applyFill="1" applyBorder="1" applyAlignment="1" applyProtection="1">
      <alignment/>
      <protection/>
    </xf>
    <xf numFmtId="0" fontId="73" fillId="0" borderId="15" xfId="0" applyFont="1" applyFill="1" applyBorder="1" applyAlignment="1" applyProtection="1">
      <alignment/>
      <protection/>
    </xf>
    <xf numFmtId="173" fontId="73" fillId="0" borderId="15" xfId="101" applyFont="1" applyBorder="1" applyProtection="1">
      <alignment/>
      <protection/>
    </xf>
    <xf numFmtId="0" fontId="0" fillId="0" borderId="15" xfId="0" applyFont="1" applyBorder="1" applyAlignment="1">
      <alignment/>
    </xf>
    <xf numFmtId="0" fontId="0" fillId="0" borderId="15" xfId="0" applyBorder="1" applyAlignment="1">
      <alignment/>
    </xf>
    <xf numFmtId="3" fontId="41" fillId="29" borderId="107" xfId="0" applyNumberFormat="1" applyFont="1" applyFill="1" applyBorder="1" applyAlignment="1" applyProtection="1">
      <alignment/>
      <protection locked="0"/>
    </xf>
    <xf numFmtId="3" fontId="41" fillId="29" borderId="20" xfId="0" applyNumberFormat="1" applyFont="1" applyFill="1" applyBorder="1" applyAlignment="1" applyProtection="1">
      <alignment/>
      <protection locked="0"/>
    </xf>
    <xf numFmtId="171" fontId="0" fillId="0" borderId="108" xfId="0" applyNumberFormat="1" applyBorder="1" applyAlignment="1" applyProtection="1">
      <alignment/>
      <protection/>
    </xf>
    <xf numFmtId="171" fontId="41" fillId="0" borderId="15" xfId="0" applyNumberFormat="1" applyFont="1" applyFill="1" applyBorder="1" applyAlignment="1" applyProtection="1">
      <alignment/>
      <protection/>
    </xf>
    <xf numFmtId="186" fontId="0" fillId="0" borderId="15" xfId="0" applyNumberFormat="1" applyFill="1" applyBorder="1" applyAlignment="1" applyProtection="1">
      <alignment horizontal="center" vertical="center"/>
      <protection/>
    </xf>
    <xf numFmtId="0" fontId="0" fillId="13" borderId="37" xfId="0" applyNumberFormat="1" applyFill="1" applyBorder="1" applyAlignment="1" applyProtection="1">
      <alignment horizontal="center" vertical="center"/>
      <protection/>
    </xf>
    <xf numFmtId="0" fontId="0" fillId="13" borderId="109" xfId="0" applyNumberFormat="1" applyFill="1" applyBorder="1" applyAlignment="1" applyProtection="1">
      <alignment horizontal="center" vertical="center"/>
      <protection/>
    </xf>
    <xf numFmtId="0" fontId="0" fillId="13" borderId="66" xfId="0" applyNumberFormat="1" applyFill="1" applyBorder="1" applyAlignment="1" applyProtection="1">
      <alignment horizontal="center" vertical="center"/>
      <protection/>
    </xf>
    <xf numFmtId="0" fontId="0" fillId="0" borderId="15" xfId="0" applyNumberFormat="1" applyFill="1" applyBorder="1" applyAlignment="1" applyProtection="1">
      <alignment horizontal="center" vertical="center"/>
      <protection/>
    </xf>
    <xf numFmtId="185" fontId="0" fillId="13" borderId="37" xfId="0" applyNumberFormat="1" applyFill="1" applyBorder="1" applyAlignment="1" applyProtection="1">
      <alignment horizontal="center" vertical="center"/>
      <protection/>
    </xf>
    <xf numFmtId="3" fontId="0" fillId="13" borderId="37" xfId="0" applyNumberFormat="1" applyFill="1" applyBorder="1" applyAlignment="1" applyProtection="1">
      <alignment horizontal="center" vertical="center"/>
      <protection/>
    </xf>
    <xf numFmtId="3" fontId="0" fillId="13" borderId="109" xfId="0" applyNumberFormat="1" applyFill="1" applyBorder="1" applyAlignment="1" applyProtection="1">
      <alignment horizontal="center" vertical="center"/>
      <protection/>
    </xf>
    <xf numFmtId="3" fontId="0" fillId="13" borderId="66" xfId="0" applyNumberFormat="1" applyFill="1" applyBorder="1" applyAlignment="1" applyProtection="1">
      <alignment horizontal="center" vertical="center"/>
      <protection/>
    </xf>
    <xf numFmtId="1" fontId="0" fillId="0" borderId="15" xfId="0" applyNumberFormat="1" applyFill="1" applyBorder="1" applyAlignment="1" applyProtection="1">
      <alignment horizontal="center" vertical="center"/>
      <protection/>
    </xf>
    <xf numFmtId="176" fontId="18" fillId="10" borderId="0" xfId="0" applyNumberFormat="1" applyFont="1" applyFill="1" applyBorder="1" applyAlignment="1" applyProtection="1">
      <alignment horizontal="center"/>
      <protection locked="0"/>
    </xf>
    <xf numFmtId="176" fontId="18" fillId="10" borderId="110" xfId="0" applyNumberFormat="1" applyFont="1" applyFill="1" applyBorder="1" applyAlignment="1" applyProtection="1">
      <alignment horizontal="center"/>
      <protection locked="0"/>
    </xf>
    <xf numFmtId="179" fontId="1" fillId="12" borderId="111" xfId="0" applyNumberFormat="1" applyFont="1" applyFill="1" applyBorder="1" applyAlignment="1" applyProtection="1">
      <alignment horizontal="center" vertical="center" wrapText="1"/>
      <protection/>
    </xf>
    <xf numFmtId="187" fontId="1" fillId="12" borderId="111" xfId="0" applyNumberFormat="1" applyFont="1" applyFill="1" applyBorder="1" applyAlignment="1" applyProtection="1">
      <alignment horizontal="center" vertical="center" wrapText="1"/>
      <protection/>
    </xf>
    <xf numFmtId="179" fontId="1" fillId="12" borderId="111" xfId="0" applyNumberFormat="1" applyFont="1" applyFill="1" applyBorder="1" applyAlignment="1" applyProtection="1">
      <alignment vertical="center"/>
      <protection locked="0"/>
    </xf>
    <xf numFmtId="179" fontId="1" fillId="30" borderId="111" xfId="0" applyNumberFormat="1" applyFont="1" applyFill="1" applyBorder="1" applyAlignment="1" applyProtection="1">
      <alignment vertical="center"/>
      <protection locked="0"/>
    </xf>
    <xf numFmtId="179" fontId="1" fillId="30" borderId="111" xfId="0" applyNumberFormat="1" applyFont="1" applyFill="1" applyBorder="1" applyAlignment="1" applyProtection="1">
      <alignment horizontal="right" vertical="center"/>
      <protection locked="0"/>
    </xf>
    <xf numFmtId="188" fontId="1" fillId="12" borderId="111" xfId="0" applyNumberFormat="1" applyFont="1" applyFill="1" applyBorder="1" applyAlignment="1" applyProtection="1">
      <alignment horizontal="center" vertical="center" wrapText="1"/>
      <protection/>
    </xf>
    <xf numFmtId="185" fontId="1" fillId="12" borderId="111" xfId="0" applyNumberFormat="1" applyFont="1" applyFill="1" applyBorder="1" applyAlignment="1" applyProtection="1">
      <alignment horizontal="center" vertical="center" wrapText="1"/>
      <protection/>
    </xf>
    <xf numFmtId="49" fontId="1" fillId="0" borderId="111" xfId="0" applyNumberFormat="1" applyFont="1" applyFill="1" applyBorder="1" applyAlignment="1" applyProtection="1">
      <alignment horizontal="left"/>
      <protection/>
    </xf>
    <xf numFmtId="49" fontId="1" fillId="31" borderId="111" xfId="0" applyNumberFormat="1" applyFont="1" applyFill="1" applyBorder="1" applyAlignment="1" applyProtection="1">
      <alignment horizontal="left"/>
      <protection/>
    </xf>
    <xf numFmtId="4" fontId="1" fillId="32" borderId="111" xfId="0" applyNumberFormat="1" applyFont="1" applyFill="1" applyBorder="1" applyAlignment="1" applyProtection="1">
      <alignment horizontal="center" vertical="center" wrapText="1"/>
      <protection/>
    </xf>
    <xf numFmtId="3" fontId="1" fillId="32" borderId="111" xfId="0" applyNumberFormat="1" applyFont="1" applyFill="1" applyBorder="1" applyAlignment="1" applyProtection="1">
      <alignment horizontal="center" vertical="center" wrapText="1"/>
      <protection/>
    </xf>
    <xf numFmtId="3" fontId="1" fillId="33" borderId="111" xfId="0" applyNumberFormat="1" applyFont="1" applyFill="1" applyBorder="1" applyAlignment="1" applyProtection="1">
      <alignment horizontal="center" vertical="center" wrapText="1"/>
      <protection/>
    </xf>
    <xf numFmtId="185" fontId="41" fillId="0" borderId="15" xfId="0" applyNumberFormat="1" applyFont="1" applyBorder="1" applyAlignment="1" applyProtection="1">
      <alignment horizontal="center" vertical="center" wrapText="1"/>
      <protection/>
    </xf>
    <xf numFmtId="173" fontId="75" fillId="12" borderId="0" xfId="0" applyNumberFormat="1" applyFont="1" applyFill="1" applyAlignment="1" applyProtection="1">
      <alignment horizontal="left" vertical="top"/>
      <protection locked="0"/>
    </xf>
    <xf numFmtId="0" fontId="76" fillId="0" borderId="63" xfId="0" applyFont="1" applyFill="1" applyBorder="1" applyAlignment="1" applyProtection="1">
      <alignment horizontal="center" vertical="center" wrapText="1"/>
      <protection/>
    </xf>
    <xf numFmtId="0" fontId="41" fillId="0" borderId="63" xfId="0" applyNumberFormat="1" applyFont="1" applyFill="1" applyBorder="1" applyAlignment="1" applyProtection="1">
      <alignment horizontal="center" vertical="center" wrapText="1"/>
      <protection/>
    </xf>
    <xf numFmtId="0" fontId="76" fillId="0" borderId="112" xfId="0" applyNumberFormat="1" applyFont="1" applyFill="1" applyBorder="1" applyAlignment="1" applyProtection="1">
      <alignment horizontal="center" vertical="center" wrapText="1"/>
      <protection/>
    </xf>
    <xf numFmtId="0" fontId="41" fillId="0" borderId="58" xfId="0" applyFont="1" applyFill="1" applyBorder="1" applyAlignment="1" applyProtection="1">
      <alignment horizontal="center" vertical="center" wrapText="1"/>
      <protection/>
    </xf>
    <xf numFmtId="0" fontId="41" fillId="0" borderId="113" xfId="0" applyFont="1" applyFill="1" applyBorder="1" applyAlignment="1" applyProtection="1">
      <alignment horizontal="center" vertical="center" wrapText="1"/>
      <protection/>
    </xf>
    <xf numFmtId="0" fontId="78" fillId="12" borderId="0" xfId="0" applyNumberFormat="1" applyFont="1" applyFill="1" applyAlignment="1" applyProtection="1">
      <alignment horizontal="left" vertical="center"/>
      <protection locked="0"/>
    </xf>
    <xf numFmtId="1" fontId="49" fillId="3" borderId="82" xfId="0" applyNumberFormat="1" applyFont="1" applyFill="1" applyBorder="1" applyAlignment="1" applyProtection="1">
      <alignment horizontal="center"/>
      <protection/>
    </xf>
    <xf numFmtId="204" fontId="41" fillId="0" borderId="15" xfId="0" applyNumberFormat="1" applyFont="1" applyBorder="1" applyAlignment="1" applyProtection="1">
      <alignment horizontal="center" vertical="center" wrapText="1"/>
      <protection/>
    </xf>
    <xf numFmtId="0" fontId="78" fillId="12" borderId="0" xfId="0" applyNumberFormat="1" applyFont="1" applyFill="1" applyBorder="1" applyAlignment="1" applyProtection="1">
      <alignment horizontal="left" vertical="center"/>
      <protection locked="0"/>
    </xf>
    <xf numFmtId="0" fontId="115" fillId="12" borderId="0" xfId="0" applyNumberFormat="1" applyFont="1" applyFill="1" applyBorder="1" applyAlignment="1" applyProtection="1">
      <alignment horizontal="left" vertical="center"/>
      <protection locked="0"/>
    </xf>
    <xf numFmtId="179" fontId="2" fillId="2" borderId="114" xfId="0" applyNumberFormat="1" applyFont="1" applyFill="1" applyBorder="1" applyAlignment="1">
      <alignment horizontal="right"/>
    </xf>
    <xf numFmtId="0" fontId="2" fillId="2" borderId="114" xfId="0" applyFont="1" applyFill="1" applyBorder="1" applyAlignment="1">
      <alignment/>
    </xf>
    <xf numFmtId="0" fontId="114" fillId="0" borderId="111" xfId="0" applyFont="1" applyBorder="1" applyAlignment="1">
      <alignment wrapText="1"/>
    </xf>
    <xf numFmtId="183" fontId="55" fillId="3" borderId="37" xfId="82" applyNumberFormat="1" applyFont="1" applyFill="1" applyBorder="1" applyAlignment="1" applyProtection="1">
      <alignment horizontal="center" vertical="center"/>
      <protection locked="0"/>
    </xf>
    <xf numFmtId="4" fontId="55" fillId="3" borderId="40" xfId="82" applyNumberFormat="1" applyFont="1" applyFill="1" applyBorder="1" applyAlignment="1" applyProtection="1">
      <alignment horizontal="center" vertical="center"/>
      <protection locked="0"/>
    </xf>
    <xf numFmtId="0" fontId="0" fillId="0" borderId="115" xfId="0" applyBorder="1" applyAlignment="1">
      <alignment vertical="center" wrapText="1"/>
    </xf>
    <xf numFmtId="173" fontId="0" fillId="13" borderId="15" xfId="0" applyNumberFormat="1" applyFont="1" applyFill="1" applyBorder="1" applyAlignment="1" applyProtection="1">
      <alignment wrapText="1"/>
      <protection locked="0"/>
    </xf>
    <xf numFmtId="0" fontId="0" fillId="0" borderId="111" xfId="0" applyBorder="1" applyAlignment="1">
      <alignment/>
    </xf>
    <xf numFmtId="0" fontId="0" fillId="0" borderId="111" xfId="0" applyBorder="1" applyAlignment="1">
      <alignment wrapText="1"/>
    </xf>
    <xf numFmtId="0" fontId="0" fillId="0" borderId="111" xfId="0" applyFill="1" applyBorder="1" applyAlignment="1">
      <alignment wrapText="1"/>
    </xf>
    <xf numFmtId="2" fontId="0" fillId="13" borderId="37" xfId="0" applyNumberFormat="1" applyFill="1" applyBorder="1" applyAlignment="1" applyProtection="1">
      <alignment horizontal="center" vertical="center"/>
      <protection/>
    </xf>
    <xf numFmtId="173" fontId="23" fillId="34" borderId="0" xfId="97" applyFont="1" applyFill="1" applyBorder="1" applyAlignment="1">
      <alignment horizontal="center" vertical="center"/>
      <protection/>
    </xf>
    <xf numFmtId="173" fontId="25" fillId="0" borderId="0" xfId="0" applyNumberFormat="1" applyFont="1" applyBorder="1" applyAlignment="1">
      <alignment horizontal="center"/>
    </xf>
    <xf numFmtId="0" fontId="39" fillId="0" borderId="15"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40" fillId="2" borderId="15" xfId="0" applyFont="1" applyFill="1" applyBorder="1" applyAlignment="1" applyProtection="1">
      <alignment vertical="center" wrapText="1"/>
      <protection locked="0"/>
    </xf>
    <xf numFmtId="0" fontId="30" fillId="0" borderId="15" xfId="0" applyFont="1" applyBorder="1" applyAlignment="1" applyProtection="1">
      <alignment horizontal="justify" vertical="center" wrapText="1"/>
      <protection locked="0"/>
    </xf>
    <xf numFmtId="0" fontId="30" fillId="0" borderId="15" xfId="0" applyFont="1" applyBorder="1" applyAlignment="1" applyProtection="1">
      <alignment horizontal="left" vertical="center" wrapText="1"/>
      <protection locked="0"/>
    </xf>
    <xf numFmtId="0" fontId="33" fillId="0" borderId="15" xfId="0" applyFont="1" applyBorder="1" applyAlignment="1" applyProtection="1">
      <alignment vertical="center" wrapText="1"/>
      <protection locked="0"/>
    </xf>
    <xf numFmtId="0" fontId="34" fillId="2" borderId="15" xfId="0" applyFont="1" applyFill="1" applyBorder="1" applyAlignment="1" applyProtection="1">
      <alignment vertical="center" wrapText="1"/>
      <protection locked="0"/>
    </xf>
    <xf numFmtId="0" fontId="30" fillId="0" borderId="15" xfId="0" applyNumberFormat="1" applyFont="1" applyBorder="1" applyAlignment="1" applyProtection="1">
      <alignment horizontal="left" vertical="center" wrapText="1"/>
      <protection locked="0"/>
    </xf>
    <xf numFmtId="0" fontId="34" fillId="12" borderId="15" xfId="0" applyFont="1" applyFill="1" applyBorder="1" applyAlignment="1">
      <alignment vertical="center" wrapText="1"/>
    </xf>
    <xf numFmtId="0" fontId="34" fillId="0" borderId="15" xfId="0" applyFont="1" applyBorder="1" applyAlignment="1" applyProtection="1">
      <alignment vertical="center" wrapText="1"/>
      <protection locked="0"/>
    </xf>
    <xf numFmtId="0" fontId="31" fillId="0" borderId="0" xfId="0" applyNumberFormat="1" applyFont="1" applyBorder="1" applyAlignment="1">
      <alignment horizontal="center"/>
    </xf>
    <xf numFmtId="0" fontId="18" fillId="12" borderId="15" xfId="0" applyNumberFormat="1" applyFont="1" applyFill="1" applyBorder="1" applyAlignment="1">
      <alignment horizontal="center" vertical="center" wrapText="1"/>
    </xf>
    <xf numFmtId="0" fontId="39" fillId="12" borderId="15" xfId="0" applyNumberFormat="1" applyFont="1" applyFill="1" applyBorder="1" applyAlignment="1">
      <alignment horizontal="center" vertical="center"/>
    </xf>
    <xf numFmtId="173" fontId="33" fillId="0" borderId="15" xfId="0" applyNumberFormat="1" applyFont="1" applyBorder="1" applyAlignment="1">
      <alignment horizontal="justify" vertical="center" wrapText="1"/>
    </xf>
    <xf numFmtId="0" fontId="37" fillId="0" borderId="76" xfId="0" applyNumberFormat="1" applyFont="1" applyBorder="1" applyAlignment="1">
      <alignment horizontal="justify" vertical="center" wrapText="1"/>
    </xf>
    <xf numFmtId="0" fontId="37" fillId="0" borderId="15" xfId="0" applyNumberFormat="1" applyFont="1" applyBorder="1" applyAlignment="1">
      <alignment horizontal="left" vertical="center" wrapText="1"/>
    </xf>
    <xf numFmtId="0" fontId="37" fillId="0" borderId="15" xfId="0" applyNumberFormat="1" applyFont="1" applyBorder="1" applyAlignment="1">
      <alignment horizontal="justify" vertical="center" wrapText="1"/>
    </xf>
    <xf numFmtId="173" fontId="33" fillId="0" borderId="15" xfId="0" applyNumberFormat="1" applyFont="1" applyBorder="1" applyAlignment="1">
      <alignment horizontal="left" vertical="center" wrapText="1"/>
    </xf>
    <xf numFmtId="0" fontId="30" fillId="0" borderId="116" xfId="0" applyFont="1" applyBorder="1" applyAlignment="1">
      <alignment horizontal="justify" wrapText="1"/>
    </xf>
    <xf numFmtId="0" fontId="30" fillId="0" borderId="15" xfId="0" applyNumberFormat="1" applyFont="1" applyBorder="1" applyAlignment="1">
      <alignment horizontal="left" vertical="center" wrapText="1"/>
    </xf>
    <xf numFmtId="0" fontId="34" fillId="0" borderId="76" xfId="0" applyFont="1" applyBorder="1" applyAlignment="1">
      <alignment horizontal="justify" vertical="center" wrapText="1"/>
    </xf>
    <xf numFmtId="0" fontId="30" fillId="0" borderId="15" xfId="0" applyNumberFormat="1" applyFont="1" applyBorder="1" applyAlignment="1">
      <alignment horizontal="justify" vertical="center" wrapText="1"/>
    </xf>
    <xf numFmtId="0" fontId="30" fillId="0" borderId="15" xfId="0" applyFont="1" applyBorder="1" applyAlignment="1">
      <alignment horizontal="left" vertical="center" wrapText="1"/>
    </xf>
    <xf numFmtId="0" fontId="30" fillId="0" borderId="15" xfId="0" applyFont="1" applyBorder="1" applyAlignment="1">
      <alignment horizontal="justify" vertical="center" wrapText="1"/>
    </xf>
    <xf numFmtId="0" fontId="34" fillId="0" borderId="15" xfId="0" applyFont="1" applyBorder="1" applyAlignment="1">
      <alignment horizontal="justify" vertical="center" wrapText="1"/>
    </xf>
    <xf numFmtId="0" fontId="32" fillId="13" borderId="15" xfId="0" applyNumberFormat="1"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17" xfId="0" applyBorder="1" applyAlignment="1">
      <alignment horizontal="center"/>
    </xf>
    <xf numFmtId="0" fontId="0" fillId="0" borderId="117" xfId="0" applyBorder="1" applyAlignment="1">
      <alignment horizontal="center" wrapText="1"/>
    </xf>
    <xf numFmtId="9" fontId="34" fillId="0" borderId="15" xfId="109" applyFont="1" applyFill="1" applyBorder="1" applyAlignment="1" applyProtection="1">
      <alignment horizontal="justify" vertical="center" wrapText="1"/>
      <protection/>
    </xf>
    <xf numFmtId="9" fontId="30" fillId="0" borderId="15" xfId="0" applyNumberFormat="1" applyFont="1" applyBorder="1" applyAlignment="1">
      <alignment horizontal="left" vertical="center" wrapText="1"/>
    </xf>
    <xf numFmtId="173" fontId="23" fillId="26" borderId="0" xfId="96" applyFont="1" applyFill="1" applyBorder="1" applyAlignment="1" applyProtection="1">
      <alignment horizontal="center" vertical="center"/>
      <protection/>
    </xf>
    <xf numFmtId="0" fontId="32" fillId="3" borderId="15" xfId="0" applyNumberFormat="1" applyFont="1" applyFill="1" applyBorder="1" applyAlignment="1">
      <alignment horizontal="center"/>
    </xf>
    <xf numFmtId="0" fontId="1" fillId="0" borderId="118" xfId="0" applyFont="1" applyFill="1" applyBorder="1" applyAlignment="1" applyProtection="1">
      <alignment horizontal="left" vertical="center" wrapText="1"/>
      <protection/>
    </xf>
    <xf numFmtId="0" fontId="1" fillId="0" borderId="119" xfId="0" applyFont="1" applyFill="1" applyBorder="1" applyAlignment="1" applyProtection="1">
      <alignment horizontal="center" vertical="center" wrapText="1"/>
      <protection/>
    </xf>
    <xf numFmtId="0" fontId="1" fillId="0" borderId="120" xfId="0" applyFont="1" applyFill="1" applyBorder="1" applyAlignment="1" applyProtection="1">
      <alignment horizontal="center" vertical="center" wrapText="1"/>
      <protection/>
    </xf>
    <xf numFmtId="0" fontId="1" fillId="0" borderId="121" xfId="0" applyFont="1" applyFill="1" applyBorder="1" applyAlignment="1" applyProtection="1">
      <alignment horizontal="left" vertical="center" wrapText="1"/>
      <protection/>
    </xf>
    <xf numFmtId="0" fontId="1" fillId="27" borderId="118" xfId="0" applyFont="1" applyFill="1" applyBorder="1" applyAlignment="1" applyProtection="1">
      <alignment horizontal="left" vertical="center" wrapText="1"/>
      <protection/>
    </xf>
    <xf numFmtId="0" fontId="1" fillId="27" borderId="119" xfId="0" applyFont="1" applyFill="1" applyBorder="1" applyAlignment="1" applyProtection="1">
      <alignment horizontal="center" vertical="center" wrapText="1"/>
      <protection/>
    </xf>
    <xf numFmtId="0" fontId="1" fillId="27" borderId="120" xfId="0" applyFont="1" applyFill="1" applyBorder="1" applyAlignment="1" applyProtection="1">
      <alignment horizontal="center" vertical="center" wrapText="1"/>
      <protection/>
    </xf>
    <xf numFmtId="49" fontId="1" fillId="35" borderId="122" xfId="0" applyNumberFormat="1" applyFont="1" applyFill="1" applyBorder="1" applyAlignment="1" applyProtection="1">
      <alignment horizontal="left" vertical="center" wrapText="1"/>
      <protection/>
    </xf>
    <xf numFmtId="49" fontId="1" fillId="35" borderId="123" xfId="0" applyNumberFormat="1" applyFont="1" applyFill="1" applyBorder="1" applyAlignment="1" applyProtection="1">
      <alignment horizontal="left" vertical="center" wrapText="1"/>
      <protection/>
    </xf>
    <xf numFmtId="49" fontId="1" fillId="35" borderId="124" xfId="0" applyNumberFormat="1" applyFont="1" applyFill="1" applyBorder="1" applyAlignment="1" applyProtection="1">
      <alignment horizontal="left" vertical="center" wrapText="1"/>
      <protection/>
    </xf>
    <xf numFmtId="49" fontId="1" fillId="35" borderId="125" xfId="0" applyNumberFormat="1" applyFont="1" applyFill="1" applyBorder="1" applyAlignment="1" applyProtection="1">
      <alignment horizontal="left" vertical="center" wrapText="1"/>
      <protection/>
    </xf>
    <xf numFmtId="49" fontId="1" fillId="35" borderId="126" xfId="0" applyNumberFormat="1" applyFont="1" applyFill="1" applyBorder="1" applyAlignment="1" applyProtection="1">
      <alignment horizontal="left" vertical="center" wrapText="1"/>
      <protection/>
    </xf>
    <xf numFmtId="49" fontId="1" fillId="35" borderId="127" xfId="0" applyNumberFormat="1" applyFont="1" applyFill="1" applyBorder="1" applyAlignment="1" applyProtection="1">
      <alignment horizontal="left" vertical="center" wrapText="1"/>
      <protection/>
    </xf>
    <xf numFmtId="0" fontId="1" fillId="32" borderId="128" xfId="0" applyNumberFormat="1" applyFont="1" applyFill="1" applyBorder="1" applyAlignment="1" applyProtection="1">
      <alignment horizontal="center" vertical="center" wrapText="1"/>
      <protection/>
    </xf>
    <xf numFmtId="0" fontId="1" fillId="32" borderId="129" xfId="0" applyNumberFormat="1" applyFont="1" applyFill="1" applyBorder="1" applyAlignment="1" applyProtection="1">
      <alignment horizontal="center" vertical="center" wrapText="1"/>
      <protection/>
    </xf>
    <xf numFmtId="49" fontId="1" fillId="32" borderId="130" xfId="0" applyNumberFormat="1" applyFont="1" applyFill="1" applyBorder="1" applyAlignment="1" applyProtection="1">
      <alignment horizontal="center" vertical="center" wrapText="1"/>
      <protection/>
    </xf>
    <xf numFmtId="49" fontId="1" fillId="32" borderId="131" xfId="0" applyNumberFormat="1" applyFont="1" applyFill="1" applyBorder="1" applyAlignment="1" applyProtection="1">
      <alignment horizontal="center" vertical="center" wrapText="1"/>
      <protection/>
    </xf>
    <xf numFmtId="49" fontId="1" fillId="36" borderId="122" xfId="0" applyNumberFormat="1" applyFont="1" applyFill="1" applyBorder="1" applyAlignment="1" applyProtection="1">
      <alignment horizontal="left" vertical="center" wrapText="1"/>
      <protection/>
    </xf>
    <xf numFmtId="49" fontId="1" fillId="36" borderId="123" xfId="0" applyNumberFormat="1" applyFont="1" applyFill="1" applyBorder="1" applyAlignment="1" applyProtection="1">
      <alignment horizontal="left" vertical="center" wrapText="1"/>
      <protection/>
    </xf>
    <xf numFmtId="49" fontId="1" fillId="36" borderId="124" xfId="0" applyNumberFormat="1" applyFont="1" applyFill="1" applyBorder="1" applyAlignment="1" applyProtection="1">
      <alignment horizontal="left" vertical="center" wrapText="1"/>
      <protection/>
    </xf>
    <xf numFmtId="49" fontId="1" fillId="36" borderId="125" xfId="0" applyNumberFormat="1" applyFont="1" applyFill="1" applyBorder="1" applyAlignment="1" applyProtection="1">
      <alignment horizontal="left" vertical="center" wrapText="1"/>
      <protection/>
    </xf>
    <xf numFmtId="49" fontId="1" fillId="36" borderId="126" xfId="0" applyNumberFormat="1" applyFont="1" applyFill="1" applyBorder="1" applyAlignment="1" applyProtection="1">
      <alignment horizontal="left" vertical="center" wrapText="1"/>
      <protection/>
    </xf>
    <xf numFmtId="49" fontId="1" fillId="36" borderId="127" xfId="0" applyNumberFormat="1" applyFont="1" applyFill="1" applyBorder="1" applyAlignment="1" applyProtection="1">
      <alignment horizontal="left" vertical="center" wrapText="1"/>
      <protection/>
    </xf>
    <xf numFmtId="49" fontId="1" fillId="32" borderId="122" xfId="0" applyNumberFormat="1" applyFont="1" applyFill="1" applyBorder="1" applyAlignment="1" applyProtection="1">
      <alignment horizontal="left" vertical="center" wrapText="1"/>
      <protection/>
    </xf>
    <xf numFmtId="49" fontId="1" fillId="32" borderId="123" xfId="0" applyNumberFormat="1" applyFont="1" applyFill="1" applyBorder="1" applyAlignment="1" applyProtection="1">
      <alignment horizontal="left" vertical="center" wrapText="1"/>
      <protection/>
    </xf>
    <xf numFmtId="49" fontId="1" fillId="32" borderId="124" xfId="0" applyNumberFormat="1" applyFont="1" applyFill="1" applyBorder="1" applyAlignment="1" applyProtection="1">
      <alignment horizontal="left" vertical="center" wrapText="1"/>
      <protection/>
    </xf>
    <xf numFmtId="49" fontId="1" fillId="32" borderId="125" xfId="0" applyNumberFormat="1" applyFont="1" applyFill="1" applyBorder="1" applyAlignment="1" applyProtection="1">
      <alignment horizontal="left" vertical="center" wrapText="1"/>
      <protection/>
    </xf>
    <xf numFmtId="49" fontId="1" fillId="32" borderId="126" xfId="0" applyNumberFormat="1" applyFont="1" applyFill="1" applyBorder="1" applyAlignment="1" applyProtection="1">
      <alignment horizontal="left" vertical="center" wrapText="1"/>
      <protection/>
    </xf>
    <xf numFmtId="49" fontId="1" fillId="32" borderId="127" xfId="0" applyNumberFormat="1" applyFont="1" applyFill="1" applyBorder="1" applyAlignment="1" applyProtection="1">
      <alignment horizontal="left" vertical="center" wrapText="1"/>
      <protection/>
    </xf>
    <xf numFmtId="0" fontId="1" fillId="36" borderId="122" xfId="0" applyNumberFormat="1" applyFont="1" applyFill="1" applyBorder="1" applyAlignment="1" applyProtection="1">
      <alignment horizontal="left" vertical="center" wrapText="1"/>
      <protection/>
    </xf>
    <xf numFmtId="0" fontId="1" fillId="36" borderId="123" xfId="0" applyNumberFormat="1" applyFont="1" applyFill="1" applyBorder="1" applyAlignment="1" applyProtection="1">
      <alignment horizontal="left" vertical="center" wrapText="1"/>
      <protection/>
    </xf>
    <xf numFmtId="0" fontId="1" fillId="36" borderId="124" xfId="0" applyNumberFormat="1" applyFont="1" applyFill="1" applyBorder="1" applyAlignment="1" applyProtection="1">
      <alignment horizontal="left" vertical="center" wrapText="1"/>
      <protection/>
    </xf>
    <xf numFmtId="0" fontId="1" fillId="36" borderId="125" xfId="0" applyNumberFormat="1" applyFont="1" applyFill="1" applyBorder="1" applyAlignment="1" applyProtection="1">
      <alignment horizontal="left" vertical="center" wrapText="1"/>
      <protection/>
    </xf>
    <xf numFmtId="0" fontId="1" fillId="36" borderId="126" xfId="0" applyNumberFormat="1" applyFont="1" applyFill="1" applyBorder="1" applyAlignment="1" applyProtection="1">
      <alignment horizontal="left" vertical="center" wrapText="1"/>
      <protection/>
    </xf>
    <xf numFmtId="0" fontId="1" fillId="36" borderId="127" xfId="0" applyNumberFormat="1" applyFont="1" applyFill="1" applyBorder="1" applyAlignment="1" applyProtection="1">
      <alignment horizontal="left" vertical="center" wrapText="1"/>
      <protection/>
    </xf>
    <xf numFmtId="0" fontId="1" fillId="32" borderId="122" xfId="0" applyNumberFormat="1" applyFont="1" applyFill="1" applyBorder="1" applyAlignment="1" applyProtection="1">
      <alignment horizontal="left" vertical="center" wrapText="1"/>
      <protection/>
    </xf>
    <xf numFmtId="0" fontId="1" fillId="32" borderId="123" xfId="0" applyNumberFormat="1" applyFont="1" applyFill="1" applyBorder="1" applyAlignment="1" applyProtection="1">
      <alignment horizontal="left" vertical="center" wrapText="1"/>
      <protection/>
    </xf>
    <xf numFmtId="0" fontId="1" fillId="32" borderId="124" xfId="0" applyNumberFormat="1" applyFont="1" applyFill="1" applyBorder="1" applyAlignment="1" applyProtection="1">
      <alignment horizontal="left" vertical="center" wrapText="1"/>
      <protection/>
    </xf>
    <xf numFmtId="0" fontId="1" fillId="32" borderId="125" xfId="0" applyNumberFormat="1" applyFont="1" applyFill="1" applyBorder="1" applyAlignment="1" applyProtection="1">
      <alignment horizontal="left" vertical="center" wrapText="1"/>
      <protection/>
    </xf>
    <xf numFmtId="0" fontId="1" fillId="32" borderId="126" xfId="0" applyNumberFormat="1" applyFont="1" applyFill="1" applyBorder="1" applyAlignment="1" applyProtection="1">
      <alignment horizontal="left" vertical="center" wrapText="1"/>
      <protection/>
    </xf>
    <xf numFmtId="0" fontId="1" fillId="32" borderId="127" xfId="0" applyNumberFormat="1" applyFont="1" applyFill="1" applyBorder="1" applyAlignment="1" applyProtection="1">
      <alignment horizontal="left" vertical="center" wrapText="1"/>
      <protection/>
    </xf>
    <xf numFmtId="176" fontId="0" fillId="10" borderId="110" xfId="0" applyNumberFormat="1" applyFont="1" applyFill="1" applyBorder="1" applyAlignment="1" applyProtection="1">
      <alignment horizontal="center" vertical="center" textRotation="90"/>
      <protection/>
    </xf>
    <xf numFmtId="173" fontId="0" fillId="0" borderId="81" xfId="0" applyNumberFormat="1" applyFont="1" applyFill="1" applyBorder="1" applyAlignment="1" applyProtection="1">
      <alignment horizontal="left" vertical="center"/>
      <protection locked="0"/>
    </xf>
    <xf numFmtId="173" fontId="28" fillId="0" borderId="132" xfId="0" applyNumberFormat="1" applyFont="1" applyBorder="1" applyAlignment="1" applyProtection="1">
      <alignment horizontal="right"/>
      <protection/>
    </xf>
    <xf numFmtId="173" fontId="18" fillId="0" borderId="133" xfId="0" applyNumberFormat="1" applyFont="1" applyBorder="1" applyAlignment="1" applyProtection="1">
      <alignment horizontal="center"/>
      <protection/>
    </xf>
    <xf numFmtId="0" fontId="0" fillId="24" borderId="134" xfId="0" applyFill="1" applyBorder="1" applyAlignment="1" applyProtection="1">
      <alignment horizontal="center"/>
      <protection/>
    </xf>
    <xf numFmtId="173" fontId="51" fillId="0" borderId="135" xfId="0" applyNumberFormat="1" applyFont="1" applyBorder="1" applyAlignment="1" applyProtection="1">
      <alignment horizontal="center" wrapText="1"/>
      <protection/>
    </xf>
    <xf numFmtId="173" fontId="64" fillId="0" borderId="68" xfId="0" applyNumberFormat="1" applyFont="1" applyFill="1" applyBorder="1" applyAlignment="1" applyProtection="1">
      <alignment horizontal="center" vertical="center"/>
      <protection/>
    </xf>
    <xf numFmtId="173" fontId="44" fillId="0" borderId="136" xfId="0" applyNumberFormat="1" applyFont="1" applyBorder="1" applyAlignment="1" applyProtection="1">
      <alignment horizontal="right"/>
      <protection/>
    </xf>
    <xf numFmtId="49" fontId="18" fillId="0" borderId="15" xfId="0" applyNumberFormat="1" applyFont="1" applyBorder="1" applyAlignment="1" applyProtection="1">
      <alignment horizontal="center"/>
      <protection locked="0"/>
    </xf>
    <xf numFmtId="173" fontId="42" fillId="26" borderId="0" xfId="88" applyFont="1" applyFill="1" applyBorder="1" applyAlignment="1" applyProtection="1">
      <alignment horizontal="center" vertical="center"/>
      <protection/>
    </xf>
    <xf numFmtId="0" fontId="0" fillId="0" borderId="137" xfId="0" applyBorder="1" applyAlignment="1" applyProtection="1">
      <alignment horizontal="center"/>
      <protection/>
    </xf>
    <xf numFmtId="173" fontId="0" fillId="0" borderId="52" xfId="0" applyNumberFormat="1" applyFont="1" applyBorder="1" applyAlignment="1" applyProtection="1">
      <alignment horizontal="left"/>
      <protection/>
    </xf>
    <xf numFmtId="173" fontId="0" fillId="0" borderId="54" xfId="0" applyNumberFormat="1" applyFont="1" applyBorder="1" applyAlignment="1" applyProtection="1">
      <alignment horizontal="left"/>
      <protection/>
    </xf>
    <xf numFmtId="173" fontId="44" fillId="0" borderId="138" xfId="0" applyNumberFormat="1" applyFont="1" applyBorder="1" applyAlignment="1" applyProtection="1">
      <alignment horizontal="right"/>
      <protection/>
    </xf>
    <xf numFmtId="173" fontId="0" fillId="0" borderId="15" xfId="0" applyNumberFormat="1" applyFont="1" applyBorder="1" applyAlignment="1" applyProtection="1">
      <alignment horizontal="center"/>
      <protection locked="0"/>
    </xf>
    <xf numFmtId="49" fontId="0" fillId="0" borderId="15" xfId="0" applyNumberFormat="1" applyFont="1" applyBorder="1" applyAlignment="1" applyProtection="1">
      <alignment horizontal="center"/>
      <protection locked="0"/>
    </xf>
    <xf numFmtId="173" fontId="44" fillId="0" borderId="0" xfId="0" applyNumberFormat="1" applyFont="1" applyBorder="1" applyAlignment="1" applyProtection="1">
      <alignment horizontal="right"/>
      <protection/>
    </xf>
    <xf numFmtId="174" fontId="0" fillId="0" borderId="37" xfId="0" applyNumberFormat="1" applyBorder="1" applyAlignment="1" applyProtection="1">
      <alignment horizontal="center"/>
      <protection locked="0"/>
    </xf>
    <xf numFmtId="0" fontId="0" fillId="12" borderId="15" xfId="0" applyFill="1" applyBorder="1" applyAlignment="1" applyProtection="1">
      <alignment horizontal="center"/>
      <protection/>
    </xf>
    <xf numFmtId="173" fontId="45" fillId="0" borderId="138" xfId="0" applyNumberFormat="1" applyFont="1" applyBorder="1" applyAlignment="1" applyProtection="1">
      <alignment horizontal="right"/>
      <protection/>
    </xf>
    <xf numFmtId="173" fontId="2" fillId="22" borderId="15" xfId="126" applyNumberFormat="1" applyFont="1" applyFill="1" applyBorder="1" applyAlignment="1" applyProtection="1">
      <alignment horizontal="center"/>
      <protection locked="0"/>
    </xf>
    <xf numFmtId="173" fontId="44" fillId="0" borderId="16" xfId="0" applyNumberFormat="1" applyFont="1" applyBorder="1" applyAlignment="1" applyProtection="1">
      <alignment horizontal="right"/>
      <protection/>
    </xf>
    <xf numFmtId="49" fontId="0" fillId="0" borderId="37" xfId="0" applyNumberFormat="1" applyFont="1" applyBorder="1" applyAlignment="1" applyProtection="1">
      <alignment horizontal="center"/>
      <protection locked="0"/>
    </xf>
    <xf numFmtId="49" fontId="41" fillId="0" borderId="37" xfId="0" applyNumberFormat="1" applyFont="1" applyBorder="1" applyAlignment="1" applyProtection="1">
      <alignment horizontal="center" wrapText="1"/>
      <protection locked="0"/>
    </xf>
    <xf numFmtId="175" fontId="0" fillId="0" borderId="15" xfId="126" applyNumberFormat="1" applyFont="1" applyFill="1" applyBorder="1" applyAlignment="1" applyProtection="1">
      <alignment horizontal="center"/>
      <protection locked="0"/>
    </xf>
    <xf numFmtId="173" fontId="39" fillId="13" borderId="80" xfId="126" applyNumberFormat="1" applyFont="1" applyFill="1" applyBorder="1" applyAlignment="1" applyProtection="1">
      <alignment horizontal="center"/>
      <protection/>
    </xf>
    <xf numFmtId="173" fontId="0" fillId="0" borderId="80" xfId="126" applyNumberFormat="1" applyFont="1" applyFill="1" applyBorder="1" applyAlignment="1" applyProtection="1">
      <alignment horizontal="right"/>
      <protection/>
    </xf>
    <xf numFmtId="175" fontId="39" fillId="13" borderId="80" xfId="126" applyNumberFormat="1" applyFont="1" applyFill="1" applyBorder="1" applyAlignment="1" applyProtection="1">
      <alignment horizontal="center"/>
      <protection/>
    </xf>
    <xf numFmtId="173" fontId="71" fillId="34" borderId="80" xfId="126" applyNumberFormat="1" applyFont="1" applyFill="1" applyBorder="1" applyAlignment="1" applyProtection="1">
      <alignment horizontal="center"/>
      <protection/>
    </xf>
    <xf numFmtId="190" fontId="39" fillId="13" borderId="80" xfId="126" applyNumberFormat="1" applyFont="1" applyFill="1" applyBorder="1" applyAlignment="1" applyProtection="1">
      <alignment horizontal="center" vertical="center"/>
      <protection/>
    </xf>
    <xf numFmtId="173" fontId="23" fillId="26" borderId="0" xfId="88" applyFont="1" applyFill="1" applyBorder="1" applyAlignment="1" applyProtection="1">
      <alignment horizontal="center" vertical="center"/>
      <protection/>
    </xf>
    <xf numFmtId="173" fontId="25" fillId="13" borderId="0" xfId="100" applyFont="1" applyFill="1" applyBorder="1" applyAlignment="1" applyProtection="1">
      <alignment horizontal="center" vertical="center" wrapText="1"/>
      <protection/>
    </xf>
    <xf numFmtId="173" fontId="67" fillId="0" borderId="0" xfId="100" applyFont="1" applyFill="1" applyBorder="1" applyAlignment="1" applyProtection="1">
      <alignment horizontal="right" vertical="center"/>
      <protection/>
    </xf>
    <xf numFmtId="173" fontId="39" fillId="13" borderId="0" xfId="100" applyFont="1" applyFill="1" applyBorder="1" applyAlignment="1" applyProtection="1">
      <alignment horizontal="center" vertical="center" wrapText="1"/>
      <protection/>
    </xf>
    <xf numFmtId="0" fontId="80" fillId="0" borderId="139" xfId="0" applyFont="1" applyFill="1" applyBorder="1" applyAlignment="1" applyProtection="1">
      <alignment horizontal="left" wrapText="1"/>
      <protection/>
    </xf>
    <xf numFmtId="0" fontId="80" fillId="0" borderId="140" xfId="0" applyFont="1" applyFill="1" applyBorder="1" applyAlignment="1" applyProtection="1">
      <alignment horizontal="left" wrapText="1"/>
      <protection/>
    </xf>
    <xf numFmtId="173" fontId="79" fillId="0" borderId="141" xfId="0" applyNumberFormat="1" applyFont="1" applyBorder="1" applyAlignment="1" applyProtection="1">
      <alignment horizontal="center" vertical="center" wrapText="1"/>
      <protection/>
    </xf>
    <xf numFmtId="173" fontId="79" fillId="0" borderId="142" xfId="0" applyNumberFormat="1" applyFont="1" applyBorder="1" applyAlignment="1" applyProtection="1">
      <alignment horizontal="center" vertical="center" wrapText="1"/>
      <protection/>
    </xf>
    <xf numFmtId="173" fontId="79" fillId="0" borderId="143" xfId="0" applyNumberFormat="1" applyFont="1" applyBorder="1" applyAlignment="1" applyProtection="1">
      <alignment horizontal="center" vertical="center" wrapText="1"/>
      <protection/>
    </xf>
    <xf numFmtId="0" fontId="0" fillId="0" borderId="144" xfId="0" applyBorder="1" applyAlignment="1" applyProtection="1">
      <alignment horizontal="center"/>
      <protection/>
    </xf>
    <xf numFmtId="0" fontId="0" fillId="0" borderId="112" xfId="0" applyBorder="1" applyAlignment="1" applyProtection="1">
      <alignment horizontal="center"/>
      <protection/>
    </xf>
    <xf numFmtId="0" fontId="80" fillId="0" borderId="145" xfId="0" applyFont="1" applyFill="1" applyBorder="1" applyAlignment="1" applyProtection="1">
      <alignment horizontal="left" wrapText="1"/>
      <protection/>
    </xf>
    <xf numFmtId="0" fontId="80" fillId="0" borderId="83" xfId="0" applyFont="1" applyFill="1" applyBorder="1" applyAlignment="1" applyProtection="1">
      <alignment horizontal="left" wrapText="1"/>
      <protection/>
    </xf>
    <xf numFmtId="0" fontId="74" fillId="0" borderId="0" xfId="0" applyFont="1" applyBorder="1" applyAlignment="1" applyProtection="1">
      <alignment horizontal="center"/>
      <protection/>
    </xf>
    <xf numFmtId="0" fontId="114" fillId="12" borderId="37" xfId="0" applyFont="1" applyFill="1" applyBorder="1" applyAlignment="1" applyProtection="1">
      <alignment horizontal="left" vertical="center" wrapText="1"/>
      <protection locked="0"/>
    </xf>
    <xf numFmtId="0" fontId="113" fillId="12" borderId="12" xfId="0" applyFont="1" applyFill="1" applyBorder="1" applyAlignment="1" applyProtection="1">
      <alignment horizontal="left" vertical="center" wrapText="1"/>
      <protection locked="0"/>
    </xf>
    <xf numFmtId="0" fontId="113" fillId="12" borderId="13" xfId="0" applyFont="1" applyFill="1" applyBorder="1" applyAlignment="1" applyProtection="1">
      <alignment horizontal="left" vertical="center" wrapText="1"/>
      <protection locked="0"/>
    </xf>
    <xf numFmtId="0" fontId="113" fillId="12" borderId="14" xfId="0" applyFont="1" applyFill="1" applyBorder="1" applyAlignment="1" applyProtection="1">
      <alignment horizontal="left" vertical="center" wrapText="1"/>
      <protection locked="0"/>
    </xf>
    <xf numFmtId="0" fontId="113" fillId="12" borderId="15" xfId="0" applyFont="1" applyFill="1" applyBorder="1" applyAlignment="1" applyProtection="1">
      <alignment horizontal="left" wrapText="1"/>
      <protection locked="0"/>
    </xf>
    <xf numFmtId="173" fontId="2" fillId="34" borderId="0" xfId="126" applyNumberFormat="1" applyFont="1" applyFill="1" applyBorder="1" applyAlignment="1" applyProtection="1">
      <alignment horizontal="center"/>
      <protection/>
    </xf>
    <xf numFmtId="173" fontId="18" fillId="0" borderId="0" xfId="0" applyNumberFormat="1" applyFont="1" applyBorder="1" applyAlignment="1" applyProtection="1">
      <alignment horizontal="center"/>
      <protection/>
    </xf>
    <xf numFmtId="173" fontId="41" fillId="0" borderId="0" xfId="0" applyNumberFormat="1" applyFont="1" applyBorder="1" applyAlignment="1" applyProtection="1">
      <alignment horizontal="right"/>
      <protection/>
    </xf>
    <xf numFmtId="173" fontId="18" fillId="0" borderId="0" xfId="0" applyNumberFormat="1" applyFont="1" applyBorder="1" applyAlignment="1" applyProtection="1">
      <alignment horizontal="center" wrapText="1"/>
      <protection/>
    </xf>
    <xf numFmtId="173" fontId="41" fillId="0" borderId="0" xfId="0" applyNumberFormat="1" applyFont="1" applyBorder="1" applyAlignment="1" applyProtection="1">
      <alignment horizontal="left"/>
      <protection/>
    </xf>
    <xf numFmtId="0" fontId="0" fillId="0" borderId="81" xfId="0" applyFill="1" applyBorder="1" applyAlignment="1" applyProtection="1">
      <alignment horizontal="center" vertical="center"/>
      <protection/>
    </xf>
    <xf numFmtId="0" fontId="81" fillId="0" borderId="0" xfId="0" applyFont="1" applyBorder="1" applyAlignment="1">
      <alignment horizontal="left" wrapText="1"/>
    </xf>
    <xf numFmtId="0" fontId="76" fillId="12" borderId="15" xfId="0" applyFont="1" applyFill="1" applyBorder="1" applyAlignment="1" applyProtection="1">
      <alignment horizontal="left" wrapText="1"/>
      <protection locked="0"/>
    </xf>
    <xf numFmtId="0" fontId="77" fillId="12" borderId="12" xfId="0" applyFont="1" applyFill="1" applyBorder="1" applyAlignment="1" applyProtection="1">
      <alignment horizontal="left" vertical="center" wrapText="1"/>
      <protection locked="0"/>
    </xf>
    <xf numFmtId="0" fontId="77" fillId="12" borderId="13" xfId="0" applyFont="1" applyFill="1" applyBorder="1" applyAlignment="1" applyProtection="1">
      <alignment horizontal="left" vertical="center" wrapText="1"/>
      <protection locked="0"/>
    </xf>
    <xf numFmtId="0" fontId="77" fillId="12" borderId="14" xfId="0" applyFont="1" applyFill="1" applyBorder="1" applyAlignment="1" applyProtection="1">
      <alignment horizontal="left" vertical="center" wrapText="1"/>
      <protection locked="0"/>
    </xf>
    <xf numFmtId="0" fontId="76" fillId="12" borderId="12" xfId="0" applyFont="1" applyFill="1" applyBorder="1" applyAlignment="1" applyProtection="1">
      <alignment horizontal="left" vertical="center" wrapText="1"/>
      <protection locked="0"/>
    </xf>
    <xf numFmtId="0" fontId="76" fillId="12" borderId="13" xfId="0" applyFont="1" applyFill="1" applyBorder="1" applyAlignment="1" applyProtection="1">
      <alignment horizontal="left" vertical="center" wrapText="1"/>
      <protection locked="0"/>
    </xf>
    <xf numFmtId="0" fontId="76" fillId="12" borderId="14" xfId="0" applyFont="1" applyFill="1" applyBorder="1" applyAlignment="1" applyProtection="1">
      <alignment horizontal="left" vertical="center" wrapText="1"/>
      <protection locked="0"/>
    </xf>
    <xf numFmtId="0" fontId="18" fillId="0" borderId="0" xfId="0" applyFont="1" applyBorder="1" applyAlignment="1">
      <alignment horizontal="center"/>
    </xf>
    <xf numFmtId="173" fontId="18" fillId="0" borderId="0" xfId="0" applyNumberFormat="1" applyFont="1" applyBorder="1" applyAlignment="1">
      <alignment horizontal="center"/>
    </xf>
    <xf numFmtId="173" fontId="41" fillId="0" borderId="0" xfId="0" applyNumberFormat="1" applyFont="1" applyBorder="1" applyAlignment="1">
      <alignment horizontal="right"/>
    </xf>
    <xf numFmtId="173" fontId="42" fillId="26" borderId="0" xfId="98" applyFont="1" applyFill="1" applyBorder="1" applyAlignment="1">
      <alignment horizontal="center" vertical="center"/>
      <protection/>
    </xf>
    <xf numFmtId="173" fontId="41" fillId="0" borderId="0" xfId="0" applyNumberFormat="1" applyFont="1" applyBorder="1" applyAlignment="1">
      <alignment horizontal="left"/>
    </xf>
    <xf numFmtId="0" fontId="74" fillId="0" borderId="0" xfId="0" applyFont="1" applyBorder="1" applyAlignment="1">
      <alignment horizontal="center"/>
    </xf>
    <xf numFmtId="0" fontId="76" fillId="12" borderId="37" xfId="0" applyFont="1" applyFill="1" applyBorder="1" applyAlignment="1" applyProtection="1">
      <alignment horizontal="left" wrapText="1"/>
      <protection locked="0"/>
    </xf>
    <xf numFmtId="0" fontId="137" fillId="0" borderId="0" xfId="0" applyFont="1" applyAlignment="1" applyProtection="1">
      <alignment horizontal="left" vertical="center" wrapText="1"/>
      <protection/>
    </xf>
    <xf numFmtId="0" fontId="76" fillId="0" borderId="12" xfId="0" applyFont="1" applyBorder="1" applyAlignment="1" applyProtection="1">
      <alignment vertical="center" wrapText="1"/>
      <protection/>
    </xf>
    <xf numFmtId="0" fontId="76" fillId="0" borderId="13" xfId="0" applyFont="1" applyBorder="1" applyAlignment="1" applyProtection="1">
      <alignment vertical="center" wrapText="1"/>
      <protection/>
    </xf>
    <xf numFmtId="0" fontId="76" fillId="0" borderId="14" xfId="0" applyFont="1" applyBorder="1" applyAlignment="1" applyProtection="1">
      <alignment vertical="center" wrapText="1"/>
      <protection/>
    </xf>
    <xf numFmtId="9" fontId="41" fillId="0" borderId="12" xfId="109" applyFont="1" applyFill="1" applyBorder="1" applyAlignment="1" applyProtection="1">
      <alignment horizontal="center" vertical="center" wrapText="1"/>
      <protection/>
    </xf>
    <xf numFmtId="9" fontId="41" fillId="0" borderId="13" xfId="109" applyFont="1" applyFill="1" applyBorder="1" applyAlignment="1" applyProtection="1">
      <alignment horizontal="center" vertical="center" wrapText="1"/>
      <protection/>
    </xf>
    <xf numFmtId="9" fontId="41" fillId="0" borderId="14" xfId="109" applyFont="1" applyFill="1" applyBorder="1" applyAlignment="1" applyProtection="1">
      <alignment horizontal="center" vertical="center" wrapText="1"/>
      <protection/>
    </xf>
    <xf numFmtId="9" fontId="76" fillId="32" borderId="146" xfId="109" applyFont="1" applyFill="1" applyBorder="1" applyAlignment="1" applyProtection="1">
      <alignment horizontal="left" vertical="center" wrapText="1"/>
      <protection locked="0"/>
    </xf>
    <xf numFmtId="9" fontId="76" fillId="32" borderId="147" xfId="109" applyFont="1" applyFill="1" applyBorder="1" applyAlignment="1" applyProtection="1">
      <alignment horizontal="left" vertical="center" wrapText="1"/>
      <protection locked="0"/>
    </xf>
    <xf numFmtId="9" fontId="76" fillId="32" borderId="111" xfId="109" applyFont="1" applyFill="1" applyBorder="1" applyAlignment="1" applyProtection="1">
      <alignment horizontal="left" vertical="center" wrapText="1"/>
      <protection locked="0"/>
    </xf>
    <xf numFmtId="9" fontId="76" fillId="32" borderId="146" xfId="109" applyFont="1" applyFill="1" applyBorder="1" applyAlignment="1" applyProtection="1">
      <alignment horizontal="left" vertical="top" wrapText="1"/>
      <protection locked="0"/>
    </xf>
    <xf numFmtId="9" fontId="76" fillId="32" borderId="147" xfId="109" applyFont="1" applyFill="1" applyBorder="1" applyAlignment="1" applyProtection="1">
      <alignment horizontal="left" vertical="top" wrapText="1"/>
      <protection locked="0"/>
    </xf>
    <xf numFmtId="0" fontId="25" fillId="0" borderId="73" xfId="0" applyFont="1" applyBorder="1" applyAlignment="1" applyProtection="1">
      <alignment horizontal="center"/>
      <protection/>
    </xf>
    <xf numFmtId="0" fontId="76" fillId="0" borderId="12" xfId="0" applyFont="1" applyBorder="1" applyAlignment="1" applyProtection="1">
      <alignment horizontal="center" vertical="center" wrapText="1"/>
      <protection/>
    </xf>
    <xf numFmtId="0" fontId="76" fillId="0" borderId="13" xfId="0" applyFont="1" applyBorder="1" applyAlignment="1" applyProtection="1">
      <alignment horizontal="center" vertical="center" wrapText="1"/>
      <protection/>
    </xf>
    <xf numFmtId="0" fontId="76" fillId="0" borderId="14" xfId="0" applyFont="1" applyBorder="1" applyAlignment="1" applyProtection="1">
      <alignment horizontal="center" vertical="center" wrapText="1"/>
      <protection/>
    </xf>
    <xf numFmtId="9" fontId="75" fillId="24" borderId="12" xfId="109" applyFont="1" applyFill="1" applyBorder="1" applyAlignment="1" applyProtection="1">
      <alignment horizontal="center" vertical="center" wrapText="1"/>
      <protection/>
    </xf>
    <xf numFmtId="9" fontId="75" fillId="24" borderId="14" xfId="109" applyFont="1" applyFill="1" applyBorder="1" applyAlignment="1" applyProtection="1">
      <alignment horizontal="center" vertical="center" wrapText="1"/>
      <protection/>
    </xf>
    <xf numFmtId="9" fontId="75" fillId="37" borderId="12" xfId="109" applyFont="1" applyFill="1" applyBorder="1" applyAlignment="1" applyProtection="1">
      <alignment horizontal="center" vertical="center" wrapText="1"/>
      <protection/>
    </xf>
    <xf numFmtId="9" fontId="75" fillId="37" borderId="14" xfId="109" applyFont="1" applyFill="1" applyBorder="1" applyAlignment="1" applyProtection="1">
      <alignment horizontal="center" vertical="center" wrapText="1"/>
      <protection/>
    </xf>
    <xf numFmtId="173" fontId="42" fillId="26" borderId="0" xfId="98" applyFont="1" applyFill="1" applyBorder="1" applyAlignment="1" applyProtection="1">
      <alignment horizontal="center" vertical="center"/>
      <protection/>
    </xf>
    <xf numFmtId="0" fontId="76" fillId="0" borderId="117" xfId="0" applyFont="1" applyBorder="1" applyAlignment="1" applyProtection="1">
      <alignment horizontal="left" vertical="center"/>
      <protection/>
    </xf>
    <xf numFmtId="0" fontId="113" fillId="0" borderId="148" xfId="0" applyFont="1" applyBorder="1" applyAlignment="1">
      <alignment horizontal="center" vertical="center" wrapText="1"/>
    </xf>
    <xf numFmtId="0" fontId="113" fillId="0" borderId="149" xfId="0" applyFont="1" applyBorder="1" applyAlignment="1">
      <alignment horizontal="center" vertical="center" wrapText="1"/>
    </xf>
    <xf numFmtId="0" fontId="113" fillId="0" borderId="115" xfId="0" applyFont="1" applyBorder="1" applyAlignment="1">
      <alignment horizontal="center" vertical="center" wrapText="1"/>
    </xf>
    <xf numFmtId="173" fontId="2" fillId="34" borderId="0" xfId="127" applyNumberFormat="1" applyFont="1" applyFill="1" applyBorder="1" applyAlignment="1" applyProtection="1">
      <alignment horizontal="center"/>
      <protection/>
    </xf>
    <xf numFmtId="173" fontId="74" fillId="0" borderId="0" xfId="0" applyNumberFormat="1" applyFont="1" applyBorder="1" applyAlignment="1" applyProtection="1">
      <alignment horizontal="center"/>
      <protection/>
    </xf>
    <xf numFmtId="0" fontId="76" fillId="0" borderId="12" xfId="0" applyFont="1" applyBorder="1" applyAlignment="1" applyProtection="1">
      <alignment horizontal="center" vertical="center"/>
      <protection/>
    </xf>
    <xf numFmtId="0" fontId="76" fillId="0" borderId="13" xfId="0" applyFont="1" applyBorder="1" applyAlignment="1" applyProtection="1">
      <alignment horizontal="center" vertical="center"/>
      <protection/>
    </xf>
    <xf numFmtId="9" fontId="1" fillId="0" borderId="150" xfId="109" applyNumberFormat="1" applyFont="1" applyFill="1" applyBorder="1" applyAlignment="1" applyProtection="1">
      <alignment horizontal="left" vertical="center" wrapText="1"/>
      <protection/>
    </xf>
    <xf numFmtId="0" fontId="1" fillId="12" borderId="151" xfId="0" applyFont="1" applyFill="1" applyBorder="1" applyAlignment="1" applyProtection="1">
      <alignment horizontal="center" vertical="top" wrapText="1"/>
      <protection locked="0"/>
    </xf>
    <xf numFmtId="0" fontId="1" fillId="12" borderId="152" xfId="0" applyFont="1" applyFill="1" applyBorder="1" applyAlignment="1" applyProtection="1">
      <alignment horizontal="center" vertical="top" wrapText="1"/>
      <protection locked="0"/>
    </xf>
    <xf numFmtId="0" fontId="1" fillId="0" borderId="150" xfId="109" applyNumberFormat="1" applyFont="1" applyFill="1" applyBorder="1" applyAlignment="1" applyProtection="1">
      <alignment horizontal="left" vertical="center" wrapText="1"/>
      <protection/>
    </xf>
    <xf numFmtId="0" fontId="29" fillId="0" borderId="153" xfId="0" applyNumberFormat="1" applyFont="1" applyFill="1" applyBorder="1" applyAlignment="1" applyProtection="1">
      <alignment horizontal="left" vertical="center" wrapText="1"/>
      <protection/>
    </xf>
    <xf numFmtId="0" fontId="1" fillId="12" borderId="154" xfId="0" applyFont="1" applyFill="1" applyBorder="1" applyAlignment="1" applyProtection="1">
      <alignment horizontal="center" vertical="top" wrapText="1"/>
      <protection locked="0"/>
    </xf>
    <xf numFmtId="179" fontId="85" fillId="10" borderId="105" xfId="0" applyNumberFormat="1" applyFont="1" applyFill="1" applyBorder="1" applyAlignment="1" applyProtection="1">
      <alignment horizontal="center" vertical="center"/>
      <protection/>
    </xf>
    <xf numFmtId="179" fontId="87" fillId="0" borderId="155" xfId="0" applyNumberFormat="1" applyFont="1" applyFill="1" applyBorder="1" applyAlignment="1" applyProtection="1">
      <alignment horizontal="center"/>
      <protection/>
    </xf>
    <xf numFmtId="179" fontId="88" fillId="12" borderId="118" xfId="0" applyNumberFormat="1" applyFont="1" applyFill="1" applyBorder="1" applyAlignment="1" applyProtection="1">
      <alignment horizontal="center" vertical="center"/>
      <protection/>
    </xf>
    <xf numFmtId="0" fontId="29" fillId="0" borderId="156" xfId="0" applyNumberFormat="1" applyFont="1" applyFill="1" applyBorder="1" applyAlignment="1" applyProtection="1">
      <alignment horizontal="left" vertical="top" wrapText="1"/>
      <protection/>
    </xf>
    <xf numFmtId="0" fontId="1" fillId="13" borderId="157" xfId="0" applyFont="1" applyFill="1" applyBorder="1" applyAlignment="1" applyProtection="1">
      <alignment horizontal="center" vertical="top" wrapText="1"/>
      <protection locked="0"/>
    </xf>
    <xf numFmtId="0" fontId="29" fillId="0" borderId="158" xfId="0" applyNumberFormat="1" applyFont="1" applyFill="1" applyBorder="1" applyAlignment="1" applyProtection="1">
      <alignment horizontal="left" vertical="top" wrapText="1"/>
      <protection/>
    </xf>
    <xf numFmtId="0" fontId="1" fillId="13" borderId="159" xfId="0" applyFont="1" applyFill="1" applyBorder="1" applyAlignment="1" applyProtection="1">
      <alignment horizontal="center" vertical="top" wrapText="1"/>
      <protection locked="0"/>
    </xf>
    <xf numFmtId="0" fontId="29" fillId="0" borderId="160" xfId="0" applyNumberFormat="1" applyFont="1" applyFill="1" applyBorder="1" applyAlignment="1" applyProtection="1">
      <alignment horizontal="left" vertical="top" wrapText="1"/>
      <protection/>
    </xf>
    <xf numFmtId="0" fontId="1" fillId="13" borderId="161" xfId="0" applyFont="1" applyFill="1" applyBorder="1" applyAlignment="1" applyProtection="1">
      <alignment horizontal="center" vertical="top" wrapText="1"/>
      <protection locked="0"/>
    </xf>
    <xf numFmtId="179" fontId="87" fillId="0" borderId="162" xfId="0" applyNumberFormat="1" applyFont="1" applyFill="1" applyBorder="1" applyAlignment="1" applyProtection="1">
      <alignment horizontal="center"/>
      <protection/>
    </xf>
    <xf numFmtId="179" fontId="99" fillId="13" borderId="163" xfId="0" applyNumberFormat="1" applyFont="1" applyFill="1" applyBorder="1" applyAlignment="1" applyProtection="1">
      <alignment horizontal="center" vertical="center"/>
      <protection/>
    </xf>
    <xf numFmtId="179" fontId="99" fillId="13" borderId="164" xfId="0" applyNumberFormat="1" applyFont="1" applyFill="1" applyBorder="1" applyAlignment="1" applyProtection="1">
      <alignment horizontal="center" vertical="center"/>
      <protection/>
    </xf>
    <xf numFmtId="0" fontId="29" fillId="0" borderId="165" xfId="0" applyNumberFormat="1" applyFont="1" applyFill="1" applyBorder="1" applyAlignment="1" applyProtection="1">
      <alignment horizontal="left" vertical="top" wrapText="1"/>
      <protection/>
    </xf>
    <xf numFmtId="49" fontId="1" fillId="3" borderId="166" xfId="0" applyNumberFormat="1" applyFont="1" applyFill="1" applyBorder="1" applyAlignment="1" applyProtection="1">
      <alignment horizontal="center" vertical="center"/>
      <protection locked="0"/>
    </xf>
    <xf numFmtId="0" fontId="29" fillId="0" borderId="167" xfId="0" applyNumberFormat="1" applyFont="1" applyFill="1" applyBorder="1" applyAlignment="1" applyProtection="1">
      <alignment horizontal="left" vertical="top" wrapText="1"/>
      <protection/>
    </xf>
    <xf numFmtId="49" fontId="1" fillId="3" borderId="168" xfId="0" applyNumberFormat="1" applyFont="1" applyFill="1" applyBorder="1" applyAlignment="1" applyProtection="1">
      <alignment horizontal="center" vertical="center"/>
      <protection locked="0"/>
    </xf>
    <xf numFmtId="49" fontId="1" fillId="3" borderId="169" xfId="0" applyNumberFormat="1" applyFont="1" applyFill="1" applyBorder="1" applyAlignment="1" applyProtection="1">
      <alignment horizontal="center" vertical="center" wrapText="1"/>
      <protection locked="0"/>
    </xf>
    <xf numFmtId="179" fontId="74" fillId="0" borderId="0" xfId="0" applyNumberFormat="1" applyFont="1" applyBorder="1" applyAlignment="1" applyProtection="1">
      <alignment horizontal="center"/>
      <protection/>
    </xf>
    <xf numFmtId="179" fontId="87" fillId="0" borderId="0" xfId="0" applyNumberFormat="1" applyFont="1" applyFill="1" applyBorder="1" applyAlignment="1" applyProtection="1">
      <alignment horizontal="center"/>
      <protection/>
    </xf>
    <xf numFmtId="179" fontId="88" fillId="3" borderId="18" xfId="0" applyNumberFormat="1" applyFont="1" applyFill="1" applyBorder="1" applyAlignment="1" applyProtection="1">
      <alignment horizontal="center" vertical="center"/>
      <protection/>
    </xf>
    <xf numFmtId="49" fontId="1" fillId="3" borderId="169" xfId="0" applyNumberFormat="1" applyFont="1" applyFill="1" applyBorder="1" applyAlignment="1" applyProtection="1">
      <alignment horizontal="center" vertical="center"/>
      <protection locked="0"/>
    </xf>
    <xf numFmtId="173" fontId="25" fillId="0" borderId="0" xfId="0" applyNumberFormat="1" applyFont="1" applyBorder="1" applyAlignment="1" applyProtection="1">
      <alignment horizontal="center"/>
      <protection/>
    </xf>
    <xf numFmtId="0" fontId="51" fillId="0" borderId="170" xfId="0" applyFont="1" applyFill="1" applyBorder="1" applyAlignment="1" applyProtection="1">
      <alignment horizontal="left"/>
      <protection locked="0"/>
    </xf>
    <xf numFmtId="0" fontId="51" fillId="0" borderId="171" xfId="0" applyFont="1" applyBorder="1" applyAlignment="1" applyProtection="1">
      <alignment horizontal="left"/>
      <protection locked="0"/>
    </xf>
    <xf numFmtId="0" fontId="51" fillId="0" borderId="172" xfId="0" applyFont="1" applyBorder="1" applyAlignment="1" applyProtection="1">
      <alignment horizontal="left"/>
      <protection locked="0"/>
    </xf>
    <xf numFmtId="0" fontId="51" fillId="0" borderId="173" xfId="0" applyFont="1" applyBorder="1" applyAlignment="1" applyProtection="1">
      <alignment horizontal="left"/>
      <protection locked="0"/>
    </xf>
    <xf numFmtId="0" fontId="51" fillId="0" borderId="174" xfId="0" applyFont="1" applyFill="1" applyBorder="1" applyAlignment="1" applyProtection="1">
      <alignment horizontal="left"/>
      <protection locked="0"/>
    </xf>
    <xf numFmtId="0" fontId="51" fillId="0" borderId="175" xfId="0" applyFont="1" applyBorder="1" applyAlignment="1" applyProtection="1">
      <alignment horizontal="left"/>
      <protection locked="0"/>
    </xf>
    <xf numFmtId="0" fontId="51" fillId="0" borderId="176" xfId="0" applyFont="1" applyBorder="1" applyAlignment="1" applyProtection="1">
      <alignment horizontal="left"/>
      <protection locked="0"/>
    </xf>
    <xf numFmtId="0" fontId="51" fillId="0" borderId="177" xfId="0" applyFont="1" applyBorder="1" applyAlignment="1" applyProtection="1">
      <alignment horizontal="left"/>
      <protection locked="0"/>
    </xf>
    <xf numFmtId="0" fontId="106" fillId="8" borderId="178" xfId="105" applyNumberFormat="1" applyFont="1" applyFill="1" applyBorder="1" applyAlignment="1">
      <alignment horizontal="center" vertical="center" wrapText="1"/>
      <protection/>
    </xf>
    <xf numFmtId="0" fontId="106" fillId="8" borderId="179" xfId="105" applyNumberFormat="1" applyFont="1" applyFill="1" applyBorder="1" applyAlignment="1">
      <alignment horizontal="center" vertical="center" wrapText="1"/>
      <protection/>
    </xf>
    <xf numFmtId="0" fontId="106" fillId="8" borderId="180" xfId="105" applyNumberFormat="1" applyFont="1" applyFill="1" applyBorder="1" applyAlignment="1">
      <alignment horizontal="center" vertical="center" wrapText="1"/>
      <protection/>
    </xf>
    <xf numFmtId="0" fontId="107" fillId="8" borderId="15" xfId="0" applyNumberFormat="1" applyFont="1" applyFill="1" applyBorder="1" applyAlignment="1">
      <alignment horizontal="center" vertical="center" textRotation="90"/>
    </xf>
    <xf numFmtId="0" fontId="51" fillId="0" borderId="181" xfId="0" applyFont="1" applyFill="1" applyBorder="1" applyAlignment="1" applyProtection="1">
      <alignment horizontal="left" vertical="top" wrapText="1"/>
      <protection locked="0"/>
    </xf>
    <xf numFmtId="0" fontId="51" fillId="0" borderId="182" xfId="0" applyFont="1" applyBorder="1" applyAlignment="1" applyProtection="1">
      <alignment horizontal="left"/>
      <protection locked="0"/>
    </xf>
    <xf numFmtId="0" fontId="51" fillId="0" borderId="101" xfId="0" applyFont="1" applyBorder="1" applyAlignment="1" applyProtection="1">
      <alignment horizontal="left"/>
      <protection locked="0"/>
    </xf>
    <xf numFmtId="0" fontId="51" fillId="0" borderId="183" xfId="0" applyFont="1" applyBorder="1" applyAlignment="1" applyProtection="1">
      <alignment horizontal="left"/>
      <protection locked="0"/>
    </xf>
    <xf numFmtId="0" fontId="51" fillId="0" borderId="177" xfId="0" applyFont="1" applyFill="1" applyBorder="1" applyAlignment="1" applyProtection="1">
      <alignment horizontal="left"/>
      <protection locked="0"/>
    </xf>
    <xf numFmtId="0" fontId="51" fillId="0" borderId="176" xfId="0" applyFont="1" applyFill="1" applyBorder="1" applyAlignment="1" applyProtection="1">
      <alignment horizontal="left"/>
      <protection locked="0"/>
    </xf>
    <xf numFmtId="0" fontId="51" fillId="0" borderId="184" xfId="0" applyFont="1" applyFill="1" applyBorder="1" applyAlignment="1" applyProtection="1">
      <alignment horizontal="left" vertical="center" wrapText="1"/>
      <protection locked="0"/>
    </xf>
    <xf numFmtId="0" fontId="51" fillId="0" borderId="171" xfId="0" applyFont="1" applyFill="1" applyBorder="1" applyAlignment="1" applyProtection="1">
      <alignment horizontal="left"/>
      <protection locked="0"/>
    </xf>
    <xf numFmtId="0" fontId="51" fillId="0" borderId="172" xfId="0" applyFont="1" applyFill="1" applyBorder="1" applyAlignment="1" applyProtection="1">
      <alignment horizontal="left"/>
      <protection locked="0"/>
    </xf>
    <xf numFmtId="0" fontId="51" fillId="0" borderId="173" xfId="0" applyFont="1" applyFill="1" applyBorder="1" applyAlignment="1" applyProtection="1">
      <alignment horizontal="left"/>
      <protection locked="0"/>
    </xf>
    <xf numFmtId="0" fontId="51" fillId="0" borderId="185" xfId="0" applyFont="1" applyFill="1" applyBorder="1" applyAlignment="1" applyProtection="1">
      <alignment horizontal="left" vertical="center" wrapText="1"/>
      <protection locked="0"/>
    </xf>
    <xf numFmtId="0" fontId="51" fillId="0" borderId="175" xfId="0" applyFont="1" applyFill="1" applyBorder="1" applyAlignment="1" applyProtection="1">
      <alignment horizontal="left"/>
      <protection locked="0"/>
    </xf>
    <xf numFmtId="0" fontId="51" fillId="0" borderId="186" xfId="0" applyFont="1" applyFill="1" applyBorder="1" applyAlignment="1" applyProtection="1">
      <alignment horizontal="left" wrapText="1"/>
      <protection locked="0"/>
    </xf>
    <xf numFmtId="0" fontId="51" fillId="0" borderId="175" xfId="0" applyFont="1" applyFill="1" applyBorder="1" applyAlignment="1" applyProtection="1">
      <alignment horizontal="left" wrapText="1"/>
      <protection locked="0"/>
    </xf>
    <xf numFmtId="0" fontId="51" fillId="0" borderId="176" xfId="0" applyFont="1" applyFill="1" applyBorder="1" applyAlignment="1" applyProtection="1">
      <alignment horizontal="left" wrapText="1"/>
      <protection locked="0"/>
    </xf>
    <xf numFmtId="0" fontId="51" fillId="0" borderId="187" xfId="0" applyFont="1" applyFill="1" applyBorder="1" applyAlignment="1" applyProtection="1">
      <alignment horizontal="left" wrapText="1"/>
      <protection locked="0"/>
    </xf>
    <xf numFmtId="0" fontId="51" fillId="0" borderId="188" xfId="0" applyFont="1" applyFill="1" applyBorder="1" applyAlignment="1" applyProtection="1">
      <alignment horizontal="left" wrapText="1"/>
      <protection locked="0"/>
    </xf>
    <xf numFmtId="0" fontId="51" fillId="0" borderId="175" xfId="0" applyFont="1" applyFill="1" applyBorder="1" applyAlignment="1" applyProtection="1">
      <alignment horizontal="left" vertical="top" wrapText="1"/>
      <protection locked="0"/>
    </xf>
    <xf numFmtId="0" fontId="0" fillId="12" borderId="15" xfId="0" applyFill="1" applyBorder="1" applyAlignment="1" applyProtection="1">
      <alignment horizontal="center"/>
      <protection locked="0"/>
    </xf>
    <xf numFmtId="173" fontId="2" fillId="34" borderId="0" xfId="128" applyNumberFormat="1" applyFont="1" applyFill="1" applyBorder="1" applyAlignment="1" applyProtection="1">
      <alignment horizontal="center"/>
      <protection locked="0"/>
    </xf>
    <xf numFmtId="173" fontId="23" fillId="26" borderId="0" xfId="88" applyFont="1" applyFill="1" applyBorder="1" applyAlignment="1">
      <alignment horizontal="center" vertical="center"/>
      <protection/>
    </xf>
    <xf numFmtId="0" fontId="25" fillId="0" borderId="0" xfId="0" applyFont="1" applyBorder="1" applyAlignment="1">
      <alignment horizontal="center"/>
    </xf>
  </cellXfs>
  <cellStyles count="12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4" xfId="64"/>
    <cellStyle name="Énfasis1" xfId="65"/>
    <cellStyle name="Énfasis2" xfId="66"/>
    <cellStyle name="Énfasis3" xfId="67"/>
    <cellStyle name="Énfasis4" xfId="68"/>
    <cellStyle name="Énfasis5" xfId="69"/>
    <cellStyle name="Énfasis6" xfId="70"/>
    <cellStyle name="Entrada" xfId="71"/>
    <cellStyle name="Euro" xfId="72"/>
    <cellStyle name="Explanatory Text" xfId="73"/>
    <cellStyle name="Good" xfId="74"/>
    <cellStyle name="Heading 1" xfId="75"/>
    <cellStyle name="Heading 2" xfId="76"/>
    <cellStyle name="Heading 3" xfId="77"/>
    <cellStyle name="Heading 4" xfId="78"/>
    <cellStyle name="Incorrecto" xfId="79"/>
    <cellStyle name="Input" xfId="80"/>
    <cellStyle name="Linked Cell" xfId="81"/>
    <cellStyle name="Comma" xfId="82"/>
    <cellStyle name="Comma [0]" xfId="83"/>
    <cellStyle name="Millares 2" xfId="84"/>
    <cellStyle name="Currency" xfId="85"/>
    <cellStyle name="Currency [0]" xfId="86"/>
    <cellStyle name="Neutral" xfId="87"/>
    <cellStyle name="Normal 2" xfId="88"/>
    <cellStyle name="Normal 2 2" xfId="89"/>
    <cellStyle name="Normal 2 3" xfId="90"/>
    <cellStyle name="Normal 2 4" xfId="91"/>
    <cellStyle name="Normal 2 5" xfId="92"/>
    <cellStyle name="Normal 2 6" xfId="93"/>
    <cellStyle name="Normal 2 7" xfId="94"/>
    <cellStyle name="Normal 2 8" xfId="95"/>
    <cellStyle name="Normal 2_Dashboard ver 2.2 ES" xfId="96"/>
    <cellStyle name="Normal 2_Ficticia HIV Dashboard_ES - Set Up and Maintenance Guide" xfId="97"/>
    <cellStyle name="Normal 2_Prototipo" xfId="98"/>
    <cellStyle name="Normal 3" xfId="99"/>
    <cellStyle name="Normal 4" xfId="100"/>
    <cellStyle name="Normal 5" xfId="101"/>
    <cellStyle name="Normal 6" xfId="102"/>
    <cellStyle name="Normal 7" xfId="103"/>
    <cellStyle name="Normal 8" xfId="104"/>
    <cellStyle name="Normal_TZ_R3HIV_Phase_2_21_August_08" xfId="105"/>
    <cellStyle name="Notas" xfId="106"/>
    <cellStyle name="Note" xfId="107"/>
    <cellStyle name="Output" xfId="108"/>
    <cellStyle name="Percent" xfId="109"/>
    <cellStyle name="Porcentual 2" xfId="110"/>
    <cellStyle name="Porcentual 3" xfId="111"/>
    <cellStyle name="Porcentual 4" xfId="112"/>
    <cellStyle name="Porcentual 5" xfId="113"/>
    <cellStyle name="Porcentual 6" xfId="114"/>
    <cellStyle name="Porcentual 7" xfId="115"/>
    <cellStyle name="Porcentual 8" xfId="116"/>
    <cellStyle name="Salida" xfId="117"/>
    <cellStyle name="Texto de advertencia" xfId="118"/>
    <cellStyle name="Texto explicativo" xfId="119"/>
    <cellStyle name="Title" xfId="120"/>
    <cellStyle name="Título" xfId="121"/>
    <cellStyle name="Título 1" xfId="122"/>
    <cellStyle name="Título 2" xfId="123"/>
    <cellStyle name="Título 3" xfId="124"/>
    <cellStyle name="Título 3 2" xfId="125"/>
    <cellStyle name="Título 3 3" xfId="126"/>
    <cellStyle name="Título 3 3_Prototipo" xfId="127"/>
    <cellStyle name="Título 3 3_PrototipoRep1" xfId="128"/>
    <cellStyle name="Título 3 4" xfId="129"/>
    <cellStyle name="Título 3 5" xfId="130"/>
    <cellStyle name="Título 3 6" xfId="131"/>
    <cellStyle name="Título 3 7" xfId="132"/>
    <cellStyle name="Título 3 8" xfId="133"/>
    <cellStyle name="Total" xfId="134"/>
    <cellStyle name="Warning Text" xfId="135"/>
  </cellStyles>
  <dxfs count="60">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29"/>
          <bgColor indexed="10"/>
        </patternFill>
      </fill>
    </dxf>
    <dxf>
      <font>
        <b val="0"/>
        <sz val="11"/>
        <color indexed="8"/>
      </font>
      <fill>
        <patternFill patternType="solid">
          <fgColor indexed="51"/>
          <bgColor indexed="13"/>
        </patternFill>
      </fill>
    </dxf>
    <dxf>
      <font>
        <b val="0"/>
        <sz val="11"/>
        <color indexed="8"/>
      </font>
      <fill>
        <patternFill patternType="solid">
          <fgColor indexed="1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28"/>
          <bgColor indexed="9"/>
        </patternFill>
      </fill>
    </dxf>
    <dxf>
      <font>
        <b val="0"/>
        <sz val="11"/>
        <color indexed="8"/>
      </font>
      <fill>
        <patternFill patternType="solid">
          <fgColor indexed="51"/>
          <bgColor indexed="50"/>
        </patternFill>
      </fill>
    </dxf>
    <dxf>
      <font>
        <b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58"/>
          <bgColor indexed="8"/>
        </patternFill>
      </fill>
    </dxf>
    <dxf>
      <fill>
        <patternFill>
          <bgColor indexed="42"/>
        </patternFill>
      </fill>
    </dxf>
    <dxf>
      <font>
        <b val="0"/>
        <sz val="11"/>
        <color indexed="8"/>
      </font>
      <fill>
        <patternFill patternType="solid">
          <fgColor indexed="1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0"/>
          <bgColor indexed="61"/>
        </patternFill>
      </fill>
    </dxf>
    <dxf>
      <font>
        <b val="0"/>
        <sz val="11"/>
        <color indexed="9"/>
      </font>
      <fill>
        <patternFill patternType="solid">
          <fgColor indexed="59"/>
          <bgColor indexed="63"/>
        </patternFill>
      </fill>
    </dxf>
    <dxf>
      <font>
        <b val="0"/>
        <sz val="11"/>
        <color indexed="8"/>
      </font>
      <fill>
        <patternFill patternType="solid">
          <fgColor indexed="27"/>
          <bgColor indexed="42"/>
        </patternFill>
      </fill>
    </dxf>
    <dxf>
      <font>
        <b val="0"/>
        <sz val="11"/>
        <color indexed="8"/>
      </font>
      <fill>
        <patternFill patternType="solid">
          <fgColor indexed="27"/>
          <bgColor indexed="42"/>
        </patternFill>
      </fill>
    </dxf>
    <dxf>
      <font>
        <b val="0"/>
        <sz val="11"/>
        <color rgb="FF000000"/>
      </font>
      <fill>
        <patternFill patternType="solid">
          <fgColor rgb="FFCCFFFF"/>
          <bgColor rgb="FFCCFFCC"/>
        </patternFill>
      </fill>
      <border/>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003300"/>
          <bgColor rgb="FF000000"/>
        </patternFill>
      </fill>
      <border/>
    </dxf>
    <dxf>
      <font>
        <b val="0"/>
        <sz val="11"/>
        <color rgb="FFFFFFFF"/>
      </font>
      <fill>
        <patternFill patternType="solid">
          <fgColor rgb="FFFF8080"/>
          <bgColor rgb="FFFF7171"/>
        </patternFill>
      </fill>
      <border/>
    </dxf>
    <dxf>
      <font>
        <b val="0"/>
        <sz val="11"/>
        <color rgb="FF000000"/>
      </font>
      <fill>
        <patternFill patternType="solid">
          <fgColor rgb="FFFF7171"/>
          <bgColor rgb="FFFF5050"/>
        </patternFill>
      </fill>
      <border/>
    </dxf>
    <dxf>
      <font>
        <b val="0"/>
        <sz val="11"/>
        <color rgb="FF000000"/>
      </font>
      <fill>
        <patternFill patternType="solid">
          <fgColor rgb="FFFFCC00"/>
          <bgColor rgb="FF99CC00"/>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CCC1DA"/>
      <rgbColor rgb="0000FFFF"/>
      <rgbColor rgb="00800000"/>
      <rgbColor rgb="00008000"/>
      <rgbColor rgb="00000080"/>
      <rgbColor rgb="0033CC33"/>
      <rgbColor rgb="00800080"/>
      <rgbColor rgb="000070C0"/>
      <rgbColor rgb="00C0C0C0"/>
      <rgbColor rgb="00808080"/>
      <rgbColor rgb="00A6A6A6"/>
      <rgbColor rgb="00993366"/>
      <rgbColor rgb="00FFFFCC"/>
      <rgbColor rgb="00CCFFFF"/>
      <rgbColor rgb="00FFF8EF"/>
      <rgbColor rgb="00FF8080"/>
      <rgbColor rgb="000066CC"/>
      <rgbColor rgb="00CCCCFF"/>
      <rgbColor rgb="00131312"/>
      <rgbColor rgb="00D9D9D9"/>
      <rgbColor rgb="00FFF88F"/>
      <rgbColor rgb="0093CDDD"/>
      <rgbColor rgb="00BFBFBF"/>
      <rgbColor rgb="00800000"/>
      <rgbColor rgb="00376092"/>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395"/>
          <c:w val="0.9435"/>
          <c:h val="0.775"/>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3000228</c:v>
                </c:pt>
                <c:pt idx="1">
                  <c:v>4719767</c:v>
                </c:pt>
                <c:pt idx="2">
                  <c:v>7365382</c:v>
                </c:pt>
                <c:pt idx="3">
                  <c:v>9233609</c:v>
                </c:pt>
                <c:pt idx="4">
                  <c:v>12278546</c:v>
                </c:pt>
                <c:pt idx="5">
                  <c:v>13910753</c:v>
                </c:pt>
                <c:pt idx="6">
                  <c:v>0</c:v>
                </c:pt>
                <c:pt idx="7">
                  <c:v>0</c:v>
                </c:pt>
                <c:pt idx="8">
                  <c:v>0</c:v>
                </c:pt>
                <c:pt idx="9">
                  <c:v>0</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4765803</c:v>
                </c:pt>
                <c:pt idx="1">
                  <c:v>4765803</c:v>
                </c:pt>
                <c:pt idx="2">
                  <c:v>4765803</c:v>
                </c:pt>
                <c:pt idx="3">
                  <c:v>4765803</c:v>
                </c:pt>
                <c:pt idx="4">
                  <c:v>4765803</c:v>
                </c:pt>
                <c:pt idx="5">
                  <c:v>4765803</c:v>
                </c:pt>
                <c:pt idx="6">
                  <c:v>0</c:v>
                </c:pt>
                <c:pt idx="7">
                  <c:v>0</c:v>
                </c:pt>
                <c:pt idx="8">
                  <c:v>0</c:v>
                </c:pt>
                <c:pt idx="9">
                  <c:v>0</c:v>
                </c:pt>
                <c:pt idx="10">
                  <c:v>0</c:v>
                </c:pt>
                <c:pt idx="11">
                  <c:v>0</c:v>
                </c:pt>
              </c:numCache>
            </c:numRef>
          </c:val>
        </c:ser>
        <c:gapWidth val="70"/>
        <c:axId val="31571891"/>
        <c:axId val="15711564"/>
      </c:barChart>
      <c:catAx>
        <c:axId val="31571891"/>
        <c:scaling>
          <c:orientation val="minMax"/>
        </c:scaling>
        <c:axPos val="b"/>
        <c:title>
          <c:tx>
            <c:rich>
              <a:bodyPr vert="horz" rot="0" anchor="ctr"/>
              <a:lstStyle/>
              <a:p>
                <a:pPr algn="ctr">
                  <a:defRPr/>
                </a:pPr>
                <a:r>
                  <a:rPr lang="en-US" cap="none" sz="575" b="1" i="0" u="none" baseline="0">
                    <a:solidFill>
                      <a:srgbClr val="000000"/>
                    </a:solidFill>
                  </a:rPr>
                  <a:t>Periodo de referencia</a:t>
                </a:r>
              </a:p>
            </c:rich>
          </c:tx>
          <c:layout>
            <c:manualLayout>
              <c:xMode val="factor"/>
              <c:yMode val="factor"/>
              <c:x val="-0.0132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15711564"/>
        <c:crossesAt val="0"/>
        <c:auto val="1"/>
        <c:lblOffset val="100"/>
        <c:tickLblSkip val="1"/>
        <c:noMultiLvlLbl val="0"/>
      </c:catAx>
      <c:valAx>
        <c:axId val="1571156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1571891"/>
        <c:crossesAt val="1"/>
        <c:crossBetween val="between"/>
        <c:dispUnits/>
      </c:valAx>
      <c:spPr>
        <a:solidFill>
          <a:srgbClr val="FFFFFF"/>
        </a:solidFill>
        <a:ln w="3175">
          <a:solidFill>
            <a:srgbClr val="000000"/>
          </a:solidFill>
        </a:ln>
      </c:spPr>
    </c:plotArea>
    <c:legend>
      <c:legendPos val="r"/>
      <c:layout>
        <c:manualLayout>
          <c:xMode val="edge"/>
          <c:yMode val="edge"/>
          <c:x val="0.13"/>
          <c:y val="0.87675"/>
          <c:w val="0.68875"/>
          <c:h val="0.105"/>
        </c:manualLayout>
      </c:layout>
      <c:overlay val="0"/>
      <c:spPr>
        <a:solidFill>
          <a:srgbClr val="FFFFFF"/>
        </a:solidFill>
        <a:ln w="3175">
          <a:solidFill>
            <a:srgbClr val="000000"/>
          </a:solidFill>
        </a:ln>
      </c:spPr>
      <c:txPr>
        <a:bodyPr vert="horz" rot="0"/>
        <a:lstStyle/>
        <a:p>
          <a:pPr>
            <a:defRPr lang="en-US" cap="none" sz="40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7375"/>
          <c:w val="0.91875"/>
          <c:h val="0.853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datos'!$H$123:$Q$123</c:f>
              <c:numCache>
                <c:ptCount val="10"/>
                <c:pt idx="0">
                  <c:v>220</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datos'!$H$124:$Q$124</c:f>
              <c:numCache>
                <c:ptCount val="10"/>
                <c:pt idx="0">
                  <c:v>34</c:v>
                </c:pt>
              </c:numCache>
            </c:numRef>
          </c:val>
        </c:ser>
        <c:axId val="40315901"/>
        <c:axId val="27298790"/>
      </c:barChart>
      <c:catAx>
        <c:axId val="4031590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7298790"/>
        <c:crossesAt val="0"/>
        <c:auto val="1"/>
        <c:lblOffset val="100"/>
        <c:tickLblSkip val="1"/>
        <c:noMultiLvlLbl val="0"/>
      </c:catAx>
      <c:valAx>
        <c:axId val="27298790"/>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40315901"/>
        <c:crossesAt val="1"/>
        <c:crossBetween val="between"/>
        <c:dispUnits/>
      </c:valAx>
      <c:spPr>
        <a:noFill/>
        <a:ln>
          <a:noFill/>
        </a:ln>
      </c:spPr>
    </c:plotArea>
    <c:legend>
      <c:legendPos val="r"/>
      <c:layout>
        <c:manualLayout>
          <c:xMode val="edge"/>
          <c:yMode val="edge"/>
          <c:x val="0.26025"/>
          <c:y val="0.85175"/>
          <c:w val="0.335"/>
          <c:h val="0.0825"/>
        </c:manualLayout>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875"/>
          <c:w val="0.9365"/>
          <c:h val="0.853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datos'!$H$119:$Q$119</c:f>
              <c:numCache>
                <c:ptCount val="10"/>
                <c:pt idx="0">
                  <c:v>1558</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datos'!$H$120:$Q$120</c:f>
              <c:numCache>
                <c:ptCount val="10"/>
                <c:pt idx="0">
                  <c:v>155</c:v>
                </c:pt>
              </c:numCache>
            </c:numRef>
          </c:val>
        </c:ser>
        <c:axId val="44362519"/>
        <c:axId val="63718352"/>
      </c:barChart>
      <c:catAx>
        <c:axId val="4436251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3718352"/>
        <c:crossesAt val="0"/>
        <c:auto val="1"/>
        <c:lblOffset val="100"/>
        <c:tickLblSkip val="1"/>
        <c:noMultiLvlLbl val="0"/>
      </c:catAx>
      <c:valAx>
        <c:axId val="63718352"/>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44362519"/>
        <c:crossesAt val="1"/>
        <c:crossBetween val="between"/>
        <c:dispUnits/>
      </c:valAx>
      <c:spPr>
        <a:noFill/>
        <a:ln>
          <a:noFill/>
        </a:ln>
      </c:spPr>
    </c:plotArea>
    <c:legend>
      <c:legendPos val="r"/>
      <c:layout>
        <c:manualLayout>
          <c:xMode val="edge"/>
          <c:yMode val="edge"/>
          <c:x val="0.10325"/>
          <c:y val="0.875"/>
          <c:w val="0.548"/>
          <c:h val="0.07075"/>
        </c:manualLayout>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75"/>
          <c:y val="0.0185"/>
          <c:w val="0.8085"/>
          <c:h val="0.98125"/>
        </c:manualLayout>
      </c:layout>
      <c:barChart>
        <c:barDir val="col"/>
        <c:grouping val="stacked"/>
        <c:varyColors val="0"/>
        <c:ser>
          <c:idx val="0"/>
          <c:order val="0"/>
          <c:tx>
            <c:strRef>
              <c:f>Financiamiento!$M$16</c:f>
              <c:strCache>
                <c:ptCount val="1"/>
                <c:pt idx="0">
                  <c:v>Periodo Anterior</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datos'!$B$52:$B$55</c:f>
              <c:strCache>
                <c:ptCount val="4"/>
                <c:pt idx="0">
                  <c:v>Desembolsado por el Fondo Mundial</c:v>
                </c:pt>
                <c:pt idx="1">
                  <c:v>Gasto RP + desembolso a SRs</c:v>
                </c:pt>
                <c:pt idx="2">
                  <c:v>Desembolsado a los subreceptores</c:v>
                </c:pt>
                <c:pt idx="3">
                  <c:v>Gastos de los subreceptores</c:v>
                </c:pt>
              </c:strCache>
            </c:strRef>
          </c:cat>
          <c:val>
            <c:numRef>
              <c:f>'Introducción de datos'!$C$52:$C$55</c:f>
              <c:numCache>
                <c:ptCount val="4"/>
                <c:pt idx="0">
                  <c:v>4765803</c:v>
                </c:pt>
              </c:numCache>
            </c:numRef>
          </c:val>
        </c:ser>
        <c:ser>
          <c:idx val="1"/>
          <c:order val="1"/>
          <c:tx>
            <c:strRef>
              <c:f>Financiamiento!$M$15</c:f>
              <c:strCache>
                <c:ptCount val="1"/>
                <c:pt idx="0">
                  <c:v>Periodo Actual</c:v>
                </c:pt>
              </c:strCache>
            </c:strRef>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datos'!$B$52:$B$55</c:f>
              <c:strCache>
                <c:ptCount val="4"/>
                <c:pt idx="0">
                  <c:v>Desembolsado por el Fondo Mundial</c:v>
                </c:pt>
                <c:pt idx="1">
                  <c:v>Gasto RP + desembolso a SRs</c:v>
                </c:pt>
                <c:pt idx="2">
                  <c:v>Desembolsado a los subreceptores</c:v>
                </c:pt>
                <c:pt idx="3">
                  <c:v>Gastos de los subreceptores</c:v>
                </c:pt>
              </c:strCache>
            </c:strRef>
          </c:cat>
          <c:val>
            <c:numRef>
              <c:f>'Introducción de datos'!$D$52:$D$55</c:f>
              <c:numCache>
                <c:ptCount val="4"/>
                <c:pt idx="0">
                  <c:v>0</c:v>
                </c:pt>
                <c:pt idx="1">
                  <c:v>1512572</c:v>
                </c:pt>
                <c:pt idx="2">
                  <c:v>486656</c:v>
                </c:pt>
                <c:pt idx="3">
                  <c:v>425234</c:v>
                </c:pt>
              </c:numCache>
            </c:numRef>
          </c:val>
        </c:ser>
        <c:overlap val="100"/>
        <c:axId val="7186349"/>
        <c:axId val="64677142"/>
      </c:barChart>
      <c:catAx>
        <c:axId val="718634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64677142"/>
        <c:crossesAt val="0"/>
        <c:auto val="1"/>
        <c:lblOffset val="100"/>
        <c:tickLblSkip val="2"/>
        <c:noMultiLvlLbl val="0"/>
      </c:catAx>
      <c:valAx>
        <c:axId val="6467714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7186349"/>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
          <c:y val="0.0755"/>
          <c:w val="0.8445"/>
          <c:h val="0.893"/>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datos'!$C$39:$C$44</c:f>
              <c:numCache>
                <c:ptCount val="6"/>
                <c:pt idx="0">
                  <c:v>1938342</c:v>
                </c:pt>
                <c:pt idx="1">
                  <c:v>11474</c:v>
                </c:pt>
                <c:pt idx="2">
                  <c:v>1050412</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datos'!$D$39:$D$44</c:f>
              <c:numCache>
                <c:ptCount val="6"/>
                <c:pt idx="0">
                  <c:v>755110</c:v>
                </c:pt>
                <c:pt idx="2">
                  <c:v>696039</c:v>
                </c:pt>
              </c:numCache>
            </c:numRef>
          </c:val>
        </c:ser>
        <c:axId val="45223367"/>
        <c:axId val="4357120"/>
      </c:barChart>
      <c:catAx>
        <c:axId val="452233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4357120"/>
        <c:crossesAt val="0"/>
        <c:auto val="1"/>
        <c:lblOffset val="100"/>
        <c:tickLblSkip val="1"/>
        <c:noMultiLvlLbl val="0"/>
      </c:catAx>
      <c:valAx>
        <c:axId val="435712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45223367"/>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21275"/>
          <c:w val="0.9655"/>
          <c:h val="0.671"/>
        </c:manualLayout>
      </c:layout>
      <c:barChart>
        <c:barDir val="bar"/>
        <c:grouping val="percentStacked"/>
        <c:varyColors val="0"/>
        <c:ser>
          <c:idx val="0"/>
          <c:order val="0"/>
          <c:tx>
            <c:strRef>
              <c:f>'Introducción de datos'!$D$78</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datos'!$D$79</c:f>
              <c:numCache>
                <c:ptCount val="1"/>
                <c:pt idx="0">
                  <c:v>6</c:v>
                </c:pt>
              </c:numCache>
            </c:numRef>
          </c:val>
        </c:ser>
        <c:ser>
          <c:idx val="1"/>
          <c:order val="1"/>
          <c:tx>
            <c:strRef>
              <c:f>'Introducción de datos'!$E$78</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datos'!$E$79</c:f>
              <c:numCache>
                <c:ptCount val="1"/>
                <c:pt idx="0">
                  <c:v>0</c:v>
                </c:pt>
              </c:numCache>
            </c:numRef>
          </c:val>
        </c:ser>
        <c:overlap val="100"/>
        <c:gapWidth val="79"/>
        <c:axId val="39214081"/>
        <c:axId val="17382410"/>
      </c:barChart>
      <c:catAx>
        <c:axId val="39214081"/>
        <c:scaling>
          <c:orientation val="minMax"/>
        </c:scaling>
        <c:axPos val="l"/>
        <c:delete val="1"/>
        <c:majorTickMark val="out"/>
        <c:minorTickMark val="none"/>
        <c:tickLblPos val="nextTo"/>
        <c:crossAx val="17382410"/>
        <c:crossesAt val="0"/>
        <c:auto val="1"/>
        <c:lblOffset val="100"/>
        <c:tickLblSkip val="1"/>
        <c:noMultiLvlLbl val="0"/>
      </c:catAx>
      <c:valAx>
        <c:axId val="17382410"/>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9214081"/>
        <c:crosses val="max"/>
        <c:crossBetween val="between"/>
        <c:dispUnits/>
      </c:valAx>
      <c:spPr>
        <a:solidFill>
          <a:srgbClr val="FFFFFF"/>
        </a:solidFill>
        <a:ln w="3175">
          <a:noFill/>
        </a:ln>
      </c:spPr>
    </c:plotArea>
    <c:legend>
      <c:legendPos val="r"/>
      <c:layout>
        <c:manualLayout>
          <c:xMode val="edge"/>
          <c:yMode val="edge"/>
          <c:x val="0.2705"/>
          <c:y val="0.814"/>
          <c:w val="0.43775"/>
          <c:h val="0.178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0275"/>
          <c:w val="0.94775"/>
          <c:h val="0.72175"/>
        </c:manualLayout>
      </c:layout>
      <c:barChart>
        <c:barDir val="col"/>
        <c:grouping val="clustered"/>
        <c:varyColors val="0"/>
        <c:ser>
          <c:idx val="0"/>
          <c:order val="0"/>
          <c:tx>
            <c:strRef>
              <c:f>'Introducción de datos'!$C$83</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datos'!$C$84</c:f>
              <c:numCache>
                <c:ptCount val="1"/>
                <c:pt idx="0">
                  <c:v>6</c:v>
                </c:pt>
              </c:numCache>
            </c:numRef>
          </c:val>
        </c:ser>
        <c:ser>
          <c:idx val="1"/>
          <c:order val="1"/>
          <c:tx>
            <c:strRef>
              <c:f>'Introducción de datos'!$D$83</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datos'!$D$84</c:f>
              <c:numCache>
                <c:ptCount val="1"/>
                <c:pt idx="0">
                  <c:v>6</c:v>
                </c:pt>
              </c:numCache>
            </c:numRef>
          </c:val>
        </c:ser>
        <c:ser>
          <c:idx val="2"/>
          <c:order val="2"/>
          <c:tx>
            <c:strRef>
              <c:f>'Introducción de datos'!$E$83</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datos'!$E$84</c:f>
              <c:numCache>
                <c:ptCount val="1"/>
                <c:pt idx="0">
                  <c:v>6</c:v>
                </c:pt>
              </c:numCache>
            </c:numRef>
          </c:val>
        </c:ser>
        <c:ser>
          <c:idx val="3"/>
          <c:order val="3"/>
          <c:tx>
            <c:strRef>
              <c:f>'Introducción de datos'!$F$83</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datos'!$F$84</c:f>
              <c:numCache>
                <c:ptCount val="1"/>
                <c:pt idx="0">
                  <c:v>6</c:v>
                </c:pt>
              </c:numCache>
            </c:numRef>
          </c:val>
        </c:ser>
        <c:ser>
          <c:idx val="4"/>
          <c:order val="4"/>
          <c:tx>
            <c:strRef>
              <c:f>'Introducción de datos'!$G$83</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datos'!$G$84</c:f>
              <c:numCache>
                <c:ptCount val="1"/>
                <c:pt idx="0">
                  <c:v>6</c:v>
                </c:pt>
              </c:numCache>
            </c:numRef>
          </c:val>
        </c:ser>
        <c:overlap val="-20"/>
        <c:axId val="22223963"/>
        <c:axId val="65797940"/>
      </c:barChart>
      <c:catAx>
        <c:axId val="22223963"/>
        <c:scaling>
          <c:orientation val="minMax"/>
        </c:scaling>
        <c:axPos val="b"/>
        <c:delete val="0"/>
        <c:numFmt formatCode="General" sourceLinked="1"/>
        <c:majorTickMark val="none"/>
        <c:minorTickMark val="none"/>
        <c:tickLblPos val="none"/>
        <c:spPr>
          <a:ln w="3175">
            <a:solidFill>
              <a:srgbClr val="000000"/>
            </a:solidFill>
          </a:ln>
        </c:spPr>
        <c:crossAx val="65797940"/>
        <c:crossesAt val="0"/>
        <c:auto val="0"/>
        <c:lblOffset val="100"/>
        <c:tickLblSkip val="1"/>
        <c:noMultiLvlLbl val="0"/>
      </c:catAx>
      <c:valAx>
        <c:axId val="657979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223963"/>
        <c:crossesAt val="1"/>
        <c:crossBetween val="between"/>
        <c:dispUnits/>
      </c:valAx>
      <c:spPr>
        <a:noFill/>
        <a:ln>
          <a:noFill/>
        </a:ln>
      </c:spPr>
    </c:plotArea>
    <c:legend>
      <c:legendPos val="r"/>
      <c:layout>
        <c:manualLayout>
          <c:xMode val="edge"/>
          <c:yMode val="edge"/>
          <c:x val="0"/>
          <c:y val="0.76625"/>
          <c:w val="0.89425"/>
          <c:h val="0.087"/>
        </c:manualLayout>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8275"/>
          <c:w val="0.78075"/>
          <c:h val="0.7562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datos'!$D$72:$D$73</c:f>
              <c:numCache>
                <c:ptCount val="2"/>
                <c:pt idx="0">
                  <c:v>3</c:v>
                </c:pt>
                <c:pt idx="1">
                  <c:v>3</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datos'!$E$72:$E$73</c:f>
              <c:numCache>
                <c:ptCount val="2"/>
                <c:pt idx="0">
                  <c:v>0</c:v>
                </c:pt>
                <c:pt idx="1">
                  <c:v>0</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datos'!$F$72:$F$73</c:f>
              <c:numCache>
                <c:ptCount val="2"/>
                <c:pt idx="0">
                  <c:v>0</c:v>
                </c:pt>
                <c:pt idx="1">
                  <c:v>0</c:v>
                </c:pt>
              </c:numCache>
            </c:numRef>
          </c:val>
        </c:ser>
        <c:overlap val="100"/>
        <c:gapWidth val="70"/>
        <c:axId val="55310549"/>
        <c:axId val="28032894"/>
      </c:barChart>
      <c:catAx>
        <c:axId val="553105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032894"/>
        <c:crossesAt val="0"/>
        <c:auto val="1"/>
        <c:lblOffset val="100"/>
        <c:tickLblSkip val="1"/>
        <c:noMultiLvlLbl val="0"/>
      </c:catAx>
      <c:valAx>
        <c:axId val="2803289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310549"/>
        <c:crossesAt val="1"/>
        <c:crossBetween val="between"/>
        <c:dispUnits/>
      </c:valAx>
      <c:spPr>
        <a:noFill/>
        <a:ln>
          <a:noFill/>
        </a:ln>
      </c:spPr>
    </c:plotArea>
    <c:legend>
      <c:legendPos val="r"/>
      <c:layout>
        <c:manualLayout>
          <c:xMode val="edge"/>
          <c:yMode val="edge"/>
          <c:x val="0"/>
          <c:y val="0.70375"/>
          <c:w val="0.985"/>
          <c:h val="0.17025"/>
        </c:manualLayout>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1335"/>
          <c:w val="0.80875"/>
          <c:h val="0.7215"/>
        </c:manualLayout>
      </c:layout>
      <c:barChart>
        <c:barDir val="bar"/>
        <c:grouping val="percentStacked"/>
        <c:varyColors val="0"/>
        <c:ser>
          <c:idx val="0"/>
          <c:order val="0"/>
          <c:tx>
            <c:strRef>
              <c:f>'Introducción de datos'!$D$88</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datos'!$B$89:$B$90</c:f>
              <c:strCache>
                <c:ptCount val="2"/>
                <c:pt idx="0">
                  <c:v>Sub SR al SR</c:v>
                </c:pt>
                <c:pt idx="1">
                  <c:v>SR al RP</c:v>
                </c:pt>
              </c:strCache>
            </c:strRef>
          </c:cat>
          <c:val>
            <c:numRef>
              <c:f>'Introducción de datos'!$D$89:$D$90</c:f>
              <c:numCache>
                <c:ptCount val="2"/>
                <c:pt idx="0">
                  <c:v>0</c:v>
                </c:pt>
                <c:pt idx="1">
                  <c:v>12</c:v>
                </c:pt>
              </c:numCache>
            </c:numRef>
          </c:val>
        </c:ser>
        <c:ser>
          <c:idx val="1"/>
          <c:order val="1"/>
          <c:tx>
            <c:strRef>
              <c:f>'Introducción de datos'!$E$88</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datos'!$B$89:$B$90</c:f>
              <c:strCache>
                <c:ptCount val="2"/>
                <c:pt idx="0">
                  <c:v>Sub SR al SR</c:v>
                </c:pt>
                <c:pt idx="1">
                  <c:v>SR al RP</c:v>
                </c:pt>
              </c:strCache>
            </c:strRef>
          </c:cat>
          <c:val>
            <c:numRef>
              <c:f>'Introducción de datos'!$E$89:$E$90</c:f>
              <c:numCache>
                <c:ptCount val="2"/>
                <c:pt idx="0">
                  <c:v>0</c:v>
                </c:pt>
                <c:pt idx="1">
                  <c:v>0</c:v>
                </c:pt>
              </c:numCache>
            </c:numRef>
          </c:val>
        </c:ser>
        <c:overlap val="100"/>
        <c:gapWidth val="79"/>
        <c:axId val="50969455"/>
        <c:axId val="56071912"/>
      </c:barChart>
      <c:catAx>
        <c:axId val="5096945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56071912"/>
        <c:crossesAt val="0"/>
        <c:auto val="1"/>
        <c:lblOffset val="100"/>
        <c:tickLblSkip val="1"/>
        <c:noMultiLvlLbl val="0"/>
      </c:catAx>
      <c:valAx>
        <c:axId val="56071912"/>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50969455"/>
        <c:crosses val="max"/>
        <c:crossBetween val="between"/>
        <c:dispUnits/>
      </c:valAx>
      <c:spPr>
        <a:solidFill>
          <a:srgbClr val="FFFFFF"/>
        </a:solidFill>
        <a:ln w="3175">
          <a:noFill/>
        </a:ln>
      </c:spPr>
    </c:plotArea>
    <c:legend>
      <c:legendPos val="r"/>
      <c:layout>
        <c:manualLayout>
          <c:xMode val="edge"/>
          <c:yMode val="edge"/>
          <c:x val="0.33175"/>
          <c:y val="0.827"/>
          <c:w val="0.3115"/>
          <c:h val="0.124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09525"/>
          <c:w val="0.875"/>
          <c:h val="0.667"/>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datos'!$C$98:$N$98</c:f>
              <c:numCache>
                <c:ptCount val="12"/>
                <c:pt idx="0">
                  <c:v>213862</c:v>
                </c:pt>
                <c:pt idx="1">
                  <c:v>213862</c:v>
                </c:pt>
                <c:pt idx="2">
                  <c:v>706803</c:v>
                </c:pt>
                <c:pt idx="3">
                  <c:v>706803</c:v>
                </c:pt>
                <c:pt idx="4">
                  <c:v>1406485</c:v>
                </c:pt>
                <c:pt idx="5">
                  <c:v>1406485</c:v>
                </c:pt>
                <c:pt idx="6">
                  <c:v>1406485</c:v>
                </c:pt>
                <c:pt idx="7">
                  <c:v>1406485</c:v>
                </c:pt>
                <c:pt idx="8">
                  <c:v>1406485</c:v>
                </c:pt>
                <c:pt idx="9">
                  <c:v>1406485</c:v>
                </c:pt>
                <c:pt idx="10">
                  <c:v>1406485</c:v>
                </c:pt>
                <c:pt idx="11">
                  <c:v>1406485</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datos'!$C$99:$N$99</c:f>
              <c:numCache>
                <c:ptCount val="12"/>
                <c:pt idx="0">
                  <c:v>142579</c:v>
                </c:pt>
                <c:pt idx="1">
                  <c:v>142579</c:v>
                </c:pt>
                <c:pt idx="2">
                  <c:v>142579</c:v>
                </c:pt>
                <c:pt idx="3">
                  <c:v>142579</c:v>
                </c:pt>
                <c:pt idx="4">
                  <c:v>142579</c:v>
                </c:pt>
                <c:pt idx="5">
                  <c:v>142579</c:v>
                </c:pt>
                <c:pt idx="6">
                  <c:v>142579</c:v>
                </c:pt>
                <c:pt idx="7">
                  <c:v>142579</c:v>
                </c:pt>
                <c:pt idx="8">
                  <c:v>142579</c:v>
                </c:pt>
                <c:pt idx="9">
                  <c:v>142579</c:v>
                </c:pt>
                <c:pt idx="10">
                  <c:v>142579</c:v>
                </c:pt>
                <c:pt idx="11">
                  <c:v>142579</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datos'!$C$100:$N$100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4885161"/>
        <c:axId val="45530994"/>
      </c:lineChart>
      <c:catAx>
        <c:axId val="348851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45530994"/>
        <c:crossesAt val="0"/>
        <c:auto val="1"/>
        <c:lblOffset val="100"/>
        <c:tickLblSkip val="1"/>
        <c:noMultiLvlLbl val="0"/>
      </c:catAx>
      <c:valAx>
        <c:axId val="455309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34885161"/>
        <c:crossesAt val="1"/>
        <c:crossBetween val="midCat"/>
        <c:dispUnits/>
      </c:valAx>
      <c:spPr>
        <a:solidFill>
          <a:srgbClr val="FFFFFF"/>
        </a:solidFill>
        <a:ln w="12700">
          <a:solidFill>
            <a:srgbClr val="808080"/>
          </a:solidFill>
        </a:ln>
      </c:spPr>
    </c:plotArea>
    <c:legend>
      <c:legendPos val="r"/>
      <c:layout>
        <c:manualLayout>
          <c:xMode val="edge"/>
          <c:yMode val="edge"/>
          <c:x val="0"/>
          <c:y val="0.68"/>
          <c:w val="0.879"/>
          <c:h val="0.204"/>
        </c:manualLayout>
      </c:layout>
      <c:overlay val="0"/>
      <c:spPr>
        <a:noFill/>
        <a:ln w="3175">
          <a:noFill/>
        </a:ln>
      </c:spPr>
      <c:txPr>
        <a:bodyPr vert="horz" rot="0"/>
        <a:lstStyle/>
        <a:p>
          <a:pPr>
            <a:defRPr lang="en-US" cap="none" sz="58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075"/>
          <c:w val="0.86275"/>
          <c:h val="0.828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datos'!$H$121:$Q$121</c:f>
              <c:numCache>
                <c:ptCount val="10"/>
                <c:pt idx="0">
                  <c:v>1171</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datos'!$H$122:$Q$122</c:f>
              <c:numCache>
                <c:ptCount val="10"/>
                <c:pt idx="0">
                  <c:v>44</c:v>
                </c:pt>
              </c:numCache>
            </c:numRef>
          </c:val>
        </c:ser>
        <c:axId val="7125763"/>
        <c:axId val="64131868"/>
      </c:barChart>
      <c:catAx>
        <c:axId val="712576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4131868"/>
        <c:crossesAt val="0"/>
        <c:auto val="1"/>
        <c:lblOffset val="100"/>
        <c:tickLblSkip val="1"/>
        <c:noMultiLvlLbl val="0"/>
      </c:catAx>
      <c:valAx>
        <c:axId val="64131868"/>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7125763"/>
        <c:crossesAt val="1"/>
        <c:crossBetween val="between"/>
        <c:dispUnits/>
      </c:valAx>
      <c:spPr>
        <a:noFill/>
        <a:ln>
          <a:noFill/>
        </a:ln>
      </c:spPr>
    </c:plotArea>
    <c:legend>
      <c:legendPos val="r"/>
      <c:layout>
        <c:manualLayout>
          <c:xMode val="edge"/>
          <c:yMode val="edge"/>
          <c:x val="0.1095"/>
          <c:y val="0.8695"/>
          <c:w val="0.5475"/>
          <c:h val="0.07075"/>
        </c:manualLayout>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533400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543800" cy="2819400"/>
        </a:xfrm>
        <a:prstGeom prst="rect">
          <a:avLst/>
        </a:prstGeom>
        <a:noFill/>
        <a:ln w="9525" cmpd="sng">
          <a:noFill/>
        </a:ln>
      </xdr:spPr>
    </xdr:pic>
    <xdr:clientData/>
  </xdr:twoCellAnchor>
  <xdr:twoCellAnchor>
    <xdr:from>
      <xdr:col>7</xdr:col>
      <xdr:colOff>685800</xdr:colOff>
      <xdr:row>7</xdr:row>
      <xdr:rowOff>47625</xdr:rowOff>
    </xdr:from>
    <xdr:to>
      <xdr:col>11</xdr:col>
      <xdr:colOff>447675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16217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B24B48"/>
            </a:gs>
            <a:gs pos="100000">
              <a:srgbClr val="D48886"/>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590550</xdr:colOff>
      <xdr:row>12</xdr:row>
      <xdr:rowOff>38100</xdr:rowOff>
    </xdr:to>
    <xdr:sp>
      <xdr:nvSpPr>
        <xdr:cNvPr id="4" name="AutoShape 26"/>
        <xdr:cNvSpPr>
          <a:spLocks/>
        </xdr:cNvSpPr>
      </xdr:nvSpPr>
      <xdr:spPr>
        <a:xfrm>
          <a:off x="3409950" y="24288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10</xdr:row>
      <xdr:rowOff>85725</xdr:rowOff>
    </xdr:from>
    <xdr:to>
      <xdr:col>6</xdr:col>
      <xdr:colOff>581025</xdr:colOff>
      <xdr:row>12</xdr:row>
      <xdr:rowOff>0</xdr:rowOff>
    </xdr:to>
    <xdr:sp>
      <xdr:nvSpPr>
        <xdr:cNvPr id="5" name="AutoShape 27">
          <a:hlinkClick r:id="rId3"/>
        </xdr:cNvPr>
        <xdr:cNvSpPr>
          <a:spLocks/>
        </xdr:cNvSpPr>
      </xdr:nvSpPr>
      <xdr:spPr>
        <a:xfrm>
          <a:off x="3438525" y="2466975"/>
          <a:ext cx="1028700"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66675</xdr:rowOff>
    </xdr:to>
    <xdr:sp>
      <xdr:nvSpPr>
        <xdr:cNvPr id="6" name="Freeform 28"/>
        <xdr:cNvSpPr>
          <a:spLocks/>
        </xdr:cNvSpPr>
      </xdr:nvSpPr>
      <xdr:spPr>
        <a:xfrm>
          <a:off x="3438525" y="2486025"/>
          <a:ext cx="104775"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171450</xdr:rowOff>
    </xdr:from>
    <xdr:to>
      <xdr:col>6</xdr:col>
      <xdr:colOff>609600</xdr:colOff>
      <xdr:row>17</xdr:row>
      <xdr:rowOff>161925</xdr:rowOff>
    </xdr:to>
    <xdr:sp>
      <xdr:nvSpPr>
        <xdr:cNvPr id="7" name="AutoShape 26"/>
        <xdr:cNvSpPr>
          <a:spLocks/>
        </xdr:cNvSpPr>
      </xdr:nvSpPr>
      <xdr:spPr>
        <a:xfrm>
          <a:off x="3429000" y="3505200"/>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333375</xdr:colOff>
      <xdr:row>16</xdr:row>
      <xdr:rowOff>28575</xdr:rowOff>
    </xdr:from>
    <xdr:to>
      <xdr:col>6</xdr:col>
      <xdr:colOff>600075</xdr:colOff>
      <xdr:row>17</xdr:row>
      <xdr:rowOff>123825</xdr:rowOff>
    </xdr:to>
    <xdr:sp>
      <xdr:nvSpPr>
        <xdr:cNvPr id="8" name="AutoShape 27">
          <a:hlinkClick r:id="rId4"/>
        </xdr:cNvPr>
        <xdr:cNvSpPr>
          <a:spLocks/>
        </xdr:cNvSpPr>
      </xdr:nvSpPr>
      <xdr:spPr>
        <a:xfrm>
          <a:off x="3457575" y="3552825"/>
          <a:ext cx="1028700" cy="285750"/>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466725</xdr:colOff>
      <xdr:row>16</xdr:row>
      <xdr:rowOff>190500</xdr:rowOff>
    </xdr:to>
    <xdr:sp>
      <xdr:nvSpPr>
        <xdr:cNvPr id="9" name="Freeform 28"/>
        <xdr:cNvSpPr>
          <a:spLocks/>
        </xdr:cNvSpPr>
      </xdr:nvSpPr>
      <xdr:spPr>
        <a:xfrm>
          <a:off x="3476625" y="355282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9525</xdr:rowOff>
    </xdr:from>
    <xdr:to>
      <xdr:col>6</xdr:col>
      <xdr:colOff>590550</xdr:colOff>
      <xdr:row>15</xdr:row>
      <xdr:rowOff>0</xdr:rowOff>
    </xdr:to>
    <xdr:sp>
      <xdr:nvSpPr>
        <xdr:cNvPr id="10" name="AutoShape 26"/>
        <xdr:cNvSpPr>
          <a:spLocks/>
        </xdr:cNvSpPr>
      </xdr:nvSpPr>
      <xdr:spPr>
        <a:xfrm>
          <a:off x="3409950" y="29622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13</xdr:row>
      <xdr:rowOff>38100</xdr:rowOff>
    </xdr:from>
    <xdr:to>
      <xdr:col>6</xdr:col>
      <xdr:colOff>581025</xdr:colOff>
      <xdr:row>14</xdr:row>
      <xdr:rowOff>152400</xdr:rowOff>
    </xdr:to>
    <xdr:sp>
      <xdr:nvSpPr>
        <xdr:cNvPr id="11" name="AutoShape 27">
          <a:hlinkClick r:id="rId5"/>
        </xdr:cNvPr>
        <xdr:cNvSpPr>
          <a:spLocks/>
        </xdr:cNvSpPr>
      </xdr:nvSpPr>
      <xdr:spPr>
        <a:xfrm>
          <a:off x="3448050" y="2990850"/>
          <a:ext cx="1019175" cy="304800"/>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333375</xdr:colOff>
      <xdr:row>5</xdr:row>
      <xdr:rowOff>0</xdr:rowOff>
    </xdr:from>
    <xdr:to>
      <xdr:col>7</xdr:col>
      <xdr:colOff>400050</xdr:colOff>
      <xdr:row>6</xdr:row>
      <xdr:rowOff>47625</xdr:rowOff>
    </xdr:to>
    <xdr:sp>
      <xdr:nvSpPr>
        <xdr:cNvPr id="13" name="Rectangle 803"/>
        <xdr:cNvSpPr>
          <a:spLocks/>
        </xdr:cNvSpPr>
      </xdr:nvSpPr>
      <xdr:spPr>
        <a:xfrm>
          <a:off x="2695575" y="1428750"/>
          <a:ext cx="2352675"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295275</xdr:colOff>
      <xdr:row>11</xdr:row>
      <xdr:rowOff>0</xdr:rowOff>
    </xdr:from>
    <xdr:to>
      <xdr:col>11</xdr:col>
      <xdr:colOff>133350</xdr:colOff>
      <xdr:row>13</xdr:row>
      <xdr:rowOff>28575</xdr:rowOff>
    </xdr:to>
    <xdr:sp>
      <xdr:nvSpPr>
        <xdr:cNvPr id="14" name="AutoShape 30"/>
        <xdr:cNvSpPr>
          <a:spLocks/>
        </xdr:cNvSpPr>
      </xdr:nvSpPr>
      <xdr:spPr>
        <a:xfrm>
          <a:off x="5705475" y="257175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352425</xdr:colOff>
      <xdr:row>11</xdr:row>
      <xdr:rowOff>47625</xdr:rowOff>
    </xdr:from>
    <xdr:to>
      <xdr:col>11</xdr:col>
      <xdr:colOff>114300</xdr:colOff>
      <xdr:row>13</xdr:row>
      <xdr:rowOff>0</xdr:rowOff>
    </xdr:to>
    <xdr:sp>
      <xdr:nvSpPr>
        <xdr:cNvPr id="15" name="AutoShape 31">
          <a:hlinkClick r:id="rId6"/>
        </xdr:cNvPr>
        <xdr:cNvSpPr>
          <a:spLocks/>
        </xdr:cNvSpPr>
      </xdr:nvSpPr>
      <xdr:spPr>
        <a:xfrm>
          <a:off x="5762625" y="2619375"/>
          <a:ext cx="1400175"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66675</xdr:rowOff>
    </xdr:from>
    <xdr:to>
      <xdr:col>8</xdr:col>
      <xdr:colOff>495300</xdr:colOff>
      <xdr:row>12</xdr:row>
      <xdr:rowOff>47625</xdr:rowOff>
    </xdr:to>
    <xdr:sp>
      <xdr:nvSpPr>
        <xdr:cNvPr id="16" name="Freeform 32"/>
        <xdr:cNvSpPr>
          <a:spLocks/>
        </xdr:cNvSpPr>
      </xdr:nvSpPr>
      <xdr:spPr>
        <a:xfrm>
          <a:off x="5762625" y="263842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7</xdr:row>
      <xdr:rowOff>85725</xdr:rowOff>
    </xdr:from>
    <xdr:to>
      <xdr:col>4</xdr:col>
      <xdr:colOff>104775</xdr:colOff>
      <xdr:row>18</xdr:row>
      <xdr:rowOff>114300</xdr:rowOff>
    </xdr:to>
    <xdr:sp>
      <xdr:nvSpPr>
        <xdr:cNvPr id="17" name="AutoShape 31"/>
        <xdr:cNvSpPr>
          <a:spLocks/>
        </xdr:cNvSpPr>
      </xdr:nvSpPr>
      <xdr:spPr>
        <a:xfrm>
          <a:off x="323850" y="1895475"/>
          <a:ext cx="2143125" cy="2124075"/>
        </a:xfrm>
        <a:prstGeom prst="roundRect">
          <a:avLst/>
        </a:prstGeom>
        <a:gradFill rotWithShape="1">
          <a:gsLst>
            <a:gs pos="0">
              <a:srgbClr val="4C7BB4"/>
            </a:gs>
            <a:gs pos="100000">
              <a:srgbClr val="87AFD3"/>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14</xdr:row>
      <xdr:rowOff>57150</xdr:rowOff>
    </xdr:from>
    <xdr:to>
      <xdr:col>11</xdr:col>
      <xdr:colOff>123825</xdr:colOff>
      <xdr:row>16</xdr:row>
      <xdr:rowOff>85725</xdr:rowOff>
    </xdr:to>
    <xdr:sp>
      <xdr:nvSpPr>
        <xdr:cNvPr id="19" name="AutoShape 30"/>
        <xdr:cNvSpPr>
          <a:spLocks/>
        </xdr:cNvSpPr>
      </xdr:nvSpPr>
      <xdr:spPr>
        <a:xfrm>
          <a:off x="5695950" y="320040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323850</xdr:colOff>
      <xdr:row>14</xdr:row>
      <xdr:rowOff>104775</xdr:rowOff>
    </xdr:from>
    <xdr:to>
      <xdr:col>11</xdr:col>
      <xdr:colOff>85725</xdr:colOff>
      <xdr:row>16</xdr:row>
      <xdr:rowOff>66675</xdr:rowOff>
    </xdr:to>
    <xdr:sp>
      <xdr:nvSpPr>
        <xdr:cNvPr id="20" name="AutoShape 31">
          <a:hlinkClick r:id="rId7"/>
        </xdr:cNvPr>
        <xdr:cNvSpPr>
          <a:spLocks/>
        </xdr:cNvSpPr>
      </xdr:nvSpPr>
      <xdr:spPr>
        <a:xfrm>
          <a:off x="5734050" y="3248025"/>
          <a:ext cx="1400175" cy="342900"/>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123825</xdr:rowOff>
    </xdr:from>
    <xdr:to>
      <xdr:col>8</xdr:col>
      <xdr:colOff>476250</xdr:colOff>
      <xdr:row>15</xdr:row>
      <xdr:rowOff>104775</xdr:rowOff>
    </xdr:to>
    <xdr:sp>
      <xdr:nvSpPr>
        <xdr:cNvPr id="21" name="Freeform 32"/>
        <xdr:cNvSpPr>
          <a:spLocks/>
        </xdr:cNvSpPr>
      </xdr:nvSpPr>
      <xdr:spPr>
        <a:xfrm>
          <a:off x="5743575" y="326707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15</xdr:row>
      <xdr:rowOff>133350</xdr:rowOff>
    </xdr:from>
    <xdr:to>
      <xdr:col>3</xdr:col>
      <xdr:colOff>495300</xdr:colOff>
      <xdr:row>18</xdr:row>
      <xdr:rowOff>19050</xdr:rowOff>
    </xdr:to>
    <xdr:sp>
      <xdr:nvSpPr>
        <xdr:cNvPr id="22" name="AutoShape 30"/>
        <xdr:cNvSpPr>
          <a:spLocks/>
        </xdr:cNvSpPr>
      </xdr:nvSpPr>
      <xdr:spPr>
        <a:xfrm>
          <a:off x="590550" y="3467100"/>
          <a:ext cx="1504950" cy="457200"/>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180975</xdr:rowOff>
    </xdr:from>
    <xdr:to>
      <xdr:col>3</xdr:col>
      <xdr:colOff>466725</xdr:colOff>
      <xdr:row>17</xdr:row>
      <xdr:rowOff>180975</xdr:rowOff>
    </xdr:to>
    <xdr:sp>
      <xdr:nvSpPr>
        <xdr:cNvPr id="23" name="AutoShape 31">
          <a:hlinkClick r:id="rId8"/>
        </xdr:cNvPr>
        <xdr:cNvSpPr>
          <a:spLocks/>
        </xdr:cNvSpPr>
      </xdr:nvSpPr>
      <xdr:spPr>
        <a:xfrm>
          <a:off x="628650" y="3514725"/>
          <a:ext cx="1438275" cy="3810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10</xdr:row>
      <xdr:rowOff>28575</xdr:rowOff>
    </xdr:from>
    <xdr:to>
      <xdr:col>3</xdr:col>
      <xdr:colOff>495300</xdr:colOff>
      <xdr:row>12</xdr:row>
      <xdr:rowOff>19050</xdr:rowOff>
    </xdr:to>
    <xdr:sp>
      <xdr:nvSpPr>
        <xdr:cNvPr id="25" name="AutoShape 30"/>
        <xdr:cNvSpPr>
          <a:spLocks/>
        </xdr:cNvSpPr>
      </xdr:nvSpPr>
      <xdr:spPr>
        <a:xfrm>
          <a:off x="590550" y="24098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66675</xdr:rowOff>
    </xdr:from>
    <xdr:to>
      <xdr:col>3</xdr:col>
      <xdr:colOff>476250</xdr:colOff>
      <xdr:row>11</xdr:row>
      <xdr:rowOff>180975</xdr:rowOff>
    </xdr:to>
    <xdr:sp>
      <xdr:nvSpPr>
        <xdr:cNvPr id="26" name="AutoShape 31">
          <a:hlinkClick r:id="rId9"/>
        </xdr:cNvPr>
        <xdr:cNvSpPr>
          <a:spLocks/>
        </xdr:cNvSpPr>
      </xdr:nvSpPr>
      <xdr:spPr>
        <a:xfrm>
          <a:off x="628650" y="2447925"/>
          <a:ext cx="1447800"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714375</xdr:colOff>
      <xdr:row>11</xdr:row>
      <xdr:rowOff>57150</xdr:rowOff>
    </xdr:to>
    <xdr:sp>
      <xdr:nvSpPr>
        <xdr:cNvPr id="27" name="Freeform 32"/>
        <xdr:cNvSpPr>
          <a:spLocks/>
        </xdr:cNvSpPr>
      </xdr:nvSpPr>
      <xdr:spPr>
        <a:xfrm>
          <a:off x="647700" y="24669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12</xdr:row>
      <xdr:rowOff>180975</xdr:rowOff>
    </xdr:from>
    <xdr:to>
      <xdr:col>3</xdr:col>
      <xdr:colOff>495300</xdr:colOff>
      <xdr:row>14</xdr:row>
      <xdr:rowOff>171450</xdr:rowOff>
    </xdr:to>
    <xdr:sp>
      <xdr:nvSpPr>
        <xdr:cNvPr id="28" name="AutoShape 30"/>
        <xdr:cNvSpPr>
          <a:spLocks/>
        </xdr:cNvSpPr>
      </xdr:nvSpPr>
      <xdr:spPr>
        <a:xfrm>
          <a:off x="590550" y="29432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476250</xdr:colOff>
      <xdr:row>14</xdr:row>
      <xdr:rowOff>142875</xdr:rowOff>
    </xdr:to>
    <xdr:sp>
      <xdr:nvSpPr>
        <xdr:cNvPr id="29" name="AutoShape 31">
          <a:hlinkClick r:id="rId10"/>
        </xdr:cNvPr>
        <xdr:cNvSpPr>
          <a:spLocks/>
        </xdr:cNvSpPr>
      </xdr:nvSpPr>
      <xdr:spPr>
        <a:xfrm>
          <a:off x="628650" y="2981325"/>
          <a:ext cx="1447800"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714375</xdr:colOff>
      <xdr:row>14</xdr:row>
      <xdr:rowOff>19050</xdr:rowOff>
    </xdr:to>
    <xdr:sp>
      <xdr:nvSpPr>
        <xdr:cNvPr id="30" name="Freeform 32"/>
        <xdr:cNvSpPr>
          <a:spLocks/>
        </xdr:cNvSpPr>
      </xdr:nvSpPr>
      <xdr:spPr>
        <a:xfrm>
          <a:off x="647700" y="30003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66675</xdr:rowOff>
    </xdr:from>
    <xdr:to>
      <xdr:col>4</xdr:col>
      <xdr:colOff>104775</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twoCellAnchor>
    <xdr:from>
      <xdr:col>1</xdr:col>
      <xdr:colOff>323850</xdr:colOff>
      <xdr:row>7</xdr:row>
      <xdr:rowOff>104775</xdr:rowOff>
    </xdr:from>
    <xdr:to>
      <xdr:col>4</xdr:col>
      <xdr:colOff>66675</xdr:colOff>
      <xdr:row>10</xdr:row>
      <xdr:rowOff>0</xdr:rowOff>
    </xdr:to>
    <xdr:sp fLocksText="0">
      <xdr:nvSpPr>
        <xdr:cNvPr id="32" name="Text Box 2013"/>
        <xdr:cNvSpPr txBox="1">
          <a:spLocks noChangeArrowheads="1"/>
        </xdr:cNvSpPr>
      </xdr:nvSpPr>
      <xdr:spPr>
        <a:xfrm>
          <a:off x="400050" y="1914525"/>
          <a:ext cx="2028825"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247650</xdr:colOff>
      <xdr:row>7</xdr:row>
      <xdr:rowOff>66675</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twoCellAnchor>
    <xdr:from>
      <xdr:col>4</xdr:col>
      <xdr:colOff>600075</xdr:colOff>
      <xdr:row>7</xdr:row>
      <xdr:rowOff>104775</xdr:rowOff>
    </xdr:from>
    <xdr:to>
      <xdr:col>7</xdr:col>
      <xdr:colOff>295275</xdr:colOff>
      <xdr:row>9</xdr:row>
      <xdr:rowOff>104775</xdr:rowOff>
    </xdr:to>
    <xdr:sp fLocksText="0">
      <xdr:nvSpPr>
        <xdr:cNvPr id="34" name="Text Box 2017"/>
        <xdr:cNvSpPr txBox="1">
          <a:spLocks noChangeArrowheads="1"/>
        </xdr:cNvSpPr>
      </xdr:nvSpPr>
      <xdr:spPr>
        <a:xfrm>
          <a:off x="2962275" y="1914525"/>
          <a:ext cx="198120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733425</xdr:colOff>
      <xdr:row>7</xdr:row>
      <xdr:rowOff>76200</xdr:rowOff>
    </xdr:from>
    <xdr:to>
      <xdr:col>11</xdr:col>
      <xdr:colOff>409575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81625" y="1885950"/>
          <a:ext cx="2076450" cy="438150"/>
        </a:xfrm>
        <a:prstGeom prst="rect">
          <a:avLst/>
        </a:prstGeom>
        <a:noFill/>
        <a:ln w="9525" cmpd="sng">
          <a:noFill/>
        </a:ln>
      </xdr:spPr>
    </xdr:pic>
    <xdr:clientData/>
  </xdr:twoCellAnchor>
  <xdr:twoCellAnchor>
    <xdr:from>
      <xdr:col>8</xdr:col>
      <xdr:colOff>66675</xdr:colOff>
      <xdr:row>7</xdr:row>
      <xdr:rowOff>104775</xdr:rowOff>
    </xdr:from>
    <xdr:to>
      <xdr:col>11</xdr:col>
      <xdr:colOff>342900</xdr:colOff>
      <xdr:row>9</xdr:row>
      <xdr:rowOff>104775</xdr:rowOff>
    </xdr:to>
    <xdr:sp fLocksText="0">
      <xdr:nvSpPr>
        <xdr:cNvPr id="36" name="Text Box 2019"/>
        <xdr:cNvSpPr txBox="1">
          <a:spLocks noChangeArrowheads="1"/>
        </xdr:cNvSpPr>
      </xdr:nvSpPr>
      <xdr:spPr>
        <a:xfrm>
          <a:off x="5476875" y="1914525"/>
          <a:ext cx="191452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85725</xdr:rowOff>
    </xdr:to>
    <xdr:pic>
      <xdr:nvPicPr>
        <xdr:cNvPr id="1" name="Picture 2"/>
        <xdr:cNvPicPr preferRelativeResize="1">
          <a:picLocks noChangeAspect="1"/>
        </xdr:cNvPicPr>
      </xdr:nvPicPr>
      <xdr:blipFill>
        <a:blip r:embed="rId1"/>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0</xdr:row>
      <xdr:rowOff>428625</xdr:rowOff>
    </xdr:to>
    <xdr:sp>
      <xdr:nvSpPr>
        <xdr:cNvPr id="1" name="AutoShape 50">
          <a:hlinkClick r:id="rId1"/>
        </xdr:cNvPr>
        <xdr:cNvSpPr>
          <a:spLocks/>
        </xdr:cNvSpPr>
      </xdr:nvSpPr>
      <xdr:spPr>
        <a:xfrm>
          <a:off x="28575" y="28575"/>
          <a:ext cx="1276350" cy="40005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53875" y="4743450"/>
          <a:ext cx="0" cy="2314575"/>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0</xdr:row>
      <xdr:rowOff>0</xdr:rowOff>
    </xdr:from>
    <xdr:to>
      <xdr:col>1</xdr:col>
      <xdr:colOff>923925</xdr:colOff>
      <xdr:row>0</xdr:row>
      <xdr:rowOff>333375</xdr:rowOff>
    </xdr:to>
    <xdr:sp>
      <xdr:nvSpPr>
        <xdr:cNvPr id="2" name="AutoShape 50">
          <a:hlinkClick r:id="rId1"/>
        </xdr:cNvPr>
        <xdr:cNvSpPr>
          <a:spLocks/>
        </xdr:cNvSpPr>
      </xdr:nvSpPr>
      <xdr:spPr>
        <a:xfrm>
          <a:off x="17145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47</xdr:row>
      <xdr:rowOff>38100</xdr:rowOff>
    </xdr:from>
    <xdr:to>
      <xdr:col>6</xdr:col>
      <xdr:colOff>971550</xdr:colOff>
      <xdr:row>48</xdr:row>
      <xdr:rowOff>47625</xdr:rowOff>
    </xdr:to>
    <xdr:grpSp>
      <xdr:nvGrpSpPr>
        <xdr:cNvPr id="3" name="Group 18"/>
        <xdr:cNvGrpSpPr>
          <a:grpSpLocks/>
        </xdr:cNvGrpSpPr>
      </xdr:nvGrpSpPr>
      <xdr:grpSpPr>
        <a:xfrm>
          <a:off x="7953375" y="8524875"/>
          <a:ext cx="4829175" cy="200025"/>
          <a:chOff x="16695" y="12750"/>
          <a:chExt cx="10119" cy="298"/>
        </a:xfrm>
        <a:solidFill>
          <a:srgbClr val="FFFFFF"/>
        </a:solidFill>
      </xdr:grpSpPr>
      <xdr:sp>
        <xdr:nvSpPr>
          <xdr:cNvPr id="4" name="AutoShape 100"/>
          <xdr:cNvSpPr>
            <a:spLocks/>
          </xdr:cNvSpPr>
        </xdr:nvSpPr>
        <xdr:spPr>
          <a:xfrm>
            <a:off x="16723" y="13026"/>
            <a:ext cx="10086"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6695" y="12750"/>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6814" y="12775"/>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85725</xdr:colOff>
      <xdr:row>0</xdr:row>
      <xdr:rowOff>38100</xdr:rowOff>
    </xdr:from>
    <xdr:to>
      <xdr:col>0</xdr:col>
      <xdr:colOff>1000125</xdr:colOff>
      <xdr:row>1</xdr:row>
      <xdr:rowOff>114300</xdr:rowOff>
    </xdr:to>
    <xdr:sp>
      <xdr:nvSpPr>
        <xdr:cNvPr id="2" name="AutoShape 50">
          <a:hlinkClick r:id="rId2"/>
        </xdr:cNvPr>
        <xdr:cNvSpPr>
          <a:spLocks/>
        </xdr:cNvSpPr>
      </xdr:nvSpPr>
      <xdr:spPr>
        <a:xfrm>
          <a:off x="85725" y="38100"/>
          <a:ext cx="914400"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19075" y="542925"/>
          <a:ext cx="9906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6</xdr:col>
      <xdr:colOff>19050</xdr:colOff>
      <xdr:row>20</xdr:row>
      <xdr:rowOff>180975</xdr:rowOff>
    </xdr:to>
    <xdr:graphicFrame>
      <xdr:nvGraphicFramePr>
        <xdr:cNvPr id="1" name="Chart 1"/>
        <xdr:cNvGraphicFramePr/>
      </xdr:nvGraphicFramePr>
      <xdr:xfrm>
        <a:off x="257175" y="2457450"/>
        <a:ext cx="4552950" cy="2171700"/>
      </xdr:xfrm>
      <a:graphic>
        <a:graphicData uri="http://schemas.openxmlformats.org/drawingml/2006/chart">
          <c:chart xmlns:c="http://schemas.openxmlformats.org/drawingml/2006/chart" r:id="rId1"/>
        </a:graphicData>
      </a:graphic>
    </xdr:graphicFrame>
    <xdr:clientData/>
  </xdr:twoCellAnchor>
  <xdr:twoCellAnchor>
    <xdr:from>
      <xdr:col>5</xdr:col>
      <xdr:colOff>1524000</xdr:colOff>
      <xdr:row>9</xdr:row>
      <xdr:rowOff>76200</xdr:rowOff>
    </xdr:from>
    <xdr:to>
      <xdr:col>11</xdr:col>
      <xdr:colOff>171450</xdr:colOff>
      <xdr:row>21</xdr:row>
      <xdr:rowOff>38100</xdr:rowOff>
    </xdr:to>
    <xdr:graphicFrame>
      <xdr:nvGraphicFramePr>
        <xdr:cNvPr id="2" name="Chart 2"/>
        <xdr:cNvGraphicFramePr/>
      </xdr:nvGraphicFramePr>
      <xdr:xfrm>
        <a:off x="4448175" y="2428875"/>
        <a:ext cx="4819650" cy="2362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0</xdr:rowOff>
    </xdr:from>
    <xdr:to>
      <xdr:col>5</xdr:col>
      <xdr:colOff>1733550</xdr:colOff>
      <xdr:row>30</xdr:row>
      <xdr:rowOff>38100</xdr:rowOff>
    </xdr:to>
    <xdr:graphicFrame>
      <xdr:nvGraphicFramePr>
        <xdr:cNvPr id="3" name="Chart 3"/>
        <xdr:cNvGraphicFramePr/>
      </xdr:nvGraphicFramePr>
      <xdr:xfrm>
        <a:off x="0" y="5638800"/>
        <a:ext cx="4657725" cy="2019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685800</xdr:colOff>
      <xdr:row>0</xdr:row>
      <xdr:rowOff>333375</xdr:rowOff>
    </xdr:to>
    <xdr:sp>
      <xdr:nvSpPr>
        <xdr:cNvPr id="4" name="AutoShape 50">
          <a:hlinkClick r:id="rId4"/>
        </xdr:cNvPr>
        <xdr:cNvSpPr>
          <a:spLocks/>
        </xdr:cNvSpPr>
      </xdr:nvSpPr>
      <xdr:spPr>
        <a:xfrm>
          <a:off x="0" y="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161925</xdr:rowOff>
    </xdr:from>
    <xdr:to>
      <xdr:col>12</xdr:col>
      <xdr:colOff>219075</xdr:colOff>
      <xdr:row>14</xdr:row>
      <xdr:rowOff>152400</xdr:rowOff>
    </xdr:to>
    <xdr:graphicFrame>
      <xdr:nvGraphicFramePr>
        <xdr:cNvPr id="1" name="Chart 1"/>
        <xdr:cNvGraphicFramePr/>
      </xdr:nvGraphicFramePr>
      <xdr:xfrm>
        <a:off x="5705475" y="1924050"/>
        <a:ext cx="4981575"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6</xdr:col>
      <xdr:colOff>0</xdr:colOff>
      <xdr:row>25</xdr:row>
      <xdr:rowOff>28575</xdr:rowOff>
    </xdr:to>
    <xdr:graphicFrame>
      <xdr:nvGraphicFramePr>
        <xdr:cNvPr id="2" name="Chart 2"/>
        <xdr:cNvGraphicFramePr/>
      </xdr:nvGraphicFramePr>
      <xdr:xfrm>
        <a:off x="285750" y="3724275"/>
        <a:ext cx="4143375" cy="1838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19050</xdr:rowOff>
    </xdr:from>
    <xdr:to>
      <xdr:col>6</xdr:col>
      <xdr:colOff>95250</xdr:colOff>
      <xdr:row>14</xdr:row>
      <xdr:rowOff>247650</xdr:rowOff>
    </xdr:to>
    <xdr:graphicFrame>
      <xdr:nvGraphicFramePr>
        <xdr:cNvPr id="3" name="Chart 3"/>
        <xdr:cNvGraphicFramePr/>
      </xdr:nvGraphicFramePr>
      <xdr:xfrm>
        <a:off x="0" y="1962150"/>
        <a:ext cx="4524375" cy="1371600"/>
      </xdr:xfrm>
      <a:graphic>
        <a:graphicData uri="http://schemas.openxmlformats.org/drawingml/2006/chart">
          <c:chart xmlns:c="http://schemas.openxmlformats.org/drawingml/2006/chart" r:id="rId3"/>
        </a:graphicData>
      </a:graphic>
    </xdr:graphicFrame>
    <xdr:clientData/>
  </xdr:twoCellAnchor>
  <xdr:twoCellAnchor>
    <xdr:from>
      <xdr:col>6</xdr:col>
      <xdr:colOff>1123950</xdr:colOff>
      <xdr:row>16</xdr:row>
      <xdr:rowOff>9525</xdr:rowOff>
    </xdr:from>
    <xdr:to>
      <xdr:col>13</xdr:col>
      <xdr:colOff>219075</xdr:colOff>
      <xdr:row>25</xdr:row>
      <xdr:rowOff>47625</xdr:rowOff>
    </xdr:to>
    <xdr:graphicFrame>
      <xdr:nvGraphicFramePr>
        <xdr:cNvPr id="4" name="Chart 4"/>
        <xdr:cNvGraphicFramePr/>
      </xdr:nvGraphicFramePr>
      <xdr:xfrm>
        <a:off x="5553075" y="3733800"/>
        <a:ext cx="5743575" cy="184785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6</xdr:col>
      <xdr:colOff>114300</xdr:colOff>
      <xdr:row>33</xdr:row>
      <xdr:rowOff>238125</xdr:rowOff>
    </xdr:to>
    <xdr:graphicFrame>
      <xdr:nvGraphicFramePr>
        <xdr:cNvPr id="5" name="Chart 5"/>
        <xdr:cNvGraphicFramePr/>
      </xdr:nvGraphicFramePr>
      <xdr:xfrm>
        <a:off x="209550" y="6115050"/>
        <a:ext cx="4333875" cy="24669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144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142875</xdr:rowOff>
    </xdr:from>
    <xdr:to>
      <xdr:col>12</xdr:col>
      <xdr:colOff>238125</xdr:colOff>
      <xdr:row>18</xdr:row>
      <xdr:rowOff>19050</xdr:rowOff>
    </xdr:to>
    <xdr:graphicFrame>
      <xdr:nvGraphicFramePr>
        <xdr:cNvPr id="1" name="Chart 1"/>
        <xdr:cNvGraphicFramePr/>
      </xdr:nvGraphicFramePr>
      <xdr:xfrm>
        <a:off x="4400550" y="2724150"/>
        <a:ext cx="4000500" cy="1838325"/>
      </xdr:xfrm>
      <a:graphic>
        <a:graphicData uri="http://schemas.openxmlformats.org/drawingml/2006/chart">
          <c:chart xmlns:c="http://schemas.openxmlformats.org/drawingml/2006/chart" r:id="rId1"/>
        </a:graphicData>
      </a:graphic>
    </xdr:graphicFrame>
    <xdr:clientData/>
  </xdr:twoCellAnchor>
  <xdr:twoCellAnchor>
    <xdr:from>
      <xdr:col>12</xdr:col>
      <xdr:colOff>676275</xdr:colOff>
      <xdr:row>9</xdr:row>
      <xdr:rowOff>200025</xdr:rowOff>
    </xdr:from>
    <xdr:to>
      <xdr:col>19</xdr:col>
      <xdr:colOff>171450</xdr:colOff>
      <xdr:row>18</xdr:row>
      <xdr:rowOff>57150</xdr:rowOff>
    </xdr:to>
    <xdr:graphicFrame>
      <xdr:nvGraphicFramePr>
        <xdr:cNvPr id="2" name="Chart 2"/>
        <xdr:cNvGraphicFramePr/>
      </xdr:nvGraphicFramePr>
      <xdr:xfrm>
        <a:off x="8839200" y="2781300"/>
        <a:ext cx="6086475" cy="1819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904875</xdr:colOff>
      <xdr:row>1</xdr:row>
      <xdr:rowOff>19050</xdr:rowOff>
    </xdr:to>
    <xdr:sp>
      <xdr:nvSpPr>
        <xdr:cNvPr id="3" name="AutoShape 50">
          <a:hlinkClick r:id="rId3"/>
        </xdr:cNvPr>
        <xdr:cNvSpPr>
          <a:spLocks/>
        </xdr:cNvSpPr>
      </xdr:nvSpPr>
      <xdr:spPr>
        <a:xfrm>
          <a:off x="28575" y="19050"/>
          <a:ext cx="9048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2695575"/>
        <a:ext cx="3962400" cy="18383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885825</xdr:colOff>
      <xdr:row>0</xdr:row>
      <xdr:rowOff>381000</xdr:rowOff>
    </xdr:to>
    <xdr:sp>
      <xdr:nvSpPr>
        <xdr:cNvPr id="1" name="AutoShape 50">
          <a:hlinkClick r:id="rId1"/>
        </xdr:cNvPr>
        <xdr:cNvSpPr>
          <a:spLocks/>
        </xdr:cNvSpPr>
      </xdr:nvSpPr>
      <xdr:spPr>
        <a:xfrm>
          <a:off x="47625" y="47625"/>
          <a:ext cx="9144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685800</xdr:colOff>
      <xdr:row>0</xdr:row>
      <xdr:rowOff>352425</xdr:rowOff>
    </xdr:to>
    <xdr:sp>
      <xdr:nvSpPr>
        <xdr:cNvPr id="1" name="AutoShape 50">
          <a:hlinkClick r:id="rId1"/>
        </xdr:cNvPr>
        <xdr:cNvSpPr>
          <a:spLocks/>
        </xdr:cNvSpPr>
      </xdr:nvSpPr>
      <xdr:spPr>
        <a:xfrm>
          <a:off x="28575" y="28575"/>
          <a:ext cx="933450"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1">
        <row r="6">
          <cell r="B6" t="str">
            <v>Subvención nº:</v>
          </cell>
          <cell r="C6" t="str">
            <v>FIC-910-G01-H</v>
          </cell>
        </row>
      </sheetData>
      <sheetData sheetId="2">
        <row r="3">
          <cell r="B3" t="str">
            <v>Tablero de mando:  Ficticia - VIH / SIDA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80" zoomScaleNormal="80" zoomScalePageLayoutView="0" workbookViewId="0" topLeftCell="A1">
      <selection activeCell="A1" sqref="A1"/>
    </sheetView>
  </sheetViews>
  <sheetFormatPr defaultColWidth="9.140625" defaultRowHeight="15"/>
  <cols>
    <col min="1" max="1" width="1.1484375" style="0" customWidth="1"/>
    <col min="2" max="10" width="11.421875" style="0" customWidth="1"/>
    <col min="11" max="11" width="1.7109375" style="0" customWidth="1"/>
  </cols>
  <sheetData>
    <row r="1" ht="25.5" customHeight="1"/>
    <row r="2" spans="2:15" ht="36">
      <c r="B2" s="480" t="str">
        <f>+'[1]Información de la subvención'!B3:J3</f>
        <v>Tablero de mando:  Ficticia - VIH / SIDA</v>
      </c>
      <c r="C2" s="480"/>
      <c r="D2" s="480"/>
      <c r="E2" s="480"/>
      <c r="F2" s="480"/>
      <c r="G2" s="480"/>
      <c r="H2" s="480"/>
      <c r="I2" s="480"/>
      <c r="J2" s="480"/>
      <c r="K2" s="480"/>
      <c r="L2" s="480"/>
      <c r="M2" s="1"/>
      <c r="N2" s="1"/>
      <c r="O2" s="1"/>
    </row>
    <row r="4" spans="2:12" ht="21">
      <c r="B4" s="481" t="str">
        <f>+'Introducción de datos'!G6&amp;"  "&amp;+'Introducción de datos'!G8&amp;",  "&amp;+'Introducción de datos'!I8</f>
        <v>VIH / SIDA  Seleccionar,  Seleccionar</v>
      </c>
      <c r="C4" s="481"/>
      <c r="D4" s="481"/>
      <c r="E4" s="481"/>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1">
      <selection activeCell="O16" sqref="O16"/>
    </sheetView>
  </sheetViews>
  <sheetFormatPr defaultColWidth="9.14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623" t="str">
        <f>+"Cuadro de mando:  "&amp;"  "&amp;+'Introducción de datos'!C4&amp;" - "&amp;'Introducción de datos'!G6</f>
        <v>Cuadro de mando:    El Salvador - VIH / SIDA</v>
      </c>
      <c r="C2" s="623"/>
      <c r="D2" s="623"/>
      <c r="E2" s="623"/>
      <c r="F2" s="623"/>
      <c r="G2" s="623"/>
      <c r="H2" s="623"/>
      <c r="I2" s="623"/>
      <c r="J2" s="623"/>
      <c r="K2" s="623"/>
      <c r="L2" s="623"/>
    </row>
    <row r="3" spans="2:13" ht="15">
      <c r="B3" s="298" t="str">
        <f>+'Introducción de datos'!G8</f>
        <v>Seleccionar</v>
      </c>
      <c r="C3" s="624" t="str">
        <f>+'Introducción de datos'!I8</f>
        <v>Seleccionar</v>
      </c>
      <c r="D3" s="624"/>
      <c r="E3" s="621"/>
      <c r="F3" s="621"/>
      <c r="G3" s="621"/>
      <c r="H3" s="621"/>
      <c r="I3" s="621"/>
      <c r="J3" s="622" t="str">
        <f>+'Introducción de datos'!B16</f>
        <v>Periodo:</v>
      </c>
      <c r="K3" s="622"/>
      <c r="L3" s="324" t="str">
        <f>+'Introducción de datos'!C16</f>
        <v>P1</v>
      </c>
      <c r="M3" s="402"/>
    </row>
    <row r="4" spans="2:12" ht="15">
      <c r="B4" s="298" t="str">
        <f>+'Introducción de datos'!B12</f>
        <v>Ultima calificación:</v>
      </c>
      <c r="C4" s="715" t="str">
        <f>+'Introducción de datos'!C12</f>
        <v>Seleccionar</v>
      </c>
      <c r="D4" s="715"/>
      <c r="E4" s="621" t="str">
        <f>+'Introducción de datos'!C8</f>
        <v>PLAN  INTERNACIONAL</v>
      </c>
      <c r="F4" s="621"/>
      <c r="G4" s="621"/>
      <c r="H4" s="621"/>
      <c r="I4" s="621"/>
      <c r="J4" s="622" t="str">
        <f>+'Introducción de datos'!D16</f>
        <v>Desde:</v>
      </c>
      <c r="K4" s="622"/>
      <c r="L4" s="273">
        <f>+'Introducción de datos'!E16</f>
        <v>41640</v>
      </c>
    </row>
    <row r="5" spans="2:12" ht="18.75" customHeight="1">
      <c r="B5" s="298"/>
      <c r="C5" s="298"/>
      <c r="D5" s="621" t="str">
        <f>+'Introducción de datos'!G4</f>
        <v>INNOVANDO SERVICIOS, REDUCIENDO RIESGOS, RENOVANDO VIDAS EN EL SALVADOR</v>
      </c>
      <c r="E5" s="621"/>
      <c r="F5" s="621"/>
      <c r="G5" s="621"/>
      <c r="H5" s="621"/>
      <c r="I5" s="621"/>
      <c r="J5" s="621"/>
      <c r="K5" s="298" t="str">
        <f>+'Introducción de datos'!F16</f>
        <v>Hasta:</v>
      </c>
      <c r="L5" s="273">
        <f>+'Introducción de datos'!G16</f>
        <v>41820</v>
      </c>
    </row>
    <row r="6" spans="2:9" ht="18.75">
      <c r="B6" s="299"/>
      <c r="C6" s="298"/>
      <c r="D6" s="275"/>
      <c r="E6" s="625" t="s">
        <v>24</v>
      </c>
      <c r="F6" s="625"/>
      <c r="G6" s="625"/>
      <c r="H6" s="625"/>
      <c r="I6" s="625"/>
    </row>
    <row r="7" spans="5:9" ht="18.75">
      <c r="E7" s="403"/>
      <c r="F7" s="403"/>
      <c r="G7" s="403"/>
      <c r="H7" s="403"/>
      <c r="I7" s="403"/>
    </row>
    <row r="8" spans="2:12" s="352" customFormat="1" ht="21" customHeight="1">
      <c r="B8" s="404" t="s">
        <v>25</v>
      </c>
      <c r="C8" s="405"/>
      <c r="D8" s="405"/>
      <c r="E8" s="405"/>
      <c r="F8" s="405"/>
      <c r="G8" s="405"/>
      <c r="H8" s="405"/>
      <c r="I8" s="405"/>
      <c r="J8" s="405"/>
      <c r="K8" s="405"/>
      <c r="L8" s="405"/>
    </row>
    <row r="9" ht="6" customHeight="1">
      <c r="B9" s="406"/>
    </row>
    <row r="10" spans="2:12" ht="15">
      <c r="B10" s="714"/>
      <c r="C10" s="714"/>
      <c r="D10" s="714"/>
      <c r="E10" s="714"/>
      <c r="F10" s="714"/>
      <c r="G10" s="714"/>
      <c r="H10" s="714"/>
      <c r="I10" s="714"/>
      <c r="J10" s="714"/>
      <c r="K10" s="714"/>
      <c r="L10" s="714"/>
    </row>
    <row r="11" spans="2:12" ht="15">
      <c r="B11" s="714"/>
      <c r="C11" s="714"/>
      <c r="D11" s="714"/>
      <c r="E11" s="714"/>
      <c r="F11" s="714"/>
      <c r="G11" s="714"/>
      <c r="H11" s="714"/>
      <c r="I11" s="714"/>
      <c r="J11" s="714"/>
      <c r="K11" s="714"/>
      <c r="L11" s="714"/>
    </row>
    <row r="13" spans="1:12" ht="42" customHeight="1">
      <c r="A13" s="407"/>
      <c r="B13" s="692" t="s">
        <v>26</v>
      </c>
      <c r="C13" s="692"/>
      <c r="D13" s="692"/>
      <c r="E13" s="692"/>
      <c r="F13" s="408"/>
      <c r="G13" s="693" t="s">
        <v>27</v>
      </c>
      <c r="H13" s="693"/>
      <c r="I13" s="693"/>
      <c r="J13" s="409" t="s">
        <v>28</v>
      </c>
      <c r="K13" s="694" t="s">
        <v>29</v>
      </c>
      <c r="L13" s="694"/>
    </row>
    <row r="14" spans="1:12" ht="33.75" customHeight="1">
      <c r="A14" s="695" t="s">
        <v>222</v>
      </c>
      <c r="B14" s="706"/>
      <c r="C14" s="706"/>
      <c r="D14" s="706"/>
      <c r="E14" s="706"/>
      <c r="F14" s="84"/>
      <c r="G14" s="711"/>
      <c r="H14" s="711"/>
      <c r="I14" s="711"/>
      <c r="J14" s="712"/>
      <c r="K14" s="708"/>
      <c r="L14" s="708"/>
    </row>
    <row r="15" spans="1:12" ht="39" customHeight="1">
      <c r="A15" s="695"/>
      <c r="B15" s="706"/>
      <c r="C15" s="706"/>
      <c r="D15" s="706"/>
      <c r="E15" s="706"/>
      <c r="F15" s="84"/>
      <c r="G15" s="711"/>
      <c r="H15" s="711"/>
      <c r="I15" s="711"/>
      <c r="J15" s="712"/>
      <c r="K15" s="708"/>
      <c r="L15" s="708"/>
    </row>
    <row r="16" spans="1:12" ht="25.5" customHeight="1">
      <c r="A16" s="695"/>
      <c r="B16" s="706"/>
      <c r="C16" s="706"/>
      <c r="D16" s="706"/>
      <c r="E16" s="706"/>
      <c r="F16" s="84"/>
      <c r="G16" s="709"/>
      <c r="H16" s="709"/>
      <c r="I16" s="709"/>
      <c r="J16" s="710"/>
      <c r="K16" s="700"/>
      <c r="L16" s="700"/>
    </row>
    <row r="17" spans="1:12" ht="24" customHeight="1">
      <c r="A17" s="695"/>
      <c r="B17" s="706"/>
      <c r="C17" s="706"/>
      <c r="D17" s="706"/>
      <c r="E17" s="706"/>
      <c r="F17" s="84"/>
      <c r="G17" s="709"/>
      <c r="H17" s="709"/>
      <c r="I17" s="709"/>
      <c r="J17" s="710"/>
      <c r="K17" s="700"/>
      <c r="L17" s="700"/>
    </row>
    <row r="18" spans="1:12" ht="15">
      <c r="A18" s="695"/>
      <c r="B18" s="706"/>
      <c r="C18" s="706"/>
      <c r="D18" s="706"/>
      <c r="E18" s="706"/>
      <c r="F18" s="84"/>
      <c r="G18" s="713"/>
      <c r="H18" s="713"/>
      <c r="I18" s="713"/>
      <c r="J18" s="701"/>
      <c r="K18" s="700"/>
      <c r="L18" s="700"/>
    </row>
    <row r="19" spans="1:12" ht="30.75" customHeight="1">
      <c r="A19" s="695"/>
      <c r="B19" s="706"/>
      <c r="C19" s="706"/>
      <c r="D19" s="706"/>
      <c r="E19" s="706"/>
      <c r="F19" s="84"/>
      <c r="G19" s="713"/>
      <c r="H19" s="713"/>
      <c r="I19" s="713"/>
      <c r="J19" s="701"/>
      <c r="K19" s="701"/>
      <c r="L19" s="700"/>
    </row>
    <row r="20" spans="1:12" ht="15">
      <c r="A20" s="695"/>
      <c r="B20" s="706"/>
      <c r="C20" s="706"/>
      <c r="D20" s="706"/>
      <c r="E20" s="706"/>
      <c r="F20" s="84"/>
      <c r="G20" s="707"/>
      <c r="H20" s="707"/>
      <c r="I20" s="707"/>
      <c r="J20" s="701"/>
      <c r="K20" s="700"/>
      <c r="L20" s="700"/>
    </row>
    <row r="21" spans="1:12" ht="15">
      <c r="A21" s="695"/>
      <c r="B21" s="706"/>
      <c r="C21" s="706"/>
      <c r="D21" s="706"/>
      <c r="E21" s="706"/>
      <c r="F21" s="84"/>
      <c r="G21" s="707"/>
      <c r="H21" s="707"/>
      <c r="I21" s="707"/>
      <c r="J21" s="701"/>
      <c r="K21" s="701"/>
      <c r="L21" s="700"/>
    </row>
    <row r="22" spans="1:12" ht="15">
      <c r="A22" s="695"/>
      <c r="B22" s="706"/>
      <c r="C22" s="706"/>
      <c r="D22" s="706"/>
      <c r="E22" s="706"/>
      <c r="F22" s="84"/>
      <c r="G22" s="707"/>
      <c r="H22" s="707"/>
      <c r="I22" s="707"/>
      <c r="J22" s="701"/>
      <c r="K22" s="700"/>
      <c r="L22" s="700"/>
    </row>
    <row r="23" spans="1:12" ht="15">
      <c r="A23" s="695"/>
      <c r="B23" s="706"/>
      <c r="C23" s="706"/>
      <c r="D23" s="706"/>
      <c r="E23" s="706"/>
      <c r="F23" s="84"/>
      <c r="G23" s="707"/>
      <c r="H23" s="707"/>
      <c r="I23" s="707"/>
      <c r="J23" s="701"/>
      <c r="K23" s="701"/>
      <c r="L23" s="700"/>
    </row>
    <row r="24" spans="1:12" ht="15">
      <c r="A24" s="695"/>
      <c r="B24" s="702"/>
      <c r="C24" s="702"/>
      <c r="D24" s="702"/>
      <c r="E24" s="702"/>
      <c r="F24" s="84"/>
      <c r="G24" s="703"/>
      <c r="H24" s="703"/>
      <c r="I24" s="703"/>
      <c r="J24" s="704"/>
      <c r="K24" s="705"/>
      <c r="L24" s="705"/>
    </row>
    <row r="25" spans="1:12" ht="15">
      <c r="A25" s="695"/>
      <c r="B25" s="702"/>
      <c r="C25" s="702"/>
      <c r="D25" s="702"/>
      <c r="E25" s="702"/>
      <c r="F25" s="84"/>
      <c r="G25" s="703"/>
      <c r="H25" s="703"/>
      <c r="I25" s="703"/>
      <c r="J25" s="704"/>
      <c r="K25" s="704"/>
      <c r="L25" s="705"/>
    </row>
    <row r="26" spans="1:12" ht="15">
      <c r="A26" s="407"/>
      <c r="B26" s="407"/>
      <c r="C26" s="407"/>
      <c r="D26" s="407"/>
      <c r="E26" s="407"/>
      <c r="F26" s="407"/>
      <c r="G26" s="407"/>
      <c r="H26" s="407"/>
      <c r="I26" s="407"/>
      <c r="J26" s="407"/>
      <c r="K26" s="407"/>
      <c r="L26" s="407"/>
    </row>
    <row r="27" spans="1:12" ht="18.75">
      <c r="A27" s="407"/>
      <c r="B27" s="407"/>
      <c r="C27" s="407"/>
      <c r="D27" s="407"/>
      <c r="E27" s="410" t="s">
        <v>30</v>
      </c>
      <c r="F27" s="411"/>
      <c r="G27" s="411"/>
      <c r="H27" s="411"/>
      <c r="I27" s="411"/>
      <c r="J27" s="407"/>
      <c r="K27" s="407"/>
      <c r="L27" s="407"/>
    </row>
    <row r="28" spans="1:12" ht="6" customHeight="1">
      <c r="A28" s="407"/>
      <c r="B28" s="407"/>
      <c r="C28" s="407"/>
      <c r="D28" s="407"/>
      <c r="E28" s="412"/>
      <c r="F28" s="412"/>
      <c r="G28" s="412"/>
      <c r="H28" s="412"/>
      <c r="I28" s="412"/>
      <c r="J28" s="407"/>
      <c r="K28" s="407"/>
      <c r="L28" s="407"/>
    </row>
    <row r="29" spans="1:12" s="352" customFormat="1" ht="21" customHeight="1">
      <c r="A29" s="413"/>
      <c r="B29" s="404" t="s">
        <v>31</v>
      </c>
      <c r="C29" s="414"/>
      <c r="D29" s="414"/>
      <c r="E29" s="414"/>
      <c r="F29" s="414"/>
      <c r="G29" s="414"/>
      <c r="H29" s="414"/>
      <c r="I29" s="414"/>
      <c r="J29" s="414"/>
      <c r="K29" s="414"/>
      <c r="L29" s="414"/>
    </row>
    <row r="30" spans="1:12" ht="6" customHeight="1">
      <c r="A30" s="407"/>
      <c r="B30" s="415"/>
      <c r="C30" s="407"/>
      <c r="D30" s="407"/>
      <c r="E30" s="407"/>
      <c r="F30" s="407"/>
      <c r="G30" s="407"/>
      <c r="H30" s="407"/>
      <c r="I30" s="407"/>
      <c r="J30" s="407"/>
      <c r="K30" s="407"/>
      <c r="L30" s="407"/>
    </row>
    <row r="31" spans="1:12" ht="45" customHeight="1">
      <c r="A31" s="407"/>
      <c r="B31" s="692" t="s">
        <v>27</v>
      </c>
      <c r="C31" s="692"/>
      <c r="D31" s="692"/>
      <c r="E31" s="692"/>
      <c r="F31" s="408"/>
      <c r="G31" s="693" t="s">
        <v>32</v>
      </c>
      <c r="H31" s="693"/>
      <c r="I31" s="693"/>
      <c r="J31" s="409" t="s">
        <v>28</v>
      </c>
      <c r="K31" s="694" t="s">
        <v>29</v>
      </c>
      <c r="L31" s="694"/>
    </row>
    <row r="32" spans="1:12" ht="18.75" customHeight="1">
      <c r="A32" s="695" t="s">
        <v>33</v>
      </c>
      <c r="B32" s="696"/>
      <c r="C32" s="696"/>
      <c r="D32" s="696"/>
      <c r="E32" s="696"/>
      <c r="F32" s="84"/>
      <c r="G32" s="697"/>
      <c r="H32" s="697"/>
      <c r="I32" s="697"/>
      <c r="J32" s="698"/>
      <c r="K32" s="699"/>
      <c r="L32" s="699"/>
    </row>
    <row r="33" spans="1:12" ht="18.75" customHeight="1">
      <c r="A33" s="695"/>
      <c r="B33" s="696"/>
      <c r="C33" s="696"/>
      <c r="D33" s="696"/>
      <c r="E33" s="696"/>
      <c r="F33" s="84"/>
      <c r="G33" s="697"/>
      <c r="H33" s="697"/>
      <c r="I33" s="697"/>
      <c r="J33" s="698"/>
      <c r="K33" s="698"/>
      <c r="L33" s="699"/>
    </row>
    <row r="34" spans="1:12" ht="18.75" customHeight="1">
      <c r="A34" s="695"/>
      <c r="B34" s="688">
        <f>IF(Recomendaciones!I43="","",Recomendaciones!I43)</f>
      </c>
      <c r="C34" s="688"/>
      <c r="D34" s="688"/>
      <c r="E34" s="688"/>
      <c r="F34" s="84"/>
      <c r="G34" s="689"/>
      <c r="H34" s="689"/>
      <c r="I34" s="689"/>
      <c r="J34" s="690"/>
      <c r="K34" s="691"/>
      <c r="L34" s="691"/>
    </row>
    <row r="35" spans="1:12" ht="18.75" customHeight="1">
      <c r="A35" s="695"/>
      <c r="B35" s="688"/>
      <c r="C35" s="688"/>
      <c r="D35" s="688"/>
      <c r="E35" s="688"/>
      <c r="F35" s="84"/>
      <c r="G35" s="689"/>
      <c r="H35" s="689"/>
      <c r="I35" s="689"/>
      <c r="J35" s="690"/>
      <c r="K35" s="690"/>
      <c r="L35" s="691"/>
    </row>
    <row r="36" spans="1:12" ht="18.75" customHeight="1">
      <c r="A36" s="695"/>
      <c r="B36" s="688">
        <f>+IF(Recomendaciones!I53="","",Recomendaciones!I53)</f>
      </c>
      <c r="C36" s="688"/>
      <c r="D36" s="688"/>
      <c r="E36" s="688"/>
      <c r="F36" s="84"/>
      <c r="G36" s="689"/>
      <c r="H36" s="689"/>
      <c r="I36" s="689"/>
      <c r="J36" s="690"/>
      <c r="K36" s="691"/>
      <c r="L36" s="691"/>
    </row>
    <row r="37" spans="1:12" ht="18.75" customHeight="1">
      <c r="A37" s="695"/>
      <c r="B37" s="688"/>
      <c r="C37" s="688"/>
      <c r="D37" s="688"/>
      <c r="E37" s="688"/>
      <c r="F37" s="84"/>
      <c r="G37" s="689"/>
      <c r="H37" s="689"/>
      <c r="I37" s="689"/>
      <c r="J37" s="690"/>
      <c r="K37" s="690"/>
      <c r="L37" s="691"/>
    </row>
    <row r="38" spans="1:12" ht="18.75" customHeight="1">
      <c r="A38" s="695"/>
      <c r="B38" s="688"/>
      <c r="C38" s="688"/>
      <c r="D38" s="688"/>
      <c r="E38" s="688"/>
      <c r="F38" s="84"/>
      <c r="G38" s="689"/>
      <c r="H38" s="689"/>
      <c r="I38" s="689"/>
      <c r="J38" s="690"/>
      <c r="K38" s="691"/>
      <c r="L38" s="691"/>
    </row>
    <row r="39" spans="1:12" ht="18.75" customHeight="1">
      <c r="A39" s="695"/>
      <c r="B39" s="688"/>
      <c r="C39" s="688"/>
      <c r="D39" s="688"/>
      <c r="E39" s="688"/>
      <c r="F39" s="84"/>
      <c r="G39" s="689"/>
      <c r="H39" s="689"/>
      <c r="I39" s="689"/>
      <c r="J39" s="690"/>
      <c r="K39" s="690"/>
      <c r="L39" s="691"/>
    </row>
    <row r="40" spans="1:12" ht="18.75" customHeight="1">
      <c r="A40" s="695"/>
      <c r="B40" s="688"/>
      <c r="C40" s="688"/>
      <c r="D40" s="688"/>
      <c r="E40" s="688"/>
      <c r="F40" s="84"/>
      <c r="G40" s="689"/>
      <c r="H40" s="689"/>
      <c r="I40" s="689"/>
      <c r="J40" s="690"/>
      <c r="K40" s="691"/>
      <c r="L40" s="691"/>
    </row>
    <row r="41" spans="1:12" ht="18.75" customHeight="1">
      <c r="A41" s="695"/>
      <c r="B41" s="688"/>
      <c r="C41" s="688"/>
      <c r="D41" s="688"/>
      <c r="E41" s="688"/>
      <c r="F41" s="84"/>
      <c r="G41" s="689"/>
      <c r="H41" s="689"/>
      <c r="I41" s="689"/>
      <c r="J41" s="690"/>
      <c r="K41" s="690"/>
      <c r="L41" s="691"/>
    </row>
    <row r="42" spans="1:12" ht="18.75" customHeight="1">
      <c r="A42" s="695"/>
      <c r="B42" s="684"/>
      <c r="C42" s="684"/>
      <c r="D42" s="684"/>
      <c r="E42" s="684"/>
      <c r="F42" s="84"/>
      <c r="G42" s="685"/>
      <c r="H42" s="685"/>
      <c r="I42" s="685"/>
      <c r="J42" s="686"/>
      <c r="K42" s="687"/>
      <c r="L42" s="687"/>
    </row>
    <row r="43" spans="1:12" ht="18.75" customHeight="1">
      <c r="A43" s="695"/>
      <c r="B43" s="684"/>
      <c r="C43" s="684"/>
      <c r="D43" s="684"/>
      <c r="E43" s="684"/>
      <c r="F43" s="84"/>
      <c r="G43" s="685"/>
      <c r="H43" s="685"/>
      <c r="I43" s="685"/>
      <c r="J43" s="686"/>
      <c r="K43" s="686"/>
      <c r="L43" s="687"/>
    </row>
  </sheetData>
  <sheetProtection selectLockedCells="1" selectUnlockedCells="1"/>
  <mergeCells count="66">
    <mergeCell ref="C4:D4"/>
    <mergeCell ref="E4:I4"/>
    <mergeCell ref="J4:K4"/>
    <mergeCell ref="D5:J5"/>
    <mergeCell ref="B2:L2"/>
    <mergeCell ref="C3:D3"/>
    <mergeCell ref="E3:I3"/>
    <mergeCell ref="J3:K3"/>
    <mergeCell ref="G18:I19"/>
    <mergeCell ref="J18:J19"/>
    <mergeCell ref="B22:E23"/>
    <mergeCell ref="G22:I23"/>
    <mergeCell ref="J22:J23"/>
    <mergeCell ref="E6:I6"/>
    <mergeCell ref="B10:L11"/>
    <mergeCell ref="B13:E13"/>
    <mergeCell ref="G13:I13"/>
    <mergeCell ref="K13:L13"/>
    <mergeCell ref="K14:L15"/>
    <mergeCell ref="B16:E17"/>
    <mergeCell ref="G16:I17"/>
    <mergeCell ref="J16:J17"/>
    <mergeCell ref="K16:L17"/>
    <mergeCell ref="A14:A25"/>
    <mergeCell ref="B14:E15"/>
    <mergeCell ref="G14:I15"/>
    <mergeCell ref="J14:J15"/>
    <mergeCell ref="B18:E19"/>
    <mergeCell ref="K22:L23"/>
    <mergeCell ref="B24:E25"/>
    <mergeCell ref="G24:I25"/>
    <mergeCell ref="J24:J25"/>
    <mergeCell ref="K24:L25"/>
    <mergeCell ref="K18:L19"/>
    <mergeCell ref="B20:E21"/>
    <mergeCell ref="G20:I21"/>
    <mergeCell ref="J20:J21"/>
    <mergeCell ref="K20:L21"/>
    <mergeCell ref="B31:E31"/>
    <mergeCell ref="G31:I31"/>
    <mergeCell ref="K31:L31"/>
    <mergeCell ref="A32:A43"/>
    <mergeCell ref="B32:E33"/>
    <mergeCell ref="G32:I33"/>
    <mergeCell ref="J32:J33"/>
    <mergeCell ref="K32:L33"/>
    <mergeCell ref="B34:E35"/>
    <mergeCell ref="G34:I35"/>
    <mergeCell ref="B38:E39"/>
    <mergeCell ref="G38:I39"/>
    <mergeCell ref="J38:J39"/>
    <mergeCell ref="K38:L39"/>
    <mergeCell ref="J34:J35"/>
    <mergeCell ref="K34:L35"/>
    <mergeCell ref="B36:E37"/>
    <mergeCell ref="G36:I37"/>
    <mergeCell ref="J36:J37"/>
    <mergeCell ref="K36:L37"/>
    <mergeCell ref="B42:E43"/>
    <mergeCell ref="G42:I43"/>
    <mergeCell ref="J42:J43"/>
    <mergeCell ref="K42:L43"/>
    <mergeCell ref="B40:E41"/>
    <mergeCell ref="G40:I41"/>
    <mergeCell ref="J40:J41"/>
    <mergeCell ref="K40:L41"/>
  </mergeCells>
  <conditionalFormatting sqref="C4:D4">
    <cfRule type="cellIs" priority="1" dxfId="51" operator="equal" stopIfTrue="1">
      <formula>"C"</formula>
    </cfRule>
    <cfRule type="cellIs" priority="2" dxfId="46" operator="equal" stopIfTrue="1">
      <formula>"B2"</formula>
    </cfRule>
    <cfRule type="cellIs" priority="3" dxfId="47"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xl/worksheets/sheet11.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H21"/>
    </sheetView>
  </sheetViews>
  <sheetFormatPr defaultColWidth="9.14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716" t="str">
        <f>'Información de la subvención'!B3:J3</f>
        <v>Tablero de mando:  El Salvador - VIH / SIDA</v>
      </c>
      <c r="C3" s="716"/>
      <c r="D3" s="716"/>
      <c r="E3" s="716"/>
      <c r="F3" s="716"/>
      <c r="G3" s="716"/>
      <c r="H3" s="716"/>
      <c r="I3" s="268"/>
    </row>
    <row r="6" spans="2:8" ht="18.75">
      <c r="B6" s="717" t="s">
        <v>34</v>
      </c>
      <c r="C6" s="717"/>
      <c r="D6" s="717"/>
      <c r="E6" s="717"/>
      <c r="F6" s="717"/>
      <c r="G6" s="717"/>
      <c r="H6" s="717"/>
    </row>
    <row r="8" spans="2:15" ht="18.75">
      <c r="B8" s="416" t="s">
        <v>35</v>
      </c>
      <c r="C8" s="416" t="s">
        <v>36</v>
      </c>
      <c r="D8" s="416" t="s">
        <v>37</v>
      </c>
      <c r="E8" s="416" t="s">
        <v>38</v>
      </c>
      <c r="F8" s="416" t="s">
        <v>39</v>
      </c>
      <c r="G8" s="416" t="s">
        <v>40</v>
      </c>
      <c r="H8" s="416" t="s">
        <v>41</v>
      </c>
      <c r="I8" s="417" t="s">
        <v>42</v>
      </c>
      <c r="J8" s="417" t="s">
        <v>43</v>
      </c>
      <c r="M8" s="10"/>
      <c r="N8" s="10"/>
      <c r="O8" s="10"/>
    </row>
    <row r="9" spans="2:15" ht="15">
      <c r="B9" s="418" t="s">
        <v>44</v>
      </c>
      <c r="C9" s="418" t="s">
        <v>44</v>
      </c>
      <c r="D9" s="418" t="s">
        <v>44</v>
      </c>
      <c r="E9" s="418" t="s">
        <v>44</v>
      </c>
      <c r="F9" s="418" t="s">
        <v>44</v>
      </c>
      <c r="G9" s="418" t="s">
        <v>44</v>
      </c>
      <c r="H9" s="418" t="s">
        <v>44</v>
      </c>
      <c r="I9" s="419" t="s">
        <v>44</v>
      </c>
      <c r="J9" s="418" t="s">
        <v>44</v>
      </c>
      <c r="M9" s="10"/>
      <c r="N9" s="10"/>
      <c r="O9" s="10"/>
    </row>
    <row r="10" spans="2:15" ht="15">
      <c r="B10" s="420" t="s">
        <v>45</v>
      </c>
      <c r="C10" s="420" t="s">
        <v>205</v>
      </c>
      <c r="D10" s="420" t="s">
        <v>46</v>
      </c>
      <c r="E10" s="420" t="s">
        <v>47</v>
      </c>
      <c r="F10" s="420" t="s">
        <v>16</v>
      </c>
      <c r="G10" s="421" t="s">
        <v>188</v>
      </c>
      <c r="H10" s="422" t="s">
        <v>48</v>
      </c>
      <c r="I10" s="423" t="s">
        <v>271</v>
      </c>
      <c r="J10" s="418" t="s">
        <v>49</v>
      </c>
      <c r="M10" s="10"/>
      <c r="N10" s="10"/>
      <c r="O10" s="10"/>
    </row>
    <row r="11" spans="2:15" ht="15">
      <c r="B11" s="420" t="s">
        <v>50</v>
      </c>
      <c r="C11" s="420" t="s">
        <v>51</v>
      </c>
      <c r="D11" s="420" t="s">
        <v>52</v>
      </c>
      <c r="E11" s="420" t="s">
        <v>183</v>
      </c>
      <c r="F11" s="420" t="s">
        <v>17</v>
      </c>
      <c r="G11" s="421" t="s">
        <v>53</v>
      </c>
      <c r="H11" s="422" t="s">
        <v>54</v>
      </c>
      <c r="I11" s="423" t="s">
        <v>272</v>
      </c>
      <c r="J11" s="418" t="s">
        <v>55</v>
      </c>
      <c r="M11" s="10"/>
      <c r="N11" s="10"/>
      <c r="O11" s="10"/>
    </row>
    <row r="12" spans="2:15" ht="15">
      <c r="B12" s="420" t="s">
        <v>177</v>
      </c>
      <c r="D12" s="420" t="s">
        <v>56</v>
      </c>
      <c r="E12" s="420" t="s">
        <v>57</v>
      </c>
      <c r="F12" s="420" t="s">
        <v>18</v>
      </c>
      <c r="G12" s="421" t="s">
        <v>58</v>
      </c>
      <c r="H12" s="422" t="s">
        <v>59</v>
      </c>
      <c r="I12" s="423" t="s">
        <v>273</v>
      </c>
      <c r="J12" s="418" t="s">
        <v>60</v>
      </c>
      <c r="M12" s="424"/>
      <c r="N12" s="10"/>
      <c r="O12" s="10"/>
    </row>
    <row r="13" spans="2:15" ht="15">
      <c r="B13" s="420" t="s">
        <v>61</v>
      </c>
      <c r="D13" s="420" t="s">
        <v>62</v>
      </c>
      <c r="E13" s="425"/>
      <c r="F13" s="420" t="s">
        <v>19</v>
      </c>
      <c r="G13" s="421" t="s">
        <v>63</v>
      </c>
      <c r="H13" s="422" t="s">
        <v>64</v>
      </c>
      <c r="I13" s="423" t="s">
        <v>274</v>
      </c>
      <c r="J13" s="418" t="s">
        <v>65</v>
      </c>
      <c r="M13" s="424"/>
      <c r="N13" s="10"/>
      <c r="O13" s="10"/>
    </row>
    <row r="14" spans="2:15" ht="15">
      <c r="B14" s="420" t="s">
        <v>66</v>
      </c>
      <c r="D14" s="420" t="s">
        <v>67</v>
      </c>
      <c r="F14" s="420" t="s">
        <v>20</v>
      </c>
      <c r="G14" s="421" t="s">
        <v>68</v>
      </c>
      <c r="H14" s="422" t="s">
        <v>69</v>
      </c>
      <c r="I14" s="423" t="s">
        <v>70</v>
      </c>
      <c r="J14" s="418" t="s">
        <v>71</v>
      </c>
      <c r="M14" s="424"/>
      <c r="N14" s="10"/>
      <c r="O14" s="10"/>
    </row>
    <row r="15" spans="4:15" ht="15">
      <c r="D15" s="420" t="s">
        <v>72</v>
      </c>
      <c r="F15" s="420" t="s">
        <v>21</v>
      </c>
      <c r="H15" s="422" t="s">
        <v>73</v>
      </c>
      <c r="I15" s="423" t="s">
        <v>74</v>
      </c>
      <c r="J15" s="418" t="s">
        <v>75</v>
      </c>
      <c r="M15" s="424"/>
      <c r="N15" s="10"/>
      <c r="O15" s="10"/>
    </row>
    <row r="16" spans="4:15" ht="15">
      <c r="D16" s="420" t="s">
        <v>76</v>
      </c>
      <c r="F16" s="420" t="s">
        <v>22</v>
      </c>
      <c r="H16" s="422" t="s">
        <v>77</v>
      </c>
      <c r="I16" s="423" t="s">
        <v>78</v>
      </c>
      <c r="J16" s="418" t="s">
        <v>79</v>
      </c>
      <c r="M16" s="424"/>
      <c r="N16" s="10"/>
      <c r="O16" s="10"/>
    </row>
    <row r="17" spans="4:15" ht="15">
      <c r="D17" s="420" t="s">
        <v>80</v>
      </c>
      <c r="F17" s="420" t="s">
        <v>23</v>
      </c>
      <c r="H17" s="422" t="s">
        <v>81</v>
      </c>
      <c r="I17" s="423" t="s">
        <v>82</v>
      </c>
      <c r="J17" s="418" t="s">
        <v>83</v>
      </c>
      <c r="M17" s="424"/>
      <c r="N17" s="10"/>
      <c r="O17" s="10"/>
    </row>
    <row r="18" spans="4:15" ht="15">
      <c r="D18" s="420" t="s">
        <v>181</v>
      </c>
      <c r="F18" s="420" t="s">
        <v>209</v>
      </c>
      <c r="H18" s="422" t="s">
        <v>84</v>
      </c>
      <c r="I18" s="423" t="s">
        <v>85</v>
      </c>
      <c r="J18" s="418" t="s">
        <v>86</v>
      </c>
      <c r="M18" s="424"/>
      <c r="N18" s="10"/>
      <c r="O18" s="10"/>
    </row>
    <row r="19" spans="4:15" ht="15">
      <c r="D19" s="420" t="s">
        <v>87</v>
      </c>
      <c r="F19" s="420" t="s">
        <v>210</v>
      </c>
      <c r="H19" s="422" t="s">
        <v>186</v>
      </c>
      <c r="I19" s="423" t="s">
        <v>88</v>
      </c>
      <c r="J19" s="418" t="s">
        <v>89</v>
      </c>
      <c r="M19" s="424"/>
      <c r="N19" s="10"/>
      <c r="O19" s="10"/>
    </row>
    <row r="20" spans="4:15" ht="15">
      <c r="D20" s="426"/>
      <c r="F20" s="420" t="s">
        <v>211</v>
      </c>
      <c r="H20" s="422" t="s">
        <v>90</v>
      </c>
      <c r="I20" s="423" t="s">
        <v>91</v>
      </c>
      <c r="J20" s="418" t="s">
        <v>92</v>
      </c>
      <c r="M20" s="10"/>
      <c r="N20" s="10"/>
      <c r="O20" s="10"/>
    </row>
    <row r="21" spans="4:15" ht="15">
      <c r="D21" s="427"/>
      <c r="F21" s="420" t="s">
        <v>193</v>
      </c>
      <c r="H21" s="427"/>
      <c r="I21" s="423" t="s">
        <v>93</v>
      </c>
      <c r="J21" s="418" t="s">
        <v>94</v>
      </c>
      <c r="M21" s="10"/>
      <c r="N21" s="10"/>
      <c r="O21" s="10"/>
    </row>
    <row r="22" spans="8:15" ht="15">
      <c r="H22" s="427"/>
      <c r="I22" s="423" t="s">
        <v>95</v>
      </c>
      <c r="J22" s="418" t="s">
        <v>96</v>
      </c>
      <c r="M22" s="10"/>
      <c r="N22" s="10"/>
      <c r="O22" s="10"/>
    </row>
    <row r="23" spans="9:15" ht="15">
      <c r="I23" s="423" t="s">
        <v>97</v>
      </c>
      <c r="J23" s="418" t="s">
        <v>98</v>
      </c>
      <c r="M23" s="10"/>
      <c r="N23" s="10"/>
      <c r="O23" s="10"/>
    </row>
    <row r="24" spans="9:15" ht="15">
      <c r="I24" s="423" t="s">
        <v>99</v>
      </c>
      <c r="J24" s="418" t="s">
        <v>100</v>
      </c>
      <c r="M24" s="10"/>
      <c r="N24" s="10"/>
      <c r="O24" s="10"/>
    </row>
    <row r="25" spans="9:10" ht="15">
      <c r="I25" s="428"/>
      <c r="J25" s="418" t="s">
        <v>101</v>
      </c>
    </row>
    <row r="26" spans="9:10" ht="15">
      <c r="I26" s="423" t="s">
        <v>102</v>
      </c>
      <c r="J26" s="418" t="s">
        <v>103</v>
      </c>
    </row>
    <row r="27" spans="9:10" ht="15">
      <c r="I27" s="423" t="s">
        <v>104</v>
      </c>
      <c r="J27" s="418" t="s">
        <v>173</v>
      </c>
    </row>
    <row r="28" spans="9:10" ht="15">
      <c r="I28" s="428" t="s">
        <v>105</v>
      </c>
      <c r="J28" s="418" t="s">
        <v>106</v>
      </c>
    </row>
    <row r="29" spans="9:10" ht="15">
      <c r="I29" s="428" t="s">
        <v>107</v>
      </c>
      <c r="J29" s="418" t="s">
        <v>108</v>
      </c>
    </row>
    <row r="30" spans="9:10" ht="15">
      <c r="I30" s="428" t="s">
        <v>109</v>
      </c>
      <c r="J30" s="418" t="s">
        <v>110</v>
      </c>
    </row>
    <row r="31" ht="15">
      <c r="J31" s="418" t="s">
        <v>111</v>
      </c>
    </row>
    <row r="32" ht="15">
      <c r="J32" s="418" t="s">
        <v>112</v>
      </c>
    </row>
    <row r="33" ht="15">
      <c r="J33" s="418" t="s">
        <v>113</v>
      </c>
    </row>
    <row r="34" ht="15">
      <c r="J34" s="418" t="s">
        <v>114</v>
      </c>
    </row>
    <row r="35" ht="15">
      <c r="J35" s="418" t="s">
        <v>115</v>
      </c>
    </row>
    <row r="36" ht="15">
      <c r="J36" s="418" t="s">
        <v>116</v>
      </c>
    </row>
    <row r="37" ht="15">
      <c r="J37" s="418" t="s">
        <v>117</v>
      </c>
    </row>
    <row r="38" ht="15">
      <c r="J38" s="418" t="s">
        <v>118</v>
      </c>
    </row>
    <row r="39" ht="15">
      <c r="J39" s="418" t="s">
        <v>119</v>
      </c>
    </row>
    <row r="40" ht="15">
      <c r="J40" s="418" t="s">
        <v>120</v>
      </c>
    </row>
    <row r="41" ht="15">
      <c r="J41" s="418" t="s">
        <v>121</v>
      </c>
    </row>
    <row r="42" ht="15">
      <c r="J42" s="418" t="s">
        <v>122</v>
      </c>
    </row>
    <row r="43" ht="15">
      <c r="J43" s="418" t="s">
        <v>123</v>
      </c>
    </row>
    <row r="44" ht="15">
      <c r="J44" s="418" t="s">
        <v>124</v>
      </c>
    </row>
    <row r="45" ht="15">
      <c r="J45" s="418" t="s">
        <v>125</v>
      </c>
    </row>
    <row r="46" ht="15">
      <c r="J46" s="418" t="s">
        <v>126</v>
      </c>
    </row>
    <row r="47" ht="15">
      <c r="J47" s="418" t="s">
        <v>127</v>
      </c>
    </row>
    <row r="48" ht="15">
      <c r="J48" s="418" t="s">
        <v>128</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12.xml><?xml version="1.0" encoding="utf-8"?>
<worksheet xmlns="http://schemas.openxmlformats.org/spreadsheetml/2006/main" xmlns:r="http://schemas.openxmlformats.org/officeDocument/2006/relationships">
  <dimension ref="B3:F12"/>
  <sheetViews>
    <sheetView zoomScalePageLayoutView="0" workbookViewId="0" topLeftCell="A1">
      <selection activeCell="D6" sqref="D6"/>
    </sheetView>
  </sheetViews>
  <sheetFormatPr defaultColWidth="11.421875" defaultRowHeight="15"/>
  <cols>
    <col min="2" max="2" width="22.421875" style="0" customWidth="1"/>
    <col min="3" max="5" width="12.57421875" style="0" customWidth="1"/>
    <col min="6" max="6" width="13.8515625" style="0" customWidth="1"/>
  </cols>
  <sheetData>
    <row r="3" ht="15">
      <c r="B3" t="s">
        <v>357</v>
      </c>
    </row>
    <row r="5" spans="2:6" ht="45">
      <c r="B5" s="476" t="s">
        <v>358</v>
      </c>
      <c r="C5" s="477" t="s">
        <v>360</v>
      </c>
      <c r="D5" s="477" t="s">
        <v>361</v>
      </c>
      <c r="E5" s="477" t="s">
        <v>362</v>
      </c>
      <c r="F5" s="478" t="s">
        <v>365</v>
      </c>
    </row>
    <row r="6" spans="2:6" ht="15">
      <c r="B6" s="476" t="s">
        <v>359</v>
      </c>
      <c r="C6" s="476">
        <v>120</v>
      </c>
      <c r="D6" s="476">
        <v>576</v>
      </c>
      <c r="E6" s="476">
        <v>144</v>
      </c>
      <c r="F6" s="476">
        <f>SUM(C6:E6)</f>
        <v>840</v>
      </c>
    </row>
    <row r="7" spans="2:6" ht="15">
      <c r="B7" s="476" t="s">
        <v>326</v>
      </c>
      <c r="C7" s="476"/>
      <c r="D7" s="476">
        <v>18</v>
      </c>
      <c r="E7" s="476"/>
      <c r="F7" s="476">
        <f>SUM(D7:E7)</f>
        <v>18</v>
      </c>
    </row>
    <row r="10" spans="2:6" ht="46.5" customHeight="1">
      <c r="B10" s="477" t="s">
        <v>363</v>
      </c>
      <c r="C10" s="477" t="s">
        <v>360</v>
      </c>
      <c r="D10" s="477" t="s">
        <v>361</v>
      </c>
      <c r="E10" s="477" t="s">
        <v>362</v>
      </c>
      <c r="F10" s="478" t="s">
        <v>364</v>
      </c>
    </row>
    <row r="11" spans="2:6" ht="15">
      <c r="B11" s="476" t="s">
        <v>359</v>
      </c>
      <c r="C11" s="476">
        <f>120/2</f>
        <v>60</v>
      </c>
      <c r="D11" s="476">
        <f>576/2</f>
        <v>288</v>
      </c>
      <c r="E11" s="476">
        <f>144/2</f>
        <v>72</v>
      </c>
      <c r="F11" s="476">
        <f>SUM(C11:E11)</f>
        <v>420</v>
      </c>
    </row>
    <row r="12" spans="2:6" ht="15">
      <c r="B12" s="476" t="s">
        <v>326</v>
      </c>
      <c r="C12" s="476"/>
      <c r="D12" s="476">
        <f>18/2</f>
        <v>9</v>
      </c>
      <c r="E12" s="476"/>
      <c r="F12" s="476">
        <f>SUM(D12:E12)</f>
        <v>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A1">
      <pane ySplit="2" topLeftCell="A5" activePane="bottomLeft" state="frozen"/>
      <selection pane="topLeft" activeCell="B1" sqref="B1"/>
      <selection pane="bottomLeft" activeCell="A1" sqref="A1"/>
    </sheetView>
  </sheetViews>
  <sheetFormatPr defaultColWidth="9.14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514" t="str">
        <f>+"Cuadro de mando:  "&amp;"  "&amp;+'Introducción de datos'!C4&amp;" - "&amp;'Introducción de datos'!G6</f>
        <v>Cuadro de mando:    El Salvador - VIH / SIDA</v>
      </c>
      <c r="C2" s="514"/>
      <c r="D2" s="514"/>
      <c r="E2" s="514"/>
      <c r="F2" s="514"/>
      <c r="G2" s="514"/>
      <c r="H2" s="514"/>
      <c r="I2" s="514"/>
      <c r="J2" s="514"/>
      <c r="K2" s="514"/>
      <c r="L2" s="514"/>
      <c r="M2" s="514"/>
    </row>
    <row r="3" spans="1:13" ht="15.75" customHeight="1">
      <c r="A3" s="6"/>
      <c r="B3" s="7"/>
      <c r="C3" s="7"/>
      <c r="D3" s="7"/>
      <c r="E3" s="7"/>
      <c r="F3" s="7"/>
      <c r="G3" s="7"/>
      <c r="H3" s="7"/>
      <c r="I3" s="7"/>
      <c r="J3" s="7"/>
      <c r="K3" s="8"/>
      <c r="L3" s="8"/>
      <c r="M3" s="6"/>
    </row>
    <row r="5" spans="2:15" ht="23.25">
      <c r="B5" s="492" t="s">
        <v>129</v>
      </c>
      <c r="C5" s="492"/>
      <c r="D5" s="492"/>
      <c r="E5" s="492"/>
      <c r="F5" s="492"/>
      <c r="G5" s="492"/>
      <c r="H5" s="492"/>
      <c r="I5" s="492"/>
      <c r="J5" s="492"/>
      <c r="K5" s="492"/>
      <c r="L5" s="492"/>
      <c r="M5" s="492"/>
      <c r="N5" s="492"/>
      <c r="O5" s="492"/>
    </row>
    <row r="7" spans="2:15" ht="21">
      <c r="B7" s="515" t="s">
        <v>130</v>
      </c>
      <c r="C7" s="515"/>
      <c r="D7" s="515"/>
      <c r="E7" s="515" t="s">
        <v>131</v>
      </c>
      <c r="F7" s="515"/>
      <c r="G7" s="515"/>
      <c r="H7" s="515"/>
      <c r="I7" s="515"/>
      <c r="J7" s="515" t="s">
        <v>132</v>
      </c>
      <c r="K7" s="515"/>
      <c r="L7" s="515"/>
      <c r="M7" s="515" t="s">
        <v>133</v>
      </c>
      <c r="N7" s="515"/>
      <c r="O7" s="515"/>
    </row>
    <row r="8" spans="2:15" ht="92.25" customHeight="1">
      <c r="B8" s="495" t="str">
        <f>+'Introducción de datos'!B27</f>
        <v>F1: Presupuesto y desembolsos del Fondo Mundial</v>
      </c>
      <c r="C8" s="495"/>
      <c r="D8" s="495"/>
      <c r="E8" s="512" t="s">
        <v>134</v>
      </c>
      <c r="F8" s="512"/>
      <c r="G8" s="512"/>
      <c r="H8" s="512"/>
      <c r="I8" s="512"/>
      <c r="J8" s="513" t="s">
        <v>135</v>
      </c>
      <c r="K8" s="513"/>
      <c r="L8" s="513"/>
      <c r="M8" s="513" t="s">
        <v>136</v>
      </c>
      <c r="N8" s="513"/>
      <c r="O8" s="513"/>
    </row>
    <row r="9" spans="2:15" ht="117.75" customHeight="1">
      <c r="B9" s="495" t="str">
        <f>+'Introducción de datos'!B36</f>
        <v>F2: Presupuesto y gastos reales por objetivo de la subvención</v>
      </c>
      <c r="C9" s="495"/>
      <c r="D9" s="495"/>
      <c r="E9" s="506" t="s">
        <v>137</v>
      </c>
      <c r="F9" s="506"/>
      <c r="G9" s="506"/>
      <c r="H9" s="506"/>
      <c r="I9" s="506"/>
      <c r="J9" s="501" t="s">
        <v>138</v>
      </c>
      <c r="K9" s="501"/>
      <c r="L9" s="501"/>
      <c r="M9" s="501" t="s">
        <v>136</v>
      </c>
      <c r="N9" s="501"/>
      <c r="O9" s="501"/>
    </row>
    <row r="10" spans="2:15" ht="233.25" customHeight="1">
      <c r="B10" s="499" t="str">
        <f>+'Introducción de datos'!B49</f>
        <v>F3: Desembolsos y gastos</v>
      </c>
      <c r="C10" s="499"/>
      <c r="D10" s="499"/>
      <c r="E10" s="506" t="s">
        <v>139</v>
      </c>
      <c r="F10" s="506"/>
      <c r="G10" s="506"/>
      <c r="H10" s="506"/>
      <c r="I10" s="506"/>
      <c r="J10" s="504" t="s">
        <v>140</v>
      </c>
      <c r="K10" s="504"/>
      <c r="L10" s="504"/>
      <c r="M10" s="501" t="s">
        <v>141</v>
      </c>
      <c r="N10" s="501"/>
      <c r="O10" s="501"/>
    </row>
    <row r="11" spans="2:60" ht="279.75" customHeight="1">
      <c r="B11" s="499" t="str">
        <f>+'Introducción de datos'!B58</f>
        <v>F4: Último ciclo de información y desembolso del RP</v>
      </c>
      <c r="C11" s="499"/>
      <c r="D11" s="499"/>
      <c r="E11" s="506" t="s">
        <v>142</v>
      </c>
      <c r="F11" s="506"/>
      <c r="G11" s="506"/>
      <c r="H11" s="506"/>
      <c r="I11" s="506"/>
      <c r="J11" s="504" t="s">
        <v>143</v>
      </c>
      <c r="K11" s="504"/>
      <c r="L11" s="504"/>
      <c r="M11" s="501" t="s">
        <v>144</v>
      </c>
      <c r="N11" s="501"/>
      <c r="O11" s="501"/>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510"/>
      <c r="C12" s="510"/>
      <c r="D12" s="510"/>
      <c r="E12" s="511"/>
      <c r="F12" s="511"/>
      <c r="G12" s="511"/>
      <c r="H12" s="511"/>
      <c r="I12" s="511"/>
      <c r="J12" s="511"/>
      <c r="K12" s="511"/>
      <c r="L12" s="511"/>
      <c r="M12" s="511"/>
      <c r="N12" s="511"/>
      <c r="O12" s="5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508"/>
      <c r="C13" s="508"/>
      <c r="D13" s="508"/>
      <c r="E13" s="509"/>
      <c r="F13" s="509"/>
      <c r="G13" s="509"/>
      <c r="H13" s="509"/>
      <c r="I13" s="509"/>
      <c r="J13" s="509"/>
      <c r="K13" s="509"/>
      <c r="L13" s="509"/>
      <c r="M13" s="509"/>
      <c r="N13" s="509"/>
      <c r="O13" s="509"/>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508"/>
      <c r="C14" s="508"/>
      <c r="D14" s="508"/>
      <c r="E14" s="509"/>
      <c r="F14" s="509"/>
      <c r="G14" s="509"/>
      <c r="H14" s="509"/>
      <c r="I14" s="509"/>
      <c r="J14" s="509"/>
      <c r="K14" s="509"/>
      <c r="L14" s="509"/>
      <c r="M14" s="509"/>
      <c r="N14" s="509"/>
      <c r="O14" s="509"/>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508"/>
      <c r="C15" s="508"/>
      <c r="D15" s="508"/>
      <c r="E15" s="509"/>
      <c r="F15" s="509"/>
      <c r="G15" s="509"/>
      <c r="H15" s="509"/>
      <c r="I15" s="509"/>
      <c r="J15" s="509"/>
      <c r="K15" s="509"/>
      <c r="L15" s="509"/>
      <c r="M15" s="509"/>
      <c r="N15" s="509"/>
      <c r="O15" s="509"/>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92" t="s">
        <v>145</v>
      </c>
      <c r="C16" s="492"/>
      <c r="D16" s="492"/>
      <c r="E16" s="492"/>
      <c r="F16" s="492"/>
      <c r="G16" s="492"/>
      <c r="H16" s="492"/>
      <c r="I16" s="492"/>
      <c r="J16" s="492"/>
      <c r="K16" s="492"/>
      <c r="L16" s="492"/>
      <c r="M16" s="492"/>
      <c r="N16" s="492"/>
      <c r="O16" s="492"/>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07" t="s">
        <v>130</v>
      </c>
      <c r="C18" s="507"/>
      <c r="D18" s="507"/>
      <c r="E18" s="507" t="s">
        <v>131</v>
      </c>
      <c r="F18" s="507"/>
      <c r="G18" s="507"/>
      <c r="H18" s="507"/>
      <c r="I18" s="507"/>
      <c r="J18" s="507" t="s">
        <v>132</v>
      </c>
      <c r="K18" s="507"/>
      <c r="L18" s="507"/>
      <c r="M18" s="507" t="s">
        <v>146</v>
      </c>
      <c r="N18" s="507"/>
      <c r="O18" s="507"/>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95" t="str">
        <f>+'Introducción de datos'!B69</f>
        <v>M1: Estado de las condiciones precedentes y acciones con fecha límite</v>
      </c>
      <c r="C19" s="495"/>
      <c r="D19" s="495"/>
      <c r="E19" s="506" t="s">
        <v>147</v>
      </c>
      <c r="F19" s="506"/>
      <c r="G19" s="506"/>
      <c r="H19" s="506"/>
      <c r="I19" s="506"/>
      <c r="J19" s="501" t="s">
        <v>148</v>
      </c>
      <c r="K19" s="501"/>
      <c r="L19" s="501"/>
      <c r="M19" s="501" t="s">
        <v>149</v>
      </c>
      <c r="N19" s="501"/>
      <c r="O19" s="501"/>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95" t="str">
        <f>+'Introducción de datos'!B76</f>
        <v>M2: Estado de los principales puestos directivos del RP</v>
      </c>
      <c r="C20" s="495"/>
      <c r="D20" s="495"/>
      <c r="E20" s="506" t="s">
        <v>150</v>
      </c>
      <c r="F20" s="506"/>
      <c r="G20" s="506"/>
      <c r="H20" s="506"/>
      <c r="I20" s="506"/>
      <c r="J20" s="501" t="s">
        <v>151</v>
      </c>
      <c r="K20" s="501"/>
      <c r="L20" s="501"/>
      <c r="M20" s="501" t="s">
        <v>152</v>
      </c>
      <c r="N20" s="501"/>
      <c r="O20" s="501"/>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95" t="str">
        <f>+'Introducción de datos'!B81</f>
        <v>M3: Acuerdos contractuales (subreceptores) </v>
      </c>
      <c r="C21" s="495"/>
      <c r="D21" s="495"/>
      <c r="E21" s="505" t="s">
        <v>153</v>
      </c>
      <c r="F21" s="505"/>
      <c r="G21" s="505"/>
      <c r="H21" s="505"/>
      <c r="I21" s="505"/>
      <c r="J21" s="501" t="s">
        <v>154</v>
      </c>
      <c r="K21" s="501"/>
      <c r="L21" s="501"/>
      <c r="M21" s="501" t="s">
        <v>155</v>
      </c>
      <c r="N21" s="501"/>
      <c r="O21" s="501"/>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95" t="str">
        <f>+'Introducción de datos'!B86</f>
        <v>M4: Número de informes completos recibidos a tiempo</v>
      </c>
      <c r="C22" s="495"/>
      <c r="D22" s="495"/>
      <c r="E22" s="503" t="s">
        <v>156</v>
      </c>
      <c r="F22" s="503"/>
      <c r="G22" s="503"/>
      <c r="H22" s="503"/>
      <c r="I22" s="503"/>
      <c r="J22" s="504" t="s">
        <v>157</v>
      </c>
      <c r="K22" s="504"/>
      <c r="L22" s="504"/>
      <c r="M22" s="501" t="s">
        <v>158</v>
      </c>
      <c r="N22" s="501"/>
      <c r="O22" s="501"/>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499" t="str">
        <f>+'Introducción de datos'!B92</f>
        <v>M5: Presupuesto y compra de productos y equipo sanitario, medicamentos y productos farmacéuticos</v>
      </c>
      <c r="C23" s="499"/>
      <c r="D23" s="499"/>
      <c r="E23" s="500" t="s">
        <v>159</v>
      </c>
      <c r="F23" s="500"/>
      <c r="G23" s="500"/>
      <c r="H23" s="500"/>
      <c r="I23" s="500"/>
      <c r="J23" s="501" t="s">
        <v>160</v>
      </c>
      <c r="K23" s="501"/>
      <c r="L23" s="501"/>
      <c r="M23" s="501" t="s">
        <v>161</v>
      </c>
      <c r="N23" s="501"/>
      <c r="O23" s="501"/>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499"/>
      <c r="C24" s="499"/>
      <c r="D24" s="499"/>
      <c r="E24" s="502" t="s">
        <v>162</v>
      </c>
      <c r="F24" s="502"/>
      <c r="G24" s="502"/>
      <c r="H24" s="502"/>
      <c r="I24" s="502"/>
      <c r="J24" s="501"/>
      <c r="K24" s="501"/>
      <c r="L24" s="501"/>
      <c r="M24" s="501"/>
      <c r="N24" s="501"/>
      <c r="O24" s="501"/>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95" t="str">
        <f>+'Introducción de datos'!B105</f>
        <v>M6: Diferencia entre existencias actuales y existencias de seguridad</v>
      </c>
      <c r="C25" s="495"/>
      <c r="D25" s="495"/>
      <c r="E25" s="496" t="s">
        <v>163</v>
      </c>
      <c r="F25" s="496"/>
      <c r="G25" s="496"/>
      <c r="H25" s="496"/>
      <c r="I25" s="496"/>
      <c r="J25" s="497" t="s">
        <v>164</v>
      </c>
      <c r="K25" s="497"/>
      <c r="L25" s="497"/>
      <c r="M25" s="498" t="s">
        <v>165</v>
      </c>
      <c r="N25" s="498"/>
      <c r="O25" s="498"/>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92" t="s">
        <v>166</v>
      </c>
      <c r="C30" s="492"/>
      <c r="D30" s="492"/>
      <c r="E30" s="492"/>
      <c r="F30" s="492"/>
      <c r="G30" s="492"/>
      <c r="H30" s="492"/>
      <c r="I30" s="492"/>
      <c r="J30" s="492"/>
      <c r="K30" s="492"/>
      <c r="L30" s="492"/>
      <c r="M30" s="492"/>
      <c r="N30" s="492"/>
      <c r="O30" s="492"/>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493" t="s">
        <v>167</v>
      </c>
      <c r="C32" s="493"/>
      <c r="D32" s="493"/>
      <c r="E32" s="494" t="s">
        <v>168</v>
      </c>
      <c r="F32" s="494"/>
      <c r="G32" s="494"/>
      <c r="H32" s="494"/>
      <c r="I32" s="494"/>
      <c r="J32" s="494" t="s">
        <v>132</v>
      </c>
      <c r="K32" s="494"/>
      <c r="L32" s="494"/>
      <c r="M32" s="494" t="s">
        <v>146</v>
      </c>
      <c r="N32" s="494"/>
      <c r="O32" s="494"/>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491"/>
      <c r="C33" s="491"/>
      <c r="D33" s="491"/>
      <c r="E33" s="485"/>
      <c r="F33" s="485"/>
      <c r="G33" s="485"/>
      <c r="H33" s="485"/>
      <c r="I33" s="485"/>
      <c r="J33" s="486"/>
      <c r="K33" s="486"/>
      <c r="L33" s="486"/>
      <c r="M33" s="486"/>
      <c r="N33" s="486"/>
      <c r="O33" s="486"/>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491"/>
      <c r="C34" s="491"/>
      <c r="D34" s="491"/>
      <c r="E34" s="485"/>
      <c r="F34" s="485"/>
      <c r="G34" s="485"/>
      <c r="H34" s="485"/>
      <c r="I34" s="485"/>
      <c r="J34" s="486"/>
      <c r="K34" s="486"/>
      <c r="L34" s="486"/>
      <c r="M34" s="486"/>
      <c r="N34" s="486"/>
      <c r="O34" s="486"/>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491"/>
      <c r="C35" s="491"/>
      <c r="D35" s="491"/>
      <c r="E35" s="486"/>
      <c r="F35" s="486"/>
      <c r="G35" s="486"/>
      <c r="H35" s="486"/>
      <c r="I35" s="486"/>
      <c r="J35" s="486"/>
      <c r="K35" s="486"/>
      <c r="L35" s="486"/>
      <c r="M35" s="486"/>
      <c r="N35" s="486"/>
      <c r="O35" s="486"/>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490"/>
      <c r="C36" s="490"/>
      <c r="D36" s="490"/>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491"/>
      <c r="C37" s="491"/>
      <c r="D37" s="491"/>
      <c r="E37" s="486"/>
      <c r="F37" s="486"/>
      <c r="G37" s="486"/>
      <c r="H37" s="486"/>
      <c r="I37" s="486"/>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491"/>
      <c r="C38" s="491"/>
      <c r="D38" s="491"/>
      <c r="E38" s="485"/>
      <c r="F38" s="485"/>
      <c r="G38" s="485"/>
      <c r="H38" s="485"/>
      <c r="I38" s="485"/>
      <c r="J38" s="486"/>
      <c r="K38" s="486"/>
      <c r="L38" s="486"/>
      <c r="M38" s="486"/>
      <c r="N38" s="486"/>
      <c r="O38" s="486"/>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488"/>
      <c r="C39" s="488"/>
      <c r="D39" s="488"/>
      <c r="E39" s="486"/>
      <c r="F39" s="486"/>
      <c r="G39" s="486"/>
      <c r="H39" s="486"/>
      <c r="I39" s="486"/>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484"/>
      <c r="C40" s="484"/>
      <c r="D40" s="484"/>
      <c r="E40" s="489"/>
      <c r="F40" s="489"/>
      <c r="G40" s="489"/>
      <c r="H40" s="489"/>
      <c r="I40" s="489"/>
      <c r="J40" s="486"/>
      <c r="K40" s="486"/>
      <c r="L40" s="486"/>
      <c r="M40" s="486"/>
      <c r="N40" s="486"/>
      <c r="O40" s="486"/>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488"/>
      <c r="C41" s="488"/>
      <c r="D41" s="488"/>
      <c r="E41" s="485"/>
      <c r="F41" s="485"/>
      <c r="G41" s="485"/>
      <c r="H41" s="485"/>
      <c r="I41" s="485"/>
      <c r="J41" s="486"/>
      <c r="K41" s="486"/>
      <c r="L41" s="486"/>
      <c r="M41" s="486"/>
      <c r="N41" s="486"/>
      <c r="O41" s="486"/>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488"/>
      <c r="C42" s="488"/>
      <c r="D42" s="488"/>
      <c r="E42" s="486"/>
      <c r="F42" s="486"/>
      <c r="G42" s="486"/>
      <c r="H42" s="486"/>
      <c r="I42" s="486"/>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488"/>
      <c r="C43" s="488"/>
      <c r="D43" s="488"/>
      <c r="E43" s="485"/>
      <c r="F43" s="485"/>
      <c r="G43" s="485"/>
      <c r="H43" s="485"/>
      <c r="I43" s="485"/>
      <c r="J43" s="486"/>
      <c r="K43" s="486"/>
      <c r="L43" s="486"/>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484"/>
      <c r="C44" s="484"/>
      <c r="D44" s="484"/>
      <c r="E44" s="485"/>
      <c r="F44" s="485"/>
      <c r="G44" s="485"/>
      <c r="H44" s="485"/>
      <c r="I44" s="485"/>
      <c r="J44" s="486"/>
      <c r="K44" s="486"/>
      <c r="L44" s="486"/>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484"/>
      <c r="C45" s="484"/>
      <c r="D45" s="484"/>
      <c r="E45" s="485"/>
      <c r="F45" s="485"/>
      <c r="G45" s="485"/>
      <c r="H45" s="485"/>
      <c r="I45" s="485"/>
      <c r="J45" s="486"/>
      <c r="K45" s="486"/>
      <c r="L45" s="486"/>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487"/>
      <c r="C46" s="487"/>
      <c r="D46" s="487"/>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482" t="s">
        <v>169</v>
      </c>
      <c r="C48" s="482"/>
      <c r="D48" s="482"/>
      <c r="E48" s="482"/>
      <c r="F48" s="482"/>
      <c r="G48" s="482"/>
      <c r="H48" s="482"/>
      <c r="I48" s="482"/>
      <c r="J48" s="482"/>
      <c r="K48" s="482"/>
      <c r="L48" s="482"/>
      <c r="M48" s="483" t="s">
        <v>170</v>
      </c>
      <c r="N48" s="483"/>
      <c r="O48" s="483"/>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8:D8"/>
    <mergeCell ref="E8:I8"/>
    <mergeCell ref="J8:L8"/>
    <mergeCell ref="M8:O8"/>
    <mergeCell ref="B2:M2"/>
    <mergeCell ref="B5:O5"/>
    <mergeCell ref="B7:D7"/>
    <mergeCell ref="E7:I7"/>
    <mergeCell ref="J7:L7"/>
    <mergeCell ref="M7:O7"/>
    <mergeCell ref="B10:D10"/>
    <mergeCell ref="E10:I10"/>
    <mergeCell ref="J10:L10"/>
    <mergeCell ref="M10:O10"/>
    <mergeCell ref="B9:D9"/>
    <mergeCell ref="E9:I9"/>
    <mergeCell ref="J9:L9"/>
    <mergeCell ref="M9:O9"/>
    <mergeCell ref="B12:D12"/>
    <mergeCell ref="E12:I12"/>
    <mergeCell ref="J12:L12"/>
    <mergeCell ref="M12:O12"/>
    <mergeCell ref="B11:D11"/>
    <mergeCell ref="E11:I11"/>
    <mergeCell ref="J11:L11"/>
    <mergeCell ref="M11:O11"/>
    <mergeCell ref="B14:D14"/>
    <mergeCell ref="E14:I14"/>
    <mergeCell ref="J14:L14"/>
    <mergeCell ref="M14:O14"/>
    <mergeCell ref="B13:D13"/>
    <mergeCell ref="E13:I13"/>
    <mergeCell ref="J13:L13"/>
    <mergeCell ref="M13:O13"/>
    <mergeCell ref="B16:O16"/>
    <mergeCell ref="B18:D18"/>
    <mergeCell ref="E18:I18"/>
    <mergeCell ref="J18:L18"/>
    <mergeCell ref="M18:O18"/>
    <mergeCell ref="B15:D15"/>
    <mergeCell ref="E15:I15"/>
    <mergeCell ref="J15:L15"/>
    <mergeCell ref="M15:O15"/>
    <mergeCell ref="B20:D20"/>
    <mergeCell ref="E20:I20"/>
    <mergeCell ref="J20:L20"/>
    <mergeCell ref="M20:O20"/>
    <mergeCell ref="B19:D19"/>
    <mergeCell ref="E19:I19"/>
    <mergeCell ref="J19:L19"/>
    <mergeCell ref="M19:O19"/>
    <mergeCell ref="B22:D22"/>
    <mergeCell ref="E22:I22"/>
    <mergeCell ref="J22:L22"/>
    <mergeCell ref="M22:O22"/>
    <mergeCell ref="B21:D21"/>
    <mergeCell ref="E21:I21"/>
    <mergeCell ref="J21:L21"/>
    <mergeCell ref="M21:O21"/>
    <mergeCell ref="B25:D25"/>
    <mergeCell ref="E25:I25"/>
    <mergeCell ref="J25:L25"/>
    <mergeCell ref="M25:O25"/>
    <mergeCell ref="B23:D24"/>
    <mergeCell ref="E23:I23"/>
    <mergeCell ref="J23:L24"/>
    <mergeCell ref="M23:O24"/>
    <mergeCell ref="E24:I24"/>
    <mergeCell ref="B33:D33"/>
    <mergeCell ref="E33:I33"/>
    <mergeCell ref="J33:L33"/>
    <mergeCell ref="M33:O33"/>
    <mergeCell ref="B30:O30"/>
    <mergeCell ref="B32:D32"/>
    <mergeCell ref="E32:I32"/>
    <mergeCell ref="J32:L32"/>
    <mergeCell ref="M32:O32"/>
    <mergeCell ref="B35:D35"/>
    <mergeCell ref="E35:I35"/>
    <mergeCell ref="J35:L35"/>
    <mergeCell ref="M35:O35"/>
    <mergeCell ref="B34:D34"/>
    <mergeCell ref="E34:I34"/>
    <mergeCell ref="J34:L34"/>
    <mergeCell ref="M34:O34"/>
    <mergeCell ref="J38:L38"/>
    <mergeCell ref="M38:O38"/>
    <mergeCell ref="B39:D39"/>
    <mergeCell ref="E39:I39"/>
    <mergeCell ref="B36:D36"/>
    <mergeCell ref="B37:D37"/>
    <mergeCell ref="E37:I37"/>
    <mergeCell ref="B38:D38"/>
    <mergeCell ref="E38:I38"/>
    <mergeCell ref="B41:D41"/>
    <mergeCell ref="E41:I41"/>
    <mergeCell ref="J41:L41"/>
    <mergeCell ref="M41:O41"/>
    <mergeCell ref="B40:D40"/>
    <mergeCell ref="E40:I40"/>
    <mergeCell ref="J40:L40"/>
    <mergeCell ref="M40:O40"/>
    <mergeCell ref="J43:L43"/>
    <mergeCell ref="B44:D44"/>
    <mergeCell ref="E44:I44"/>
    <mergeCell ref="J44:L44"/>
    <mergeCell ref="B42:D42"/>
    <mergeCell ref="E42:I42"/>
    <mergeCell ref="B43:D43"/>
    <mergeCell ref="E43:I43"/>
    <mergeCell ref="B48:L48"/>
    <mergeCell ref="M48:O48"/>
    <mergeCell ref="B45:D45"/>
    <mergeCell ref="E45:I45"/>
    <mergeCell ref="J45:L45"/>
    <mergeCell ref="B46:D46"/>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D162"/>
  <sheetViews>
    <sheetView showGridLines="0" zoomScale="80" zoomScaleNormal="80" zoomScalePageLayoutView="0" workbookViewId="0" topLeftCell="C104">
      <selection activeCell="L109" sqref="L109"/>
    </sheetView>
  </sheetViews>
  <sheetFormatPr defaultColWidth="9.140625" defaultRowHeight="15"/>
  <cols>
    <col min="1" max="1" width="2.71093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8.57421875" style="0" customWidth="1"/>
    <col min="12" max="12" width="15.28125" style="0" customWidth="1"/>
    <col min="13" max="13" width="20.57421875" style="0" customWidth="1"/>
    <col min="14" max="14" width="14.28125" style="5" customWidth="1"/>
    <col min="15" max="15" width="16.140625" style="0" customWidth="1"/>
    <col min="16" max="16" width="13.7109375" style="0" customWidth="1"/>
    <col min="17" max="17" width="13.421875" style="0" customWidth="1"/>
    <col min="18" max="18" width="11.421875" style="0" customWidth="1"/>
    <col min="19" max="19" width="2.28125" style="0" customWidth="1"/>
    <col min="20" max="20" width="1.1484375" style="0" customWidth="1"/>
    <col min="21" max="21" width="3.28125" style="0" customWidth="1"/>
    <col min="22" max="22" width="17.00390625" style="0" customWidth="1"/>
    <col min="23" max="23" width="15.00390625" style="0" customWidth="1"/>
    <col min="24" max="24" width="11.421875" style="0" customWidth="1"/>
    <col min="25" max="25" width="13.57421875" style="0" customWidth="1"/>
    <col min="26" max="26" width="16.8515625" style="0" customWidth="1"/>
    <col min="27" max="27" width="11.421875" style="0" customWidth="1"/>
    <col min="28" max="28" width="2.00390625" style="5" customWidth="1"/>
    <col min="29" max="29" width="3.28125" style="5" customWidth="1"/>
    <col min="30" max="30" width="2.28125" style="5" customWidth="1"/>
    <col min="31" max="31" width="40.71093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566" t="s">
        <v>171</v>
      </c>
      <c r="C2" s="566"/>
      <c r="D2" s="566"/>
      <c r="E2" s="566"/>
      <c r="F2" s="566"/>
      <c r="G2" s="566"/>
      <c r="H2" s="566"/>
      <c r="I2" s="566"/>
      <c r="J2" s="566"/>
      <c r="K2" s="33"/>
      <c r="L2" s="33"/>
      <c r="M2" s="33"/>
    </row>
    <row r="3" spans="1:13" ht="4.5" customHeight="1">
      <c r="A3" s="6"/>
      <c r="B3" s="6"/>
      <c r="C3" s="6"/>
      <c r="D3" s="6"/>
      <c r="E3" s="6"/>
      <c r="F3" s="6"/>
      <c r="G3" s="6"/>
      <c r="H3" s="6"/>
      <c r="I3" s="6"/>
      <c r="J3" s="6"/>
      <c r="K3" s="6"/>
      <c r="L3" s="6"/>
      <c r="M3" s="6"/>
    </row>
    <row r="4" spans="1:13" ht="28.5" customHeight="1">
      <c r="A4" s="6"/>
      <c r="B4" s="34" t="s">
        <v>172</v>
      </c>
      <c r="C4" s="571" t="s">
        <v>173</v>
      </c>
      <c r="D4" s="571"/>
      <c r="E4" s="573" t="s">
        <v>174</v>
      </c>
      <c r="F4" s="573"/>
      <c r="G4" s="580" t="s">
        <v>322</v>
      </c>
      <c r="H4" s="580"/>
      <c r="I4" s="580"/>
      <c r="J4" s="580"/>
      <c r="K4" s="6"/>
      <c r="L4" s="6"/>
      <c r="M4" s="6"/>
    </row>
    <row r="5" spans="1:13" ht="3" customHeight="1">
      <c r="A5" s="6"/>
      <c r="B5" s="37"/>
      <c r="C5" s="6"/>
      <c r="D5" s="6"/>
      <c r="E5" s="38"/>
      <c r="F5" s="38"/>
      <c r="G5" s="6"/>
      <c r="H5" s="6"/>
      <c r="I5" s="6"/>
      <c r="J5" s="6"/>
      <c r="K5" s="6"/>
      <c r="L5" s="6"/>
      <c r="M5" s="6"/>
    </row>
    <row r="6" spans="1:13" ht="15">
      <c r="A6" s="6"/>
      <c r="B6" s="34" t="s">
        <v>175</v>
      </c>
      <c r="C6" s="572" t="s">
        <v>320</v>
      </c>
      <c r="D6" s="572"/>
      <c r="E6" s="573" t="s">
        <v>176</v>
      </c>
      <c r="F6" s="573"/>
      <c r="G6" s="35" t="s">
        <v>45</v>
      </c>
      <c r="H6" s="39" t="s">
        <v>178</v>
      </c>
      <c r="I6" s="574">
        <v>13910753</v>
      </c>
      <c r="J6" s="574"/>
      <c r="K6" s="6"/>
      <c r="L6" s="6"/>
      <c r="M6" s="6"/>
    </row>
    <row r="7" spans="1:13" ht="3" customHeight="1">
      <c r="A7" s="6"/>
      <c r="B7" s="37"/>
      <c r="C7" s="6"/>
      <c r="D7" s="6"/>
      <c r="E7" s="38"/>
      <c r="F7" s="38"/>
      <c r="G7" s="6"/>
      <c r="H7" s="37"/>
      <c r="I7" s="6"/>
      <c r="J7" s="6"/>
      <c r="K7" s="6"/>
      <c r="L7" s="6"/>
      <c r="M7" s="6"/>
    </row>
    <row r="8" spans="1:13" ht="15">
      <c r="A8" s="6"/>
      <c r="B8" s="34" t="s">
        <v>179</v>
      </c>
      <c r="C8" s="572" t="s">
        <v>321</v>
      </c>
      <c r="D8" s="572"/>
      <c r="E8" s="40"/>
      <c r="F8" s="36" t="s">
        <v>180</v>
      </c>
      <c r="G8" s="35" t="s">
        <v>44</v>
      </c>
      <c r="H8" s="36" t="s">
        <v>182</v>
      </c>
      <c r="I8" s="571" t="s">
        <v>44</v>
      </c>
      <c r="J8" s="571"/>
      <c r="K8" s="6"/>
      <c r="L8" s="6"/>
      <c r="M8" s="6"/>
    </row>
    <row r="9" spans="1:13" ht="3" customHeight="1">
      <c r="A9" s="6"/>
      <c r="B9" s="38"/>
      <c r="C9" s="41">
        <v>39825</v>
      </c>
      <c r="D9" s="6"/>
      <c r="E9" s="38"/>
      <c r="F9" s="38"/>
      <c r="G9" s="6"/>
      <c r="H9" s="6"/>
      <c r="I9" s="6"/>
      <c r="J9" s="6"/>
      <c r="K9" s="6"/>
      <c r="L9" s="6"/>
      <c r="M9" s="6"/>
    </row>
    <row r="10" spans="1:13" ht="15">
      <c r="A10" s="6"/>
      <c r="B10" s="34" t="s">
        <v>184</v>
      </c>
      <c r="C10" s="581">
        <v>41640</v>
      </c>
      <c r="D10" s="581"/>
      <c r="E10" s="570" t="s">
        <v>185</v>
      </c>
      <c r="F10" s="570"/>
      <c r="G10" s="571" t="s">
        <v>323</v>
      </c>
      <c r="H10" s="571"/>
      <c r="I10" s="571"/>
      <c r="J10" s="571"/>
      <c r="K10" s="6"/>
      <c r="L10" s="6"/>
      <c r="M10" s="6"/>
    </row>
    <row r="11" spans="1:13" ht="5.25" customHeight="1">
      <c r="A11" s="6"/>
      <c r="B11" s="6"/>
      <c r="C11" s="6"/>
      <c r="D11" s="6"/>
      <c r="E11" s="6"/>
      <c r="F11" s="6"/>
      <c r="G11" s="6"/>
      <c r="H11" s="6"/>
      <c r="I11" s="6"/>
      <c r="J11" s="6"/>
      <c r="K11" s="6"/>
      <c r="L11" s="6"/>
      <c r="M11" s="6"/>
    </row>
    <row r="12" spans="1:13" ht="15" customHeight="1">
      <c r="A12" s="6"/>
      <c r="B12" s="34" t="s">
        <v>187</v>
      </c>
      <c r="C12" s="577" t="s">
        <v>44</v>
      </c>
      <c r="D12" s="577"/>
      <c r="E12" s="578" t="s">
        <v>189</v>
      </c>
      <c r="F12" s="578"/>
      <c r="G12" s="579" t="s">
        <v>190</v>
      </c>
      <c r="H12" s="579"/>
      <c r="I12" s="579"/>
      <c r="J12" s="579"/>
      <c r="K12" s="6"/>
      <c r="L12" s="6"/>
      <c r="M12" s="6"/>
    </row>
    <row r="13" spans="1:13" ht="5.25" customHeight="1">
      <c r="A13" s="6"/>
      <c r="B13" s="6"/>
      <c r="C13" s="6"/>
      <c r="D13" s="6"/>
      <c r="E13" s="6"/>
      <c r="F13" s="6"/>
      <c r="G13" s="6"/>
      <c r="H13" s="6"/>
      <c r="I13" s="6"/>
      <c r="J13" s="6"/>
      <c r="K13" s="6"/>
      <c r="L13" s="6"/>
      <c r="M13" s="6"/>
    </row>
    <row r="14" spans="1:13" ht="15.75" customHeight="1">
      <c r="A14" s="6"/>
      <c r="B14" s="566" t="s">
        <v>191</v>
      </c>
      <c r="C14" s="566"/>
      <c r="D14" s="566"/>
      <c r="E14" s="566"/>
      <c r="F14" s="566"/>
      <c r="G14" s="566"/>
      <c r="H14" s="566"/>
      <c r="I14" s="566"/>
      <c r="J14" s="566"/>
      <c r="K14" s="6"/>
      <c r="L14" s="6"/>
      <c r="M14" s="6"/>
    </row>
    <row r="15" spans="1:13" ht="3" customHeight="1">
      <c r="A15" s="6"/>
      <c r="B15" s="6"/>
      <c r="C15" s="6"/>
      <c r="D15" s="6"/>
      <c r="E15" s="6"/>
      <c r="F15" s="6"/>
      <c r="G15" s="6"/>
      <c r="H15" s="6"/>
      <c r="I15" s="6"/>
      <c r="J15" s="6"/>
      <c r="K15" s="6"/>
      <c r="L15" s="6"/>
      <c r="M15" s="6"/>
    </row>
    <row r="16" spans="1:13" ht="15">
      <c r="A16" s="6"/>
      <c r="B16" s="34" t="s">
        <v>192</v>
      </c>
      <c r="C16" s="35" t="s">
        <v>16</v>
      </c>
      <c r="D16" s="36" t="s">
        <v>194</v>
      </c>
      <c r="E16" s="42">
        <v>41640</v>
      </c>
      <c r="F16" s="43" t="s">
        <v>195</v>
      </c>
      <c r="G16" s="42">
        <v>41820</v>
      </c>
      <c r="H16" s="576" t="s">
        <v>196</v>
      </c>
      <c r="I16" s="576"/>
      <c r="J16" s="42"/>
      <c r="K16" s="6"/>
      <c r="L16" s="6"/>
      <c r="M16" s="6"/>
    </row>
    <row r="17" spans="1:13" ht="3" customHeight="1">
      <c r="A17" s="6"/>
      <c r="B17" s="6"/>
      <c r="C17" s="6"/>
      <c r="D17" s="6"/>
      <c r="E17" s="6"/>
      <c r="F17" s="6"/>
      <c r="G17" s="6"/>
      <c r="H17" s="6"/>
      <c r="I17" s="6"/>
      <c r="J17" s="6"/>
      <c r="K17" s="6"/>
      <c r="L17" s="6"/>
      <c r="M17" s="6"/>
    </row>
    <row r="18" spans="1:13" ht="15">
      <c r="A18" s="6"/>
      <c r="B18" s="564" t="s">
        <v>197</v>
      </c>
      <c r="C18" s="564"/>
      <c r="D18" s="565" t="s">
        <v>324</v>
      </c>
      <c r="E18" s="565"/>
      <c r="F18" s="565"/>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66" t="s">
        <v>198</v>
      </c>
      <c r="C21" s="566"/>
      <c r="D21" s="566"/>
      <c r="E21" s="566"/>
      <c r="F21" s="566"/>
      <c r="G21" s="566"/>
      <c r="H21" s="566"/>
      <c r="I21" s="566"/>
      <c r="J21" s="566"/>
      <c r="K21" s="6"/>
      <c r="L21" s="6"/>
      <c r="M21" s="6"/>
    </row>
    <row r="22" spans="1:13" ht="15">
      <c r="A22" s="6"/>
      <c r="B22" s="45" t="s">
        <v>199</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75" thickBot="1">
      <c r="A24" s="6"/>
      <c r="B24" s="34" t="s">
        <v>200</v>
      </c>
      <c r="C24" s="47"/>
      <c r="D24" s="573" t="s">
        <v>201</v>
      </c>
      <c r="E24" s="573"/>
      <c r="F24" s="48"/>
      <c r="G24" s="573" t="s">
        <v>202</v>
      </c>
      <c r="H24" s="573"/>
      <c r="I24" s="575"/>
      <c r="J24" s="575"/>
      <c r="K24" s="6"/>
      <c r="L24" s="6"/>
      <c r="M24" s="6"/>
      <c r="N24" s="49"/>
    </row>
    <row r="25" spans="1:29" ht="19.5" thickBot="1">
      <c r="A25" s="6"/>
      <c r="B25" s="50" t="s">
        <v>200</v>
      </c>
      <c r="C25" s="51"/>
      <c r="D25" s="51"/>
      <c r="E25" s="51"/>
      <c r="F25" s="51"/>
      <c r="G25" s="51"/>
      <c r="H25" s="52"/>
      <c r="I25" s="52"/>
      <c r="J25" s="52" t="s">
        <v>203</v>
      </c>
      <c r="K25" s="52"/>
      <c r="L25" s="51"/>
      <c r="M25" s="51"/>
      <c r="N25" s="53"/>
      <c r="AC25" s="54"/>
    </row>
    <row r="26" spans="1:29" ht="15">
      <c r="A26" s="6"/>
      <c r="B26" s="559" t="s">
        <v>204</v>
      </c>
      <c r="C26" s="559"/>
      <c r="D26" s="55" t="s">
        <v>205</v>
      </c>
      <c r="E26" s="56"/>
      <c r="F26" s="56"/>
      <c r="G26" s="56"/>
      <c r="H26" s="56"/>
      <c r="I26" s="56"/>
      <c r="J26" s="57"/>
      <c r="K26" s="56"/>
      <c r="L26" s="56"/>
      <c r="M26" s="56"/>
      <c r="N26" s="58"/>
      <c r="AC26" s="54"/>
    </row>
    <row r="27" spans="1:29" ht="18.75">
      <c r="A27" s="6"/>
      <c r="B27" s="59" t="s">
        <v>206</v>
      </c>
      <c r="C27" s="56"/>
      <c r="D27" s="56"/>
      <c r="E27" s="56"/>
      <c r="F27" s="56"/>
      <c r="G27" s="56"/>
      <c r="H27" s="56"/>
      <c r="I27" s="56"/>
      <c r="J27" s="57"/>
      <c r="K27" s="56"/>
      <c r="L27" s="56"/>
      <c r="M27" s="56"/>
      <c r="N27" s="58"/>
      <c r="AC27" s="54"/>
    </row>
    <row r="28" spans="1:13" ht="15.75" thickBot="1">
      <c r="A28" s="6"/>
      <c r="B28" s="6"/>
      <c r="C28" s="6"/>
      <c r="D28" s="6"/>
      <c r="E28" s="6"/>
      <c r="F28" s="6"/>
      <c r="G28" s="6"/>
      <c r="H28" s="6"/>
      <c r="I28" s="6"/>
      <c r="J28" s="6"/>
      <c r="K28" s="6"/>
      <c r="L28" s="6"/>
      <c r="M28" s="6"/>
    </row>
    <row r="29" spans="1:17" ht="15">
      <c r="A29" s="6"/>
      <c r="B29" s="560" t="s">
        <v>207</v>
      </c>
      <c r="C29" s="560"/>
      <c r="D29" s="560"/>
      <c r="E29" s="560"/>
      <c r="F29" s="560"/>
      <c r="G29" s="560"/>
      <c r="H29" s="560"/>
      <c r="I29" s="560"/>
      <c r="J29" s="560"/>
      <c r="K29" s="560"/>
      <c r="L29" s="560"/>
      <c r="M29" s="560"/>
      <c r="N29" s="560"/>
      <c r="O29" s="60"/>
      <c r="P29" s="61">
        <f>+C33</f>
        <v>3000228</v>
      </c>
      <c r="Q29" s="62"/>
    </row>
    <row r="30" spans="1:17" ht="45" customHeight="1">
      <c r="A30" s="6"/>
      <c r="B30" s="63" t="s">
        <v>208</v>
      </c>
      <c r="C30" s="64" t="s">
        <v>16</v>
      </c>
      <c r="D30" s="64" t="s">
        <v>17</v>
      </c>
      <c r="E30" s="64" t="s">
        <v>18</v>
      </c>
      <c r="F30" s="64" t="s">
        <v>19</v>
      </c>
      <c r="G30" s="64" t="s">
        <v>20</v>
      </c>
      <c r="H30" s="64" t="s">
        <v>21</v>
      </c>
      <c r="I30" s="64" t="s">
        <v>22</v>
      </c>
      <c r="J30" s="64" t="s">
        <v>23</v>
      </c>
      <c r="K30" s="64" t="s">
        <v>209</v>
      </c>
      <c r="L30" s="64" t="s">
        <v>210</v>
      </c>
      <c r="M30" s="64" t="s">
        <v>211</v>
      </c>
      <c r="N30" s="64" t="s">
        <v>193</v>
      </c>
      <c r="O30" s="60"/>
      <c r="P30" s="61">
        <f>+D33</f>
        <v>4719767</v>
      </c>
      <c r="Q30" s="62"/>
    </row>
    <row r="31" spans="1:17" ht="14.25" customHeight="1">
      <c r="A31" s="6"/>
      <c r="B31" s="65" t="str">
        <f>CONCATENATE("Presupuesto (en ",'Introducción de datos'!$D$26,")")</f>
        <v>Presupuesto (en $)</v>
      </c>
      <c r="C31" s="429">
        <v>3000228</v>
      </c>
      <c r="D31" s="430">
        <v>1719539</v>
      </c>
      <c r="E31" s="430">
        <v>2645615</v>
      </c>
      <c r="F31" s="430">
        <v>1868227</v>
      </c>
      <c r="G31" s="430">
        <v>3044937</v>
      </c>
      <c r="H31" s="430">
        <v>1632207</v>
      </c>
      <c r="I31" s="430"/>
      <c r="J31" s="430"/>
      <c r="K31" s="66"/>
      <c r="L31" s="66"/>
      <c r="M31" s="66"/>
      <c r="N31" s="66"/>
      <c r="O31" s="60"/>
      <c r="P31" s="61">
        <f>+E33</f>
        <v>7365382</v>
      </c>
      <c r="Q31" s="62"/>
    </row>
    <row r="32" spans="1:17" ht="14.25" customHeight="1">
      <c r="A32" s="6"/>
      <c r="B32" s="67" t="str">
        <f>CONCATENATE("Desembolsos por el Fondo Mundial (en ",$D$26,")")</f>
        <v>Desembolsos por el Fondo Mundial (en $)</v>
      </c>
      <c r="C32" s="429">
        <v>4765803</v>
      </c>
      <c r="D32" s="429"/>
      <c r="E32" s="429"/>
      <c r="F32" s="429"/>
      <c r="G32" s="429"/>
      <c r="H32" s="429"/>
      <c r="I32" s="430"/>
      <c r="J32" s="430"/>
      <c r="K32" s="66"/>
      <c r="L32" s="66"/>
      <c r="M32" s="66"/>
      <c r="N32" s="66"/>
      <c r="O32" s="60"/>
      <c r="P32" s="61">
        <f>+F33</f>
        <v>9233609</v>
      </c>
      <c r="Q32" s="62"/>
    </row>
    <row r="33" spans="1:17" ht="14.25" customHeight="1">
      <c r="A33" s="6"/>
      <c r="B33" s="68" t="s">
        <v>212</v>
      </c>
      <c r="C33" s="69">
        <f>+C31</f>
        <v>3000228</v>
      </c>
      <c r="D33" s="69">
        <f>IF(AND(D31=0,D32=0),0,+C33+D31)</f>
        <v>4719767</v>
      </c>
      <c r="E33" s="69">
        <f aca="true" t="shared" si="0" ref="E33:N33">IF(AND(E31=0,E32=0),0,+D33+E31)</f>
        <v>7365382</v>
      </c>
      <c r="F33" s="69">
        <f t="shared" si="0"/>
        <v>9233609</v>
      </c>
      <c r="G33" s="69">
        <f t="shared" si="0"/>
        <v>12278546</v>
      </c>
      <c r="H33" s="69">
        <f t="shared" si="0"/>
        <v>13910753</v>
      </c>
      <c r="I33" s="69">
        <f t="shared" si="0"/>
        <v>0</v>
      </c>
      <c r="J33" s="432">
        <f t="shared" si="0"/>
        <v>0</v>
      </c>
      <c r="K33" s="69">
        <f t="shared" si="0"/>
        <v>0</v>
      </c>
      <c r="L33" s="69">
        <f t="shared" si="0"/>
        <v>0</v>
      </c>
      <c r="M33" s="69">
        <f t="shared" si="0"/>
        <v>0</v>
      </c>
      <c r="N33" s="69">
        <f t="shared" si="0"/>
        <v>0</v>
      </c>
      <c r="O33" s="60"/>
      <c r="P33" s="61">
        <f>+G33</f>
        <v>12278546</v>
      </c>
      <c r="Q33" s="62"/>
    </row>
    <row r="34" spans="1:17" ht="15" customHeight="1" thickBot="1">
      <c r="A34" s="6"/>
      <c r="B34" s="70" t="s">
        <v>213</v>
      </c>
      <c r="C34" s="71">
        <f>+C32</f>
        <v>4765803</v>
      </c>
      <c r="D34" s="71">
        <f>IF(AND(D31=0,D32=0),0,+C34+D32)</f>
        <v>4765803</v>
      </c>
      <c r="E34" s="71">
        <f aca="true" t="shared" si="1" ref="E34:N34">IF(AND(E31=0,E32=0),0,+D34+E32)</f>
        <v>4765803</v>
      </c>
      <c r="F34" s="71">
        <f t="shared" si="1"/>
        <v>4765803</v>
      </c>
      <c r="G34" s="71">
        <f t="shared" si="1"/>
        <v>4765803</v>
      </c>
      <c r="H34" s="71">
        <f t="shared" si="1"/>
        <v>4765803</v>
      </c>
      <c r="I34" s="71">
        <f t="shared" si="1"/>
        <v>0</v>
      </c>
      <c r="J34" s="71">
        <f t="shared" si="1"/>
        <v>0</v>
      </c>
      <c r="K34" s="71">
        <f t="shared" si="1"/>
        <v>0</v>
      </c>
      <c r="L34" s="71">
        <f t="shared" si="1"/>
        <v>0</v>
      </c>
      <c r="M34" s="71">
        <f t="shared" si="1"/>
        <v>0</v>
      </c>
      <c r="N34" s="71">
        <f t="shared" si="1"/>
        <v>0</v>
      </c>
      <c r="O34" s="60"/>
      <c r="P34" s="61">
        <f>+H33</f>
        <v>13910753</v>
      </c>
      <c r="Q34" s="62"/>
    </row>
    <row r="35" spans="1:17" ht="15">
      <c r="A35" s="6"/>
      <c r="B35" s="6"/>
      <c r="C35" s="72">
        <f>+IF(AND(C30=$C$16,C33&lt;&gt;0),C34/C33,0)</f>
        <v>1.5884802754990621</v>
      </c>
      <c r="D35" s="72">
        <f aca="true" t="shared" si="2" ref="D35:N35">+IF(AND(D30=$C$16,D33&lt;&gt;0),D34/D33,0)</f>
        <v>0</v>
      </c>
      <c r="E35" s="72">
        <f t="shared" si="2"/>
        <v>0</v>
      </c>
      <c r="F35" s="72">
        <f t="shared" si="2"/>
        <v>0</v>
      </c>
      <c r="G35" s="72">
        <f t="shared" si="2"/>
        <v>0</v>
      </c>
      <c r="H35" s="72">
        <f t="shared" si="2"/>
        <v>0</v>
      </c>
      <c r="I35" s="72">
        <f t="shared" si="2"/>
        <v>0</v>
      </c>
      <c r="J35" s="72">
        <f t="shared" si="2"/>
        <v>0</v>
      </c>
      <c r="K35" s="72">
        <f t="shared" si="2"/>
        <v>0</v>
      </c>
      <c r="L35" s="72">
        <f t="shared" si="2"/>
        <v>0</v>
      </c>
      <c r="M35" s="72">
        <f t="shared" si="2"/>
        <v>0</v>
      </c>
      <c r="N35" s="72">
        <f t="shared" si="2"/>
        <v>0</v>
      </c>
      <c r="O35" s="73"/>
      <c r="P35" s="61">
        <f>+I33</f>
        <v>0</v>
      </c>
      <c r="Q35" s="62"/>
    </row>
    <row r="36" spans="1:29" ht="18.75">
      <c r="A36" s="6"/>
      <c r="B36" s="59" t="s">
        <v>214</v>
      </c>
      <c r="C36" s="6"/>
      <c r="D36" s="6"/>
      <c r="E36" s="74"/>
      <c r="F36" s="6"/>
      <c r="G36" s="75"/>
      <c r="H36" s="6"/>
      <c r="I36" s="6"/>
      <c r="J36" s="6"/>
      <c r="K36" s="6"/>
      <c r="L36" s="6"/>
      <c r="M36" s="6"/>
      <c r="N36" s="76"/>
      <c r="AC36" s="49"/>
    </row>
    <row r="37" spans="1:14" ht="15.75" thickBot="1">
      <c r="A37" s="6"/>
      <c r="B37" s="6"/>
      <c r="C37" s="6"/>
      <c r="D37" s="6"/>
      <c r="E37" s="6"/>
      <c r="F37" s="6"/>
      <c r="G37" s="6"/>
      <c r="H37" s="6"/>
      <c r="I37" s="6"/>
      <c r="J37" s="6"/>
      <c r="K37" s="6"/>
      <c r="L37" s="6"/>
      <c r="M37" s="6"/>
      <c r="N37" s="77"/>
    </row>
    <row r="38" spans="1:26" ht="30" customHeight="1">
      <c r="A38" s="6"/>
      <c r="B38" s="78" t="s">
        <v>215</v>
      </c>
      <c r="C38" s="79" t="str">
        <f>CONCATENATE("Presupuesto acumulado (en ",'Introducción de datos'!$D$26,")")</f>
        <v>Presupuesto acumulado (en $)</v>
      </c>
      <c r="D38" s="80" t="str">
        <f>CONCATENATE("Gastos acumulados (en ",'Introducción de datos'!$D$26,")")</f>
        <v>Gastos acumulados (en $)</v>
      </c>
      <c r="E38" s="81"/>
      <c r="F38" s="82"/>
      <c r="G38" s="6"/>
      <c r="H38" s="6"/>
      <c r="I38" s="6"/>
      <c r="J38" s="83"/>
      <c r="K38" s="84"/>
      <c r="N38"/>
      <c r="Y38" s="49"/>
      <c r="Z38" s="5"/>
    </row>
    <row r="39" spans="1:26" ht="14.25" customHeight="1">
      <c r="A39" s="6"/>
      <c r="B39" s="85" t="s">
        <v>216</v>
      </c>
      <c r="C39" s="86">
        <v>1938342</v>
      </c>
      <c r="D39" s="87">
        <v>755110</v>
      </c>
      <c r="E39" s="88"/>
      <c r="F39" s="89"/>
      <c r="G39" s="90"/>
      <c r="H39" s="6"/>
      <c r="I39" s="6"/>
      <c r="J39" s="91"/>
      <c r="K39" s="92"/>
      <c r="N39"/>
      <c r="Y39" s="49"/>
      <c r="Z39" s="5"/>
    </row>
    <row r="40" spans="1:26" ht="14.25" customHeight="1">
      <c r="A40" s="6"/>
      <c r="B40" s="85" t="s">
        <v>217</v>
      </c>
      <c r="C40" s="86">
        <v>11474</v>
      </c>
      <c r="D40" s="87"/>
      <c r="E40" s="93"/>
      <c r="F40" s="89"/>
      <c r="G40" s="90"/>
      <c r="H40" s="6"/>
      <c r="I40" s="6"/>
      <c r="J40" s="6"/>
      <c r="K40" s="92"/>
      <c r="N40"/>
      <c r="Y40" s="49"/>
      <c r="Z40" s="5"/>
    </row>
    <row r="41" spans="1:26" ht="15">
      <c r="A41" s="6"/>
      <c r="B41" s="94" t="s">
        <v>218</v>
      </c>
      <c r="C41" s="86">
        <v>1050412</v>
      </c>
      <c r="D41" s="87">
        <v>696039</v>
      </c>
      <c r="E41" s="93"/>
      <c r="F41" s="95"/>
      <c r="G41" s="6"/>
      <c r="H41" s="6"/>
      <c r="I41" s="6"/>
      <c r="J41" s="6"/>
      <c r="K41" s="92"/>
      <c r="N41"/>
      <c r="Y41" s="49"/>
      <c r="Z41" s="5"/>
    </row>
    <row r="42" spans="1:26" ht="15" customHeight="1">
      <c r="A42" s="6"/>
      <c r="B42" s="85"/>
      <c r="C42" s="86"/>
      <c r="D42" s="87"/>
      <c r="E42" s="93"/>
      <c r="F42" s="96"/>
      <c r="G42" s="6"/>
      <c r="H42" s="6"/>
      <c r="I42" s="6"/>
      <c r="J42" s="6"/>
      <c r="K42" s="49"/>
      <c r="N42"/>
      <c r="Y42" s="49"/>
      <c r="Z42" s="5"/>
    </row>
    <row r="43" spans="1:26" ht="15">
      <c r="A43" s="6"/>
      <c r="B43" s="85"/>
      <c r="C43" s="86"/>
      <c r="D43" s="87"/>
      <c r="E43" s="93"/>
      <c r="F43" s="97"/>
      <c r="G43" s="6"/>
      <c r="H43" s="6"/>
      <c r="I43" s="6"/>
      <c r="J43" s="6"/>
      <c r="K43" s="49"/>
      <c r="N43"/>
      <c r="Y43" s="49"/>
      <c r="Z43" s="5"/>
    </row>
    <row r="44" spans="1:26" ht="15">
      <c r="A44" s="6"/>
      <c r="B44" s="85"/>
      <c r="C44" s="98"/>
      <c r="D44" s="99"/>
      <c r="E44" s="93"/>
      <c r="F44" s="100"/>
      <c r="G44" s="6"/>
      <c r="H44" s="6"/>
      <c r="I44" s="6"/>
      <c r="J44" s="6"/>
      <c r="K44" s="49"/>
      <c r="N44"/>
      <c r="Y44" s="49"/>
      <c r="Z44" s="5"/>
    </row>
    <row r="45" spans="1:26" ht="15">
      <c r="A45" s="6"/>
      <c r="B45" s="101"/>
      <c r="C45" s="98"/>
      <c r="D45" s="99"/>
      <c r="E45" s="93"/>
      <c r="F45" s="97"/>
      <c r="G45" s="93"/>
      <c r="H45" s="93"/>
      <c r="I45" s="93"/>
      <c r="J45" s="93"/>
      <c r="K45" s="49"/>
      <c r="N45"/>
      <c r="Y45" s="5"/>
      <c r="Z45" s="5"/>
    </row>
    <row r="46" spans="1:26" ht="15.75" thickBot="1">
      <c r="A46" s="6"/>
      <c r="B46" s="102"/>
      <c r="C46" s="98"/>
      <c r="D46" s="99"/>
      <c r="E46" s="93"/>
      <c r="F46" s="93"/>
      <c r="G46" s="93"/>
      <c r="H46" s="93"/>
      <c r="I46" s="93"/>
      <c r="J46" s="93"/>
      <c r="K46" s="49"/>
      <c r="N46"/>
      <c r="Y46" s="5"/>
      <c r="Z46" s="5"/>
    </row>
    <row r="47" spans="1:26" ht="15.75" thickBot="1">
      <c r="A47" s="6"/>
      <c r="B47" s="103" t="s">
        <v>219</v>
      </c>
      <c r="C47" s="431">
        <f>SUM(C39:C43)</f>
        <v>3000228</v>
      </c>
      <c r="D47" s="104">
        <f>SUM(D39:D43)</f>
        <v>1451149</v>
      </c>
      <c r="E47" s="105"/>
      <c r="F47" s="561" t="str">
        <f ca="1">+IF((ROUND(C47,0)=ROUND(OFFSET(B33,0,RIGHT('Introducción de datos'!$C$16,LEN('Introducción de datos'!$C$16)-1),1,1),0)),"OK: Datos corresponden","Atención: Datos no corresponden")</f>
        <v>OK: Datos corresponden</v>
      </c>
      <c r="G47" s="561"/>
      <c r="H47" s="561"/>
      <c r="I47" s="561"/>
      <c r="J47" s="106"/>
      <c r="K47" s="106"/>
      <c r="L47" s="106"/>
      <c r="M47" s="107"/>
      <c r="N47" s="73"/>
      <c r="Y47" s="5"/>
      <c r="Z47" s="5"/>
    </row>
    <row r="48" spans="1:17" ht="15">
      <c r="A48" s="6"/>
      <c r="B48" s="6"/>
      <c r="C48" s="106"/>
      <c r="D48" s="106"/>
      <c r="E48" s="108"/>
      <c r="F48" s="106"/>
      <c r="G48" s="106"/>
      <c r="H48" s="106"/>
      <c r="I48" s="106"/>
      <c r="J48" s="106"/>
      <c r="K48" s="106"/>
      <c r="L48" s="106"/>
      <c r="M48" s="106"/>
      <c r="N48" s="106"/>
      <c r="O48" s="73"/>
      <c r="P48" s="61"/>
      <c r="Q48" s="62"/>
    </row>
    <row r="49" spans="1:17" ht="18.75">
      <c r="A49" s="6"/>
      <c r="B49" s="59" t="s">
        <v>220</v>
      </c>
      <c r="C49" s="6"/>
      <c r="D49" s="6"/>
      <c r="E49" s="6"/>
      <c r="F49" s="6"/>
      <c r="G49" s="6"/>
      <c r="H49" s="6"/>
      <c r="I49" s="6"/>
      <c r="J49" s="6"/>
      <c r="K49" s="6"/>
      <c r="L49" s="6"/>
      <c r="M49" s="6"/>
      <c r="O49" s="60"/>
      <c r="P49" s="61">
        <f>+J33</f>
        <v>0</v>
      </c>
      <c r="Q49" s="62"/>
    </row>
    <row r="50" spans="1:17" ht="15.75" thickBot="1">
      <c r="A50" s="6"/>
      <c r="B50" s="6"/>
      <c r="C50" s="6"/>
      <c r="D50" s="6"/>
      <c r="E50" s="6"/>
      <c r="F50" s="6"/>
      <c r="G50" s="6"/>
      <c r="H50" s="6"/>
      <c r="I50" s="6"/>
      <c r="J50" s="6"/>
      <c r="K50" s="6"/>
      <c r="L50" s="6"/>
      <c r="M50" s="6"/>
      <c r="O50" s="60"/>
      <c r="P50" s="61">
        <f>+K33</f>
        <v>0</v>
      </c>
      <c r="Q50" s="62"/>
    </row>
    <row r="51" spans="1:28" ht="35.25" customHeight="1">
      <c r="A51" s="6"/>
      <c r="B51" s="109"/>
      <c r="C51" s="110" t="s">
        <v>221</v>
      </c>
      <c r="D51" s="110" t="s">
        <v>222</v>
      </c>
      <c r="E51" s="111" t="str">
        <f>CONCATENATE("Total gastado y desembolso (en ",D26,")")</f>
        <v>Total gastado y desembolso (en $)</v>
      </c>
      <c r="F51" s="6"/>
      <c r="G51" s="112"/>
      <c r="H51" s="82"/>
      <c r="I51" s="113"/>
      <c r="J51" s="113"/>
      <c r="K51" s="113"/>
      <c r="L51" s="113"/>
      <c r="M51" s="114"/>
      <c r="N51" s="114"/>
      <c r="O51" s="61">
        <f>+M33</f>
        <v>0</v>
      </c>
      <c r="P51" s="62"/>
      <c r="AB51" s="49"/>
    </row>
    <row r="52" spans="1:28" ht="15">
      <c r="A52" s="6"/>
      <c r="B52" s="115" t="s">
        <v>223</v>
      </c>
      <c r="C52" s="116">
        <v>4765803</v>
      </c>
      <c r="D52" s="116">
        <v>0</v>
      </c>
      <c r="E52" s="117">
        <f>+D52+C52</f>
        <v>4765803</v>
      </c>
      <c r="F52" s="6"/>
      <c r="G52" s="118"/>
      <c r="H52" s="119"/>
      <c r="I52" s="120"/>
      <c r="J52" s="121"/>
      <c r="K52" s="121"/>
      <c r="L52" s="122"/>
      <c r="M52" s="122"/>
      <c r="N52" s="122"/>
      <c r="O52" s="62"/>
      <c r="P52" s="62"/>
      <c r="AB52" s="49"/>
    </row>
    <row r="53" spans="1:28" ht="15">
      <c r="A53" s="6"/>
      <c r="B53" s="115" t="s">
        <v>224</v>
      </c>
      <c r="C53" s="116"/>
      <c r="D53" s="472">
        <v>1512572</v>
      </c>
      <c r="E53" s="117">
        <f>+D53+C53</f>
        <v>1512572</v>
      </c>
      <c r="F53" s="6"/>
      <c r="G53" s="123"/>
      <c r="H53" s="119"/>
      <c r="I53" s="120"/>
      <c r="J53" s="121"/>
      <c r="K53" s="121"/>
      <c r="L53" s="122"/>
      <c r="M53" s="124"/>
      <c r="N53" s="124"/>
      <c r="O53" s="62"/>
      <c r="P53" s="62"/>
      <c r="AB53" s="49"/>
    </row>
    <row r="54" spans="1:28" ht="15">
      <c r="A54" s="6"/>
      <c r="B54" s="115" t="s">
        <v>225</v>
      </c>
      <c r="C54" s="125"/>
      <c r="D54" s="472">
        <v>486656</v>
      </c>
      <c r="E54" s="117">
        <f>+D54+C54</f>
        <v>486656</v>
      </c>
      <c r="F54" s="6"/>
      <c r="G54" s="118"/>
      <c r="H54" s="119"/>
      <c r="I54" s="120"/>
      <c r="J54" s="121"/>
      <c r="K54" s="121"/>
      <c r="L54" s="122"/>
      <c r="M54" s="122"/>
      <c r="N54" s="122"/>
      <c r="AB54" s="49"/>
    </row>
    <row r="55" spans="1:28" ht="15.75" thickBot="1">
      <c r="A55" s="6"/>
      <c r="B55" s="126" t="s">
        <v>226</v>
      </c>
      <c r="C55" s="127"/>
      <c r="D55" s="473">
        <v>425234</v>
      </c>
      <c r="E55" s="128">
        <f>+D55+C55</f>
        <v>425234</v>
      </c>
      <c r="F55" s="6"/>
      <c r="G55" s="123"/>
      <c r="H55" s="129"/>
      <c r="I55" s="130"/>
      <c r="J55" s="130"/>
      <c r="K55" s="130"/>
      <c r="L55" s="122"/>
      <c r="M55" s="124"/>
      <c r="N55" s="124"/>
      <c r="AB55" s="49"/>
    </row>
    <row r="56" spans="1:29" ht="15.75" customHeight="1">
      <c r="A56" s="6"/>
      <c r="B56" s="6"/>
      <c r="C56" s="6"/>
      <c r="D56" s="6"/>
      <c r="E56" s="6"/>
      <c r="F56" s="6"/>
      <c r="G56" s="6"/>
      <c r="H56" s="6"/>
      <c r="I56" s="6"/>
      <c r="J56" s="6"/>
      <c r="K56" s="6"/>
      <c r="L56" s="6"/>
      <c r="M56" s="6"/>
      <c r="AC56" s="49"/>
    </row>
    <row r="57" spans="1:13" ht="15">
      <c r="A57" s="6"/>
      <c r="B57" s="6"/>
      <c r="C57" s="6"/>
      <c r="D57" s="6"/>
      <c r="E57" s="6"/>
      <c r="F57" s="6"/>
      <c r="G57" s="6"/>
      <c r="H57" s="6"/>
      <c r="I57" s="6"/>
      <c r="J57" s="6"/>
      <c r="K57" s="6"/>
      <c r="L57" s="6"/>
      <c r="M57" s="6"/>
    </row>
    <row r="58" spans="1:13" ht="18.75">
      <c r="A58" s="6"/>
      <c r="B58" s="59" t="s">
        <v>227</v>
      </c>
      <c r="C58" s="6"/>
      <c r="D58" s="6"/>
      <c r="E58" s="6"/>
      <c r="F58" s="6"/>
      <c r="G58" s="6"/>
      <c r="H58" s="6"/>
      <c r="I58" s="6"/>
      <c r="J58" s="6"/>
      <c r="K58" s="6"/>
      <c r="L58" s="6"/>
      <c r="M58" s="6"/>
    </row>
    <row r="59" spans="1:13" ht="15.75" thickBot="1">
      <c r="A59" s="6"/>
      <c r="B59" s="6"/>
      <c r="C59" s="6"/>
      <c r="D59" s="6"/>
      <c r="E59" s="6"/>
      <c r="F59" s="6"/>
      <c r="G59" s="6"/>
      <c r="H59" s="6"/>
      <c r="I59" s="6"/>
      <c r="J59" s="6"/>
      <c r="K59" s="6"/>
      <c r="L59" s="6"/>
      <c r="M59" s="6"/>
    </row>
    <row r="60" spans="1:13" ht="14.25" customHeight="1">
      <c r="A60" s="6"/>
      <c r="B60" s="562" t="s">
        <v>228</v>
      </c>
      <c r="C60" s="562"/>
      <c r="D60" s="562"/>
      <c r="E60" s="6"/>
      <c r="F60" s="6"/>
      <c r="G60" s="6"/>
      <c r="H60" s="6"/>
      <c r="I60" s="6"/>
      <c r="J60" s="6"/>
      <c r="K60" s="6"/>
      <c r="L60" s="6"/>
      <c r="M60" s="5"/>
    </row>
    <row r="61" spans="1:13" ht="15">
      <c r="A61" s="6"/>
      <c r="B61" s="131"/>
      <c r="C61" s="132" t="s">
        <v>229</v>
      </c>
      <c r="D61" s="133" t="s">
        <v>230</v>
      </c>
      <c r="E61" s="6"/>
      <c r="F61" s="6"/>
      <c r="G61" s="6"/>
      <c r="H61" s="6"/>
      <c r="I61" s="6"/>
      <c r="J61" s="6"/>
      <c r="K61" s="6"/>
      <c r="L61" s="6"/>
      <c r="M61" s="5"/>
    </row>
    <row r="62" spans="1:13" ht="15">
      <c r="A62" s="6"/>
      <c r="B62" s="134" t="s">
        <v>231</v>
      </c>
      <c r="C62" s="135">
        <v>45</v>
      </c>
      <c r="D62" s="136">
        <v>45</v>
      </c>
      <c r="E62" s="6"/>
      <c r="F62" s="6"/>
      <c r="G62" s="6"/>
      <c r="H62" s="6"/>
      <c r="I62" s="6"/>
      <c r="J62" s="6"/>
      <c r="K62" s="6"/>
      <c r="L62" s="6"/>
      <c r="M62" s="5"/>
    </row>
    <row r="63" spans="1:13" ht="15">
      <c r="A63" s="6"/>
      <c r="B63" s="137" t="s">
        <v>232</v>
      </c>
      <c r="C63" s="135">
        <v>45</v>
      </c>
      <c r="D63" s="136">
        <v>0</v>
      </c>
      <c r="E63" s="6"/>
      <c r="F63" s="6"/>
      <c r="G63" s="6"/>
      <c r="H63" s="119"/>
      <c r="I63" s="119"/>
      <c r="J63" s="6"/>
      <c r="K63" s="6"/>
      <c r="L63" s="6"/>
      <c r="M63" s="5"/>
    </row>
    <row r="64" spans="1:13" ht="15.75" thickBot="1">
      <c r="A64" s="6"/>
      <c r="B64" s="138" t="s">
        <v>233</v>
      </c>
      <c r="C64" s="139">
        <v>15</v>
      </c>
      <c r="D64" s="140">
        <v>12</v>
      </c>
      <c r="E64" s="6"/>
      <c r="F64" s="6"/>
      <c r="G64" s="6"/>
      <c r="H64" s="119"/>
      <c r="I64" s="119"/>
      <c r="J64" s="6"/>
      <c r="K64" s="6"/>
      <c r="L64" s="6"/>
      <c r="M64" s="5"/>
    </row>
    <row r="65" spans="1:13" ht="15">
      <c r="A65" s="6"/>
      <c r="B65" s="6"/>
      <c r="C65" s="6"/>
      <c r="D65" s="6"/>
      <c r="E65" s="6"/>
      <c r="F65" s="6"/>
      <c r="G65" s="6"/>
      <c r="H65" s="6"/>
      <c r="I65" s="6"/>
      <c r="J65" s="6"/>
      <c r="K65" s="6"/>
      <c r="L65" s="6"/>
      <c r="M65" s="6"/>
    </row>
    <row r="66" spans="1:24" ht="15.75" thickBot="1">
      <c r="A66" s="6"/>
      <c r="B66" s="6"/>
      <c r="C66" s="6"/>
      <c r="D66" s="6"/>
      <c r="E66" s="6"/>
      <c r="F66" s="6"/>
      <c r="G66" s="6"/>
      <c r="H66" s="6"/>
      <c r="I66" s="6"/>
      <c r="J66" s="6"/>
      <c r="K66" s="6"/>
      <c r="L66" s="141"/>
      <c r="M66" s="6"/>
      <c r="W66" s="10"/>
      <c r="X66" s="10"/>
    </row>
    <row r="67" spans="1:24" ht="19.5" thickBot="1">
      <c r="A67" s="6"/>
      <c r="B67" s="142" t="s">
        <v>234</v>
      </c>
      <c r="C67" s="143"/>
      <c r="D67" s="143"/>
      <c r="E67" s="143"/>
      <c r="F67" s="143"/>
      <c r="G67" s="143"/>
      <c r="H67" s="144" t="s">
        <v>235</v>
      </c>
      <c r="I67" s="143"/>
      <c r="J67" s="145"/>
      <c r="K67" s="145"/>
      <c r="L67" s="146"/>
      <c r="M67" s="147"/>
      <c r="N67" s="148"/>
      <c r="Q67" s="54"/>
      <c r="W67" s="10"/>
      <c r="X67" s="10"/>
    </row>
    <row r="68" spans="1:24" ht="18.75">
      <c r="A68" s="6"/>
      <c r="B68" s="149"/>
      <c r="C68" s="150"/>
      <c r="D68" s="150"/>
      <c r="E68" s="150"/>
      <c r="F68" s="150"/>
      <c r="G68" s="150"/>
      <c r="H68" s="150"/>
      <c r="I68" s="150"/>
      <c r="J68" s="150"/>
      <c r="K68" s="151"/>
      <c r="L68" s="151"/>
      <c r="M68" s="150"/>
      <c r="N68" s="148"/>
      <c r="Q68" s="54"/>
      <c r="W68" s="10"/>
      <c r="X68" s="10"/>
    </row>
    <row r="69" spans="1:24" ht="18.75">
      <c r="A69" s="6"/>
      <c r="B69" s="149" t="s">
        <v>236</v>
      </c>
      <c r="C69" s="150"/>
      <c r="D69" s="150"/>
      <c r="E69" s="150"/>
      <c r="F69" s="150"/>
      <c r="G69" s="150"/>
      <c r="H69" s="150"/>
      <c r="I69" s="150"/>
      <c r="J69" s="150"/>
      <c r="K69" s="151"/>
      <c r="L69" s="151"/>
      <c r="M69" s="150"/>
      <c r="N69" s="148"/>
      <c r="Q69" s="54"/>
      <c r="W69" s="10"/>
      <c r="X69" s="10"/>
    </row>
    <row r="70" spans="1:24" ht="15.75" thickBot="1">
      <c r="A70" s="6"/>
      <c r="B70" s="152"/>
      <c r="C70" s="153"/>
      <c r="D70" s="153"/>
      <c r="E70" s="153"/>
      <c r="F70" s="153"/>
      <c r="G70" s="153"/>
      <c r="H70" s="152"/>
      <c r="I70" s="153"/>
      <c r="J70" s="152"/>
      <c r="K70" s="152"/>
      <c r="L70" s="152"/>
      <c r="M70" s="152"/>
      <c r="N70" s="49"/>
      <c r="O70" s="10"/>
      <c r="P70" s="10"/>
      <c r="Q70" s="10"/>
      <c r="X70" s="10"/>
    </row>
    <row r="71" spans="1:17" ht="75">
      <c r="A71" s="6"/>
      <c r="B71" s="567"/>
      <c r="C71" s="567"/>
      <c r="D71" s="154" t="s">
        <v>237</v>
      </c>
      <c r="E71" s="155" t="s">
        <v>238</v>
      </c>
      <c r="F71" s="155" t="s">
        <v>239</v>
      </c>
      <c r="G71" s="156" t="s">
        <v>219</v>
      </c>
      <c r="H71" s="157"/>
      <c r="I71" s="158"/>
      <c r="J71" s="93"/>
      <c r="K71" s="152"/>
      <c r="L71" s="152"/>
      <c r="M71" s="152"/>
      <c r="N71" s="49"/>
      <c r="O71" s="10"/>
      <c r="P71" s="10"/>
      <c r="Q71" s="10"/>
    </row>
    <row r="72" spans="1:17" ht="15">
      <c r="A72" s="6"/>
      <c r="B72" s="568" t="s">
        <v>240</v>
      </c>
      <c r="C72" s="568"/>
      <c r="D72" s="160">
        <v>3</v>
      </c>
      <c r="E72" s="160">
        <v>0</v>
      </c>
      <c r="F72" s="160">
        <v>0</v>
      </c>
      <c r="G72" s="161">
        <f>SUM(D72:F72)</f>
        <v>3</v>
      </c>
      <c r="H72" s="97"/>
      <c r="I72" s="162"/>
      <c r="J72" s="162"/>
      <c r="K72" s="152"/>
      <c r="L72" s="152"/>
      <c r="M72" s="152"/>
      <c r="N72" s="49"/>
      <c r="O72" s="10"/>
      <c r="P72" s="10"/>
      <c r="Q72" s="10"/>
    </row>
    <row r="73" spans="1:17" ht="15.75" thickBot="1">
      <c r="A73" s="6"/>
      <c r="B73" s="569" t="s">
        <v>241</v>
      </c>
      <c r="C73" s="569"/>
      <c r="D73" s="164">
        <v>3</v>
      </c>
      <c r="E73" s="164">
        <v>0</v>
      </c>
      <c r="F73" s="164">
        <v>0</v>
      </c>
      <c r="G73" s="165">
        <f>SUM(D73:F73)</f>
        <v>3</v>
      </c>
      <c r="H73" s="97"/>
      <c r="I73" s="93"/>
      <c r="J73" s="93"/>
      <c r="K73" s="152"/>
      <c r="L73" s="152"/>
      <c r="M73" s="152"/>
      <c r="N73" s="10"/>
      <c r="O73" s="10"/>
      <c r="P73" s="10"/>
      <c r="Q73" s="10"/>
    </row>
    <row r="74" spans="1:17" ht="15">
      <c r="A74" s="6"/>
      <c r="B74" s="152"/>
      <c r="C74" s="152"/>
      <c r="D74" s="152"/>
      <c r="E74" s="152"/>
      <c r="F74" s="152"/>
      <c r="G74" s="152"/>
      <c r="H74" s="152"/>
      <c r="I74" s="152"/>
      <c r="J74" s="152"/>
      <c r="K74" s="152"/>
      <c r="L74" s="152"/>
      <c r="M74" s="152"/>
      <c r="N74" s="10"/>
      <c r="O74" s="10"/>
      <c r="P74" s="10"/>
      <c r="Q74" s="10"/>
    </row>
    <row r="75" spans="1:17" ht="15">
      <c r="A75" s="6"/>
      <c r="B75" s="152"/>
      <c r="C75" s="152"/>
      <c r="D75" s="152"/>
      <c r="E75" s="152"/>
      <c r="F75" s="152"/>
      <c r="G75" s="152"/>
      <c r="H75" s="152"/>
      <c r="I75" s="152"/>
      <c r="J75" s="152"/>
      <c r="K75" s="152"/>
      <c r="L75" s="152"/>
      <c r="M75" s="152"/>
      <c r="N75" s="10"/>
      <c r="Q75" s="10"/>
    </row>
    <row r="76" spans="1:17" ht="18.75">
      <c r="A76" s="6"/>
      <c r="B76" s="149" t="s">
        <v>242</v>
      </c>
      <c r="C76" s="152"/>
      <c r="D76" s="152"/>
      <c r="E76" s="152"/>
      <c r="F76" s="152"/>
      <c r="G76" s="152"/>
      <c r="H76" s="152"/>
      <c r="I76" s="152"/>
      <c r="J76" s="152"/>
      <c r="K76" s="152"/>
      <c r="L76" s="152"/>
      <c r="M76" s="152"/>
      <c r="N76" s="10"/>
      <c r="Q76" s="10"/>
    </row>
    <row r="77" spans="1:17" ht="15.75" thickBot="1">
      <c r="A77" s="6"/>
      <c r="B77" s="152"/>
      <c r="C77" s="152"/>
      <c r="D77" s="152"/>
      <c r="E77" s="152"/>
      <c r="F77" s="152"/>
      <c r="G77" s="152"/>
      <c r="H77" s="152"/>
      <c r="I77" s="152"/>
      <c r="J77" s="152"/>
      <c r="K77" s="152"/>
      <c r="L77" s="152"/>
      <c r="M77" s="152"/>
      <c r="N77" s="10"/>
      <c r="Q77" s="10"/>
    </row>
    <row r="78" spans="1:17" ht="15">
      <c r="A78" s="6"/>
      <c r="B78" s="166"/>
      <c r="C78" s="167" t="s">
        <v>243</v>
      </c>
      <c r="D78" s="167" t="s">
        <v>244</v>
      </c>
      <c r="E78" s="168" t="s">
        <v>245</v>
      </c>
      <c r="F78" s="93"/>
      <c r="G78" s="93"/>
      <c r="H78" s="93"/>
      <c r="I78" s="158"/>
      <c r="J78" s="152"/>
      <c r="K78" s="152"/>
      <c r="L78" s="152"/>
      <c r="M78" s="152"/>
      <c r="N78" s="10"/>
      <c r="Q78" s="10"/>
    </row>
    <row r="79" spans="1:17" ht="15.75" thickBot="1">
      <c r="A79" s="6"/>
      <c r="B79" s="163" t="s">
        <v>246</v>
      </c>
      <c r="C79" s="169">
        <v>6</v>
      </c>
      <c r="D79" s="169">
        <v>6</v>
      </c>
      <c r="E79" s="170">
        <f>+C79-D79</f>
        <v>0</v>
      </c>
      <c r="F79" s="171"/>
      <c r="G79" s="172"/>
      <c r="H79" s="93"/>
      <c r="I79" s="162"/>
      <c r="J79" s="152"/>
      <c r="K79" s="152"/>
      <c r="L79" s="152"/>
      <c r="M79" s="152"/>
      <c r="N79" s="10"/>
      <c r="Q79" s="10"/>
    </row>
    <row r="80" spans="1:17" ht="15">
      <c r="A80" s="6"/>
      <c r="B80" s="152"/>
      <c r="C80" s="152"/>
      <c r="D80" s="152"/>
      <c r="E80" s="152"/>
      <c r="F80" s="152"/>
      <c r="G80" s="152"/>
      <c r="H80" s="152"/>
      <c r="I80" s="152"/>
      <c r="J80" s="152"/>
      <c r="K80" s="152"/>
      <c r="L80" s="152"/>
      <c r="M80" s="152"/>
      <c r="N80" s="10"/>
      <c r="Q80" s="10"/>
    </row>
    <row r="81" spans="1:17" ht="18.75">
      <c r="A81" s="6"/>
      <c r="B81" s="149" t="s">
        <v>247</v>
      </c>
      <c r="C81" s="152"/>
      <c r="D81" s="152"/>
      <c r="E81" s="152"/>
      <c r="F81" s="152"/>
      <c r="G81" s="152"/>
      <c r="H81" s="152"/>
      <c r="I81" s="152"/>
      <c r="J81" s="152"/>
      <c r="K81" s="152"/>
      <c r="L81" s="152"/>
      <c r="M81" s="152"/>
      <c r="N81" s="10"/>
      <c r="Q81" s="10"/>
    </row>
    <row r="82" spans="1:17" ht="15.75" thickBot="1">
      <c r="A82" s="6"/>
      <c r="B82" s="152"/>
      <c r="C82" s="152"/>
      <c r="D82" s="152"/>
      <c r="E82" s="152"/>
      <c r="F82" s="152"/>
      <c r="G82" s="152"/>
      <c r="H82" s="152"/>
      <c r="I82" s="152"/>
      <c r="J82" s="152"/>
      <c r="K82" s="152"/>
      <c r="L82" s="152"/>
      <c r="M82" s="152"/>
      <c r="N82" s="10"/>
      <c r="Q82" s="10"/>
    </row>
    <row r="83" spans="1:17" ht="30">
      <c r="A83" s="6"/>
      <c r="B83" s="166"/>
      <c r="C83" s="167" t="s">
        <v>248</v>
      </c>
      <c r="D83" s="167" t="s">
        <v>249</v>
      </c>
      <c r="E83" s="167" t="s">
        <v>250</v>
      </c>
      <c r="F83" s="167" t="s">
        <v>251</v>
      </c>
      <c r="G83" s="173" t="s">
        <v>252</v>
      </c>
      <c r="H83" s="174"/>
      <c r="I83" s="158"/>
      <c r="J83" s="152"/>
      <c r="K83" s="152"/>
      <c r="L83" s="152"/>
      <c r="M83" s="152"/>
      <c r="N83" s="10"/>
      <c r="Q83" s="10"/>
    </row>
    <row r="84" spans="1:17" ht="15.75" thickBot="1">
      <c r="A84" s="6"/>
      <c r="B84" s="163" t="s">
        <v>253</v>
      </c>
      <c r="C84" s="169">
        <v>6</v>
      </c>
      <c r="D84" s="169">
        <v>6</v>
      </c>
      <c r="E84" s="169">
        <v>6</v>
      </c>
      <c r="F84" s="169">
        <v>6</v>
      </c>
      <c r="G84" s="175">
        <v>6</v>
      </c>
      <c r="H84" s="176"/>
      <c r="I84" s="97"/>
      <c r="J84" s="152"/>
      <c r="K84" s="152"/>
      <c r="L84" s="152"/>
      <c r="M84" s="152"/>
      <c r="N84" s="10"/>
      <c r="Q84" s="10"/>
    </row>
    <row r="85" spans="1:17" ht="15">
      <c r="A85" s="6"/>
      <c r="B85" s="152"/>
      <c r="C85" s="152"/>
      <c r="D85" s="152"/>
      <c r="E85" s="152"/>
      <c r="F85" s="152"/>
      <c r="G85" s="152"/>
      <c r="H85" s="152"/>
      <c r="J85" s="152"/>
      <c r="K85" s="152"/>
      <c r="L85" s="152"/>
      <c r="M85" s="152"/>
      <c r="N85" s="10"/>
      <c r="Q85" s="10"/>
    </row>
    <row r="86" spans="1:17" ht="18.75">
      <c r="A86" s="6"/>
      <c r="B86" s="149" t="s">
        <v>254</v>
      </c>
      <c r="C86" s="152"/>
      <c r="D86" s="152"/>
      <c r="E86" s="152"/>
      <c r="F86" s="152"/>
      <c r="G86" s="152"/>
      <c r="H86" s="152"/>
      <c r="I86" s="152"/>
      <c r="J86" s="152"/>
      <c r="K86" s="152"/>
      <c r="L86" s="152"/>
      <c r="M86" s="152"/>
      <c r="N86" s="10"/>
      <c r="Q86" s="10"/>
    </row>
    <row r="87" spans="1:17" ht="15.75" thickBot="1">
      <c r="A87" s="6"/>
      <c r="B87" s="152"/>
      <c r="C87" s="152"/>
      <c r="D87" s="152"/>
      <c r="E87" s="152"/>
      <c r="F87" s="152"/>
      <c r="G87" s="152"/>
      <c r="H87" s="152"/>
      <c r="I87" s="152"/>
      <c r="J87" s="152"/>
      <c r="K87" s="152"/>
      <c r="L87" s="152"/>
      <c r="M87" s="152"/>
      <c r="N87" s="10"/>
      <c r="Q87" s="10"/>
    </row>
    <row r="88" spans="1:30" ht="15">
      <c r="A88" s="6"/>
      <c r="B88" s="166"/>
      <c r="C88" s="177" t="s">
        <v>255</v>
      </c>
      <c r="D88" s="177" t="s">
        <v>256</v>
      </c>
      <c r="E88" s="178" t="s">
        <v>257</v>
      </c>
      <c r="F88" s="152"/>
      <c r="G88" s="152"/>
      <c r="H88" s="152"/>
      <c r="I88" s="152"/>
      <c r="J88" s="10"/>
      <c r="K88" s="10"/>
      <c r="L88" s="10"/>
      <c r="N88"/>
      <c r="AA88" s="5"/>
      <c r="AD88"/>
    </row>
    <row r="89" spans="1:30" ht="15">
      <c r="A89" s="6"/>
      <c r="B89" s="159" t="s">
        <v>258</v>
      </c>
      <c r="C89" s="160">
        <v>0</v>
      </c>
      <c r="D89" s="179">
        <v>0</v>
      </c>
      <c r="E89" s="180">
        <f>C89-D89</f>
        <v>0</v>
      </c>
      <c r="F89" s="152"/>
      <c r="G89" s="152"/>
      <c r="H89" s="152"/>
      <c r="I89" s="152"/>
      <c r="J89" s="10"/>
      <c r="K89" s="10"/>
      <c r="L89" s="10"/>
      <c r="N89"/>
      <c r="AA89" s="5"/>
      <c r="AD89"/>
    </row>
    <row r="90" spans="1:30" ht="15.75" thickBot="1">
      <c r="A90" s="6"/>
      <c r="B90" s="163" t="s">
        <v>325</v>
      </c>
      <c r="C90" s="164">
        <v>12</v>
      </c>
      <c r="D90" s="181">
        <v>12</v>
      </c>
      <c r="E90" s="180">
        <f>C90-D90</f>
        <v>0</v>
      </c>
      <c r="F90" s="152"/>
      <c r="G90" s="152"/>
      <c r="H90" s="152"/>
      <c r="I90" s="152"/>
      <c r="J90" s="10"/>
      <c r="K90" s="10"/>
      <c r="L90" s="10"/>
      <c r="N90"/>
      <c r="AA90" s="5"/>
      <c r="AD90"/>
    </row>
    <row r="91" spans="1:17" ht="15">
      <c r="A91" s="6"/>
      <c r="B91" s="152"/>
      <c r="C91" s="152"/>
      <c r="D91" s="152"/>
      <c r="E91" s="152"/>
      <c r="F91" s="152"/>
      <c r="G91" s="152"/>
      <c r="H91" s="152"/>
      <c r="I91" s="152"/>
      <c r="J91" s="152"/>
      <c r="K91" s="152"/>
      <c r="L91" s="152"/>
      <c r="M91" s="152"/>
      <c r="N91" s="10"/>
      <c r="Q91" s="10"/>
    </row>
    <row r="92" spans="1:17" ht="18.75">
      <c r="A92" s="6"/>
      <c r="B92" s="149" t="s">
        <v>259</v>
      </c>
      <c r="C92" s="152"/>
      <c r="D92" s="152"/>
      <c r="E92" s="152"/>
      <c r="F92" s="152"/>
      <c r="G92" s="152"/>
      <c r="H92" s="152"/>
      <c r="I92" s="152"/>
      <c r="J92" s="152"/>
      <c r="K92" s="152"/>
      <c r="L92" s="152"/>
      <c r="M92" s="152"/>
      <c r="N92" s="10"/>
      <c r="Q92" s="10"/>
    </row>
    <row r="93" spans="1:17" ht="15.75" thickBot="1">
      <c r="A93" s="6"/>
      <c r="B93" s="152"/>
      <c r="C93" s="152"/>
      <c r="D93" s="152"/>
      <c r="E93" s="152"/>
      <c r="F93" s="152"/>
      <c r="G93" s="152"/>
      <c r="H93" s="152"/>
      <c r="I93" s="93"/>
      <c r="J93" s="93"/>
      <c r="K93" s="93"/>
      <c r="L93" s="93"/>
      <c r="M93" s="93"/>
      <c r="N93" s="49"/>
      <c r="Q93" s="10"/>
    </row>
    <row r="94" spans="1:17" ht="15">
      <c r="A94" s="6"/>
      <c r="B94" s="182"/>
      <c r="C94" s="183" t="s">
        <v>16</v>
      </c>
      <c r="D94" s="183" t="s">
        <v>17</v>
      </c>
      <c r="E94" s="183" t="s">
        <v>18</v>
      </c>
      <c r="F94" s="183" t="s">
        <v>19</v>
      </c>
      <c r="G94" s="183" t="s">
        <v>20</v>
      </c>
      <c r="H94" s="183" t="s">
        <v>21</v>
      </c>
      <c r="I94" s="183" t="s">
        <v>22</v>
      </c>
      <c r="J94" s="183" t="s">
        <v>23</v>
      </c>
      <c r="K94" s="183" t="s">
        <v>209</v>
      </c>
      <c r="L94" s="183" t="s">
        <v>210</v>
      </c>
      <c r="M94" s="183" t="s">
        <v>211</v>
      </c>
      <c r="N94" s="184" t="s">
        <v>193</v>
      </c>
      <c r="Q94" s="10"/>
    </row>
    <row r="95" spans="1:17" ht="15" customHeight="1">
      <c r="A95" s="6"/>
      <c r="B95" s="185" t="s">
        <v>260</v>
      </c>
      <c r="C95" s="186">
        <v>213862</v>
      </c>
      <c r="D95" s="186"/>
      <c r="E95" s="186">
        <v>492941</v>
      </c>
      <c r="F95" s="186"/>
      <c r="G95" s="186">
        <v>699682</v>
      </c>
      <c r="H95" s="186"/>
      <c r="I95" s="186"/>
      <c r="J95" s="186"/>
      <c r="K95" s="187"/>
      <c r="L95" s="187"/>
      <c r="M95" s="187"/>
      <c r="N95" s="187"/>
      <c r="Q95" s="10"/>
    </row>
    <row r="96" spans="1:17" ht="15" customHeight="1">
      <c r="A96" s="6"/>
      <c r="B96" s="185" t="s">
        <v>261</v>
      </c>
      <c r="C96" s="186">
        <v>142579</v>
      </c>
      <c r="D96" s="186"/>
      <c r="E96" s="186"/>
      <c r="F96" s="186"/>
      <c r="G96" s="186"/>
      <c r="H96" s="186"/>
      <c r="I96" s="186"/>
      <c r="J96" s="186"/>
      <c r="K96" s="187"/>
      <c r="L96" s="187"/>
      <c r="M96" s="187"/>
      <c r="N96" s="187"/>
      <c r="Q96" s="10"/>
    </row>
    <row r="97" spans="1:17" ht="15" customHeight="1">
      <c r="A97" s="6"/>
      <c r="B97" s="185" t="s">
        <v>262</v>
      </c>
      <c r="C97" s="186"/>
      <c r="D97" s="186"/>
      <c r="E97" s="186"/>
      <c r="F97" s="186"/>
      <c r="G97" s="186"/>
      <c r="H97" s="186"/>
      <c r="I97" s="186"/>
      <c r="J97" s="186"/>
      <c r="K97" s="187"/>
      <c r="L97" s="187"/>
      <c r="M97" s="187"/>
      <c r="N97" s="187"/>
      <c r="Q97" s="10"/>
    </row>
    <row r="98" spans="1:17" ht="15" customHeight="1">
      <c r="A98" s="6"/>
      <c r="B98" s="188" t="s">
        <v>263</v>
      </c>
      <c r="C98" s="189">
        <f>+C95</f>
        <v>213862</v>
      </c>
      <c r="D98" s="189">
        <f aca="true" t="shared" si="3" ref="D98:L98">+C98+D95</f>
        <v>213862</v>
      </c>
      <c r="E98" s="189">
        <f t="shared" si="3"/>
        <v>706803</v>
      </c>
      <c r="F98" s="189">
        <f t="shared" si="3"/>
        <v>706803</v>
      </c>
      <c r="G98" s="189">
        <f t="shared" si="3"/>
        <v>1406485</v>
      </c>
      <c r="H98" s="189">
        <f t="shared" si="3"/>
        <v>1406485</v>
      </c>
      <c r="I98" s="189">
        <f t="shared" si="3"/>
        <v>1406485</v>
      </c>
      <c r="J98" s="189">
        <f t="shared" si="3"/>
        <v>1406485</v>
      </c>
      <c r="K98" s="189">
        <f t="shared" si="3"/>
        <v>1406485</v>
      </c>
      <c r="L98" s="189">
        <f t="shared" si="3"/>
        <v>1406485</v>
      </c>
      <c r="M98" s="190">
        <f aca="true" t="shared" si="4" ref="M98:N100">+L98+M95</f>
        <v>1406485</v>
      </c>
      <c r="N98" s="190">
        <f t="shared" si="4"/>
        <v>1406485</v>
      </c>
      <c r="Q98" s="10"/>
    </row>
    <row r="99" spans="1:17" ht="15" customHeight="1">
      <c r="A99" s="6"/>
      <c r="B99" s="188" t="s">
        <v>264</v>
      </c>
      <c r="C99" s="189">
        <f>+C96</f>
        <v>142579</v>
      </c>
      <c r="D99" s="189">
        <f aca="true" t="shared" si="5" ref="D99:L99">+C99+D96</f>
        <v>142579</v>
      </c>
      <c r="E99" s="189">
        <f t="shared" si="5"/>
        <v>142579</v>
      </c>
      <c r="F99" s="189">
        <f t="shared" si="5"/>
        <v>142579</v>
      </c>
      <c r="G99" s="189">
        <f t="shared" si="5"/>
        <v>142579</v>
      </c>
      <c r="H99" s="189">
        <f t="shared" si="5"/>
        <v>142579</v>
      </c>
      <c r="I99" s="189">
        <f t="shared" si="5"/>
        <v>142579</v>
      </c>
      <c r="J99" s="189">
        <f t="shared" si="5"/>
        <v>142579</v>
      </c>
      <c r="K99" s="189">
        <f t="shared" si="5"/>
        <v>142579</v>
      </c>
      <c r="L99" s="189">
        <f t="shared" si="5"/>
        <v>142579</v>
      </c>
      <c r="M99" s="190">
        <f t="shared" si="4"/>
        <v>142579</v>
      </c>
      <c r="N99" s="190">
        <f t="shared" si="4"/>
        <v>142579</v>
      </c>
      <c r="Q99" s="10"/>
    </row>
    <row r="100" spans="1:17" ht="15">
      <c r="A100" s="6"/>
      <c r="B100" s="191" t="s">
        <v>265</v>
      </c>
      <c r="C100" s="192">
        <f>+C97</f>
        <v>0</v>
      </c>
      <c r="D100" s="189">
        <f aca="true" t="shared" si="6" ref="D100:L100">+C100+D97</f>
        <v>0</v>
      </c>
      <c r="E100" s="189">
        <f t="shared" si="6"/>
        <v>0</v>
      </c>
      <c r="F100" s="189">
        <f t="shared" si="6"/>
        <v>0</v>
      </c>
      <c r="G100" s="189">
        <f t="shared" si="6"/>
        <v>0</v>
      </c>
      <c r="H100" s="189">
        <f t="shared" si="6"/>
        <v>0</v>
      </c>
      <c r="I100" s="189">
        <f t="shared" si="6"/>
        <v>0</v>
      </c>
      <c r="J100" s="189">
        <f t="shared" si="6"/>
        <v>0</v>
      </c>
      <c r="K100" s="189">
        <f t="shared" si="6"/>
        <v>0</v>
      </c>
      <c r="L100" s="189">
        <f t="shared" si="6"/>
        <v>0</v>
      </c>
      <c r="M100" s="190">
        <f t="shared" si="4"/>
        <v>0</v>
      </c>
      <c r="N100" s="190">
        <f t="shared" si="4"/>
        <v>0</v>
      </c>
      <c r="Q100" s="10"/>
    </row>
    <row r="101" spans="1:17" ht="15">
      <c r="A101" s="6"/>
      <c r="B101" s="6"/>
      <c r="C101" s="152"/>
      <c r="D101" s="152"/>
      <c r="E101" s="152"/>
      <c r="F101" s="152"/>
      <c r="G101" s="152"/>
      <c r="H101" s="152"/>
      <c r="I101" s="93"/>
      <c r="J101" s="193"/>
      <c r="K101" s="194"/>
      <c r="L101" s="93"/>
      <c r="M101" s="195"/>
      <c r="N101" s="49"/>
      <c r="Q101" s="10"/>
    </row>
    <row r="102" spans="1:17" ht="15">
      <c r="A102" s="6"/>
      <c r="B102" s="196" t="s">
        <v>266</v>
      </c>
      <c r="C102" s="152"/>
      <c r="D102" s="152"/>
      <c r="E102" s="152"/>
      <c r="F102" s="152"/>
      <c r="G102" s="152"/>
      <c r="H102" s="152"/>
      <c r="I102" s="93"/>
      <c r="J102" s="193"/>
      <c r="K102" s="194"/>
      <c r="L102" s="93"/>
      <c r="M102" s="195"/>
      <c r="N102" s="49"/>
      <c r="Q102" s="10"/>
    </row>
    <row r="103" spans="1:17" ht="15">
      <c r="A103" s="6"/>
      <c r="C103" s="152"/>
      <c r="D103" s="152"/>
      <c r="E103" s="152"/>
      <c r="F103" s="152"/>
      <c r="G103" s="152"/>
      <c r="H103" s="152"/>
      <c r="I103" s="93"/>
      <c r="J103" s="193"/>
      <c r="K103" s="195"/>
      <c r="L103" s="93"/>
      <c r="M103" s="195"/>
      <c r="N103" s="49"/>
      <c r="Q103" s="10"/>
    </row>
    <row r="104" spans="1:14" ht="15">
      <c r="A104" s="6"/>
      <c r="B104" s="6"/>
      <c r="C104" s="6"/>
      <c r="D104" s="6"/>
      <c r="E104" s="6"/>
      <c r="F104" s="6"/>
      <c r="G104" s="6"/>
      <c r="H104" s="6"/>
      <c r="I104" s="93"/>
      <c r="J104" s="93"/>
      <c r="K104" s="93"/>
      <c r="L104" s="93"/>
      <c r="M104" s="93"/>
      <c r="N104" s="49"/>
    </row>
    <row r="105" spans="1:14" ht="18.75">
      <c r="A105" s="6"/>
      <c r="B105" s="149" t="s">
        <v>267</v>
      </c>
      <c r="C105" s="6"/>
      <c r="D105" s="6"/>
      <c r="E105" s="6"/>
      <c r="F105" s="6"/>
      <c r="G105" s="6"/>
      <c r="H105" s="6"/>
      <c r="I105" s="93"/>
      <c r="J105" s="93"/>
      <c r="K105" s="93"/>
      <c r="L105" s="93"/>
      <c r="M105" s="93"/>
      <c r="N105" s="49"/>
    </row>
    <row r="106" spans="1:17" ht="15.75" thickBot="1">
      <c r="A106" s="6"/>
      <c r="B106" s="6"/>
      <c r="C106" s="93"/>
      <c r="D106" s="93"/>
      <c r="E106" s="93"/>
      <c r="F106" s="93"/>
      <c r="G106" s="152"/>
      <c r="H106" s="152"/>
      <c r="I106" s="152"/>
      <c r="J106" s="93"/>
      <c r="K106" s="152"/>
      <c r="L106" s="93"/>
      <c r="M106" s="93"/>
      <c r="N106" s="49"/>
      <c r="O106" s="10"/>
      <c r="Q106" s="49"/>
    </row>
    <row r="107" spans="1:16" ht="135" customHeight="1">
      <c r="A107" s="6"/>
      <c r="B107" s="197" t="s">
        <v>268</v>
      </c>
      <c r="C107" s="198" t="s">
        <v>269</v>
      </c>
      <c r="D107" s="199" t="s">
        <v>370</v>
      </c>
      <c r="E107" s="199" t="s">
        <v>371</v>
      </c>
      <c r="F107" s="200" t="s">
        <v>369</v>
      </c>
      <c r="G107" s="200" t="s">
        <v>328</v>
      </c>
      <c r="H107" s="200" t="s">
        <v>366</v>
      </c>
      <c r="I107" s="200" t="s">
        <v>367</v>
      </c>
      <c r="J107" s="200" t="s">
        <v>368</v>
      </c>
      <c r="K107" s="201" t="s">
        <v>270</v>
      </c>
      <c r="L107" s="152"/>
      <c r="M107" s="49"/>
      <c r="N107" s="49"/>
      <c r="P107" s="49"/>
    </row>
    <row r="108" spans="1:16" ht="45.75" thickBot="1">
      <c r="A108" s="6"/>
      <c r="B108" s="558" t="s">
        <v>45</v>
      </c>
      <c r="C108" s="475" t="s">
        <v>355</v>
      </c>
      <c r="D108" s="434">
        <v>70</v>
      </c>
      <c r="E108" s="437">
        <f>IF(ISBLANK(D108),"",D108*12)</f>
        <v>840</v>
      </c>
      <c r="F108" s="438">
        <v>2949</v>
      </c>
      <c r="G108" s="442">
        <f>IF(AND(E108&gt;0,F108&gt;0),(F108*E108),"")</f>
        <v>2477160</v>
      </c>
      <c r="H108" s="439">
        <v>3292182</v>
      </c>
      <c r="I108" s="433">
        <f>IF(AND(G108&gt;0,H108&gt;0),H108/G108,"")*12</f>
        <v>15.94817613718936</v>
      </c>
      <c r="J108" s="479">
        <v>5</v>
      </c>
      <c r="K108" s="433">
        <f>IF(AND(I108&gt;0,J108&gt;0),I108-J108,"")</f>
        <v>10.94817613718936</v>
      </c>
      <c r="L108" s="152"/>
      <c r="M108" s="49"/>
      <c r="N108" s="49"/>
      <c r="P108" s="49"/>
    </row>
    <row r="109" spans="1:14" ht="30.75" thickBot="1">
      <c r="A109" s="6"/>
      <c r="B109" s="558"/>
      <c r="C109" s="475" t="s">
        <v>356</v>
      </c>
      <c r="D109" s="434">
        <v>3</v>
      </c>
      <c r="E109" s="437">
        <f>IF(ISBLANK(D109),"",D109*6)</f>
        <v>18</v>
      </c>
      <c r="F109" s="438">
        <v>1171</v>
      </c>
      <c r="G109" s="442">
        <f>IF(AND(E109&gt;0,F109&gt;0),(F109*E109),"")</f>
        <v>21078</v>
      </c>
      <c r="H109" s="439">
        <v>70920</v>
      </c>
      <c r="I109" s="433">
        <f>IF(AND(G109&gt;0,H109&gt;0),H109/G109,"")*12</f>
        <v>40.37574722459436</v>
      </c>
      <c r="J109" s="479">
        <v>5</v>
      </c>
      <c r="K109" s="433">
        <f>IF(AND(I109&gt;0,J109&gt;0),I109-J109,"")</f>
        <v>35.37574722459436</v>
      </c>
      <c r="L109" s="152"/>
      <c r="M109" s="49"/>
      <c r="N109" s="49"/>
    </row>
    <row r="110" spans="1:16" ht="15.75" thickBot="1">
      <c r="A110" s="6"/>
      <c r="B110" s="558"/>
      <c r="C110" s="202" t="s">
        <v>327</v>
      </c>
      <c r="D110" s="434">
        <v>0</v>
      </c>
      <c r="E110" s="437">
        <f>IF(ISBLANK(D110),"",D110*30)</f>
        <v>0</v>
      </c>
      <c r="F110" s="438">
        <v>0</v>
      </c>
      <c r="G110" s="442">
        <f>IF(AND(E110&gt;0,F110&gt;0),(F110*E110),"")</f>
      </c>
      <c r="H110" s="439"/>
      <c r="I110" s="433">
        <f>IF(AND(G110&gt;0,H110&gt;0),H110/G110,"")</f>
      </c>
      <c r="J110" s="434">
        <v>0</v>
      </c>
      <c r="K110" s="433">
        <f>IF(AND(I110&gt;0,J110&gt;0),I110-J110,"")</f>
      </c>
      <c r="L110" s="152"/>
      <c r="M110" s="49"/>
      <c r="N110" s="49"/>
      <c r="P110" s="49"/>
    </row>
    <row r="111" spans="1:16" ht="15.75" thickBot="1">
      <c r="A111" s="6"/>
      <c r="B111" s="558"/>
      <c r="C111" s="203"/>
      <c r="D111" s="435"/>
      <c r="E111" s="437">
        <f>IF(ISBLANK(D111),"",D111*30)</f>
      </c>
      <c r="F111" s="438"/>
      <c r="G111" s="442">
        <f>IF(AND(E111&gt;0,F111&gt;0),(F111*E111),"")</f>
      </c>
      <c r="H111" s="440"/>
      <c r="I111" s="433">
        <f>IF(AND(G111&gt;0,H111&gt;0),H111/G111,"")</f>
      </c>
      <c r="J111" s="435"/>
      <c r="K111" s="433">
        <f>IF(AND(I111&gt;0,J111&gt;0),I111-J111,"")</f>
      </c>
      <c r="L111" s="152"/>
      <c r="M111" s="49"/>
      <c r="N111" s="49"/>
      <c r="P111" s="49"/>
    </row>
    <row r="112" spans="1:16" ht="15.75" thickBot="1">
      <c r="A112" s="6"/>
      <c r="B112" s="558"/>
      <c r="C112" s="204"/>
      <c r="D112" s="436"/>
      <c r="E112" s="437">
        <f>IF(ISBLANK(D112),"",D112*30)</f>
      </c>
      <c r="F112" s="438"/>
      <c r="G112" s="442">
        <f>IF(AND(E112&gt;0,F112&gt;0),(F112*E112),"")</f>
      </c>
      <c r="H112" s="441"/>
      <c r="I112" s="433">
        <f>IF(AND(G112&gt;0,H112&gt;0),H112/G112,"")</f>
      </c>
      <c r="J112" s="436"/>
      <c r="K112" s="433">
        <f>IF(AND(I112&gt;0,J112&gt;0),I112-J112,"")</f>
      </c>
      <c r="L112" s="152"/>
      <c r="M112" s="49"/>
      <c r="N112" s="49"/>
      <c r="P112" s="49"/>
    </row>
    <row r="113" spans="1:17" ht="15">
      <c r="A113" s="6"/>
      <c r="B113" s="6"/>
      <c r="C113" s="6"/>
      <c r="D113" s="205"/>
      <c r="E113" s="6"/>
      <c r="F113" s="6"/>
      <c r="G113" s="152"/>
      <c r="H113" s="152"/>
      <c r="I113" s="152"/>
      <c r="J113" s="6"/>
      <c r="K113" s="6"/>
      <c r="L113" s="152"/>
      <c r="M113" s="152"/>
      <c r="N113" s="49"/>
      <c r="O113" s="10"/>
      <c r="Q113" s="49"/>
    </row>
    <row r="114" spans="1:13" ht="15">
      <c r="A114" s="6"/>
      <c r="B114" s="6"/>
      <c r="C114" s="6"/>
      <c r="D114" s="6"/>
      <c r="E114" s="6"/>
      <c r="F114" s="6"/>
      <c r="G114" s="6"/>
      <c r="H114" s="6"/>
      <c r="I114" s="152"/>
      <c r="J114" s="150"/>
      <c r="K114" s="150"/>
      <c r="L114" s="6"/>
      <c r="M114" s="6"/>
    </row>
    <row r="115" spans="1:15" ht="19.5" thickBot="1">
      <c r="A115" s="6"/>
      <c r="B115" s="206" t="s">
        <v>275</v>
      </c>
      <c r="C115" s="207"/>
      <c r="D115" s="207"/>
      <c r="E115" s="208"/>
      <c r="F115" s="208"/>
      <c r="G115" s="208"/>
      <c r="H115" s="209"/>
      <c r="I115" s="210"/>
      <c r="J115" s="211"/>
      <c r="K115" s="212" t="s">
        <v>276</v>
      </c>
      <c r="L115" s="208"/>
      <c r="M115" s="213"/>
      <c r="N115" s="214"/>
      <c r="O115" s="5"/>
    </row>
    <row r="116" spans="1:15" ht="15.75" thickBot="1">
      <c r="A116" s="6"/>
      <c r="B116" s="6"/>
      <c r="C116" s="6"/>
      <c r="D116" s="6"/>
      <c r="E116" s="6"/>
      <c r="F116" s="6"/>
      <c r="G116" s="6"/>
      <c r="H116" s="6"/>
      <c r="I116" s="6"/>
      <c r="J116" s="6"/>
      <c r="K116" s="6"/>
      <c r="L116" s="6"/>
      <c r="M116" s="6"/>
      <c r="N116"/>
      <c r="O116" s="5"/>
    </row>
    <row r="117" spans="1:17" ht="25.5">
      <c r="A117" s="6"/>
      <c r="B117" s="563" t="s">
        <v>277</v>
      </c>
      <c r="C117" s="563"/>
      <c r="D117" s="563"/>
      <c r="E117" s="215" t="s">
        <v>278</v>
      </c>
      <c r="F117" s="216" t="s">
        <v>279</v>
      </c>
      <c r="G117" s="217"/>
      <c r="H117" s="218" t="s">
        <v>16</v>
      </c>
      <c r="I117" s="218" t="s">
        <v>17</v>
      </c>
      <c r="J117" s="218" t="s">
        <v>18</v>
      </c>
      <c r="K117" s="218" t="s">
        <v>19</v>
      </c>
      <c r="L117" s="218" t="s">
        <v>20</v>
      </c>
      <c r="M117" s="218" t="s">
        <v>21</v>
      </c>
      <c r="N117" s="218" t="s">
        <v>22</v>
      </c>
      <c r="O117" s="218" t="s">
        <v>23</v>
      </c>
      <c r="P117" s="218" t="s">
        <v>209</v>
      </c>
      <c r="Q117" s="218" t="s">
        <v>210</v>
      </c>
    </row>
    <row r="118" spans="1:17" ht="15">
      <c r="A118" s="6"/>
      <c r="B118" s="219"/>
      <c r="C118" s="220"/>
      <c r="D118" s="220"/>
      <c r="E118" s="221"/>
      <c r="F118" s="222"/>
      <c r="G118" s="223"/>
      <c r="H118" s="443"/>
      <c r="I118" s="443"/>
      <c r="J118" s="443"/>
      <c r="K118" s="443"/>
      <c r="L118" s="443"/>
      <c r="M118" s="443"/>
      <c r="N118" s="443"/>
      <c r="O118" s="443"/>
      <c r="P118" s="443"/>
      <c r="Q118" s="444"/>
    </row>
    <row r="119" spans="1:17" ht="15" customHeight="1">
      <c r="A119" s="557" t="s">
        <v>280</v>
      </c>
      <c r="B119" s="539" t="s">
        <v>330</v>
      </c>
      <c r="C119" s="540"/>
      <c r="D119" s="541"/>
      <c r="E119" s="529" t="s">
        <v>336</v>
      </c>
      <c r="F119" s="531" t="s">
        <v>281</v>
      </c>
      <c r="G119" s="452" t="s">
        <v>282</v>
      </c>
      <c r="H119" s="224">
        <v>1558</v>
      </c>
      <c r="I119" s="224"/>
      <c r="J119" s="224"/>
      <c r="K119" s="446"/>
      <c r="L119" s="225"/>
      <c r="M119" s="445"/>
      <c r="N119" s="454"/>
      <c r="O119" s="454"/>
      <c r="P119" s="447"/>
      <c r="Q119" s="447"/>
    </row>
    <row r="120" spans="1:17" ht="15">
      <c r="A120" s="557"/>
      <c r="B120" s="542"/>
      <c r="C120" s="543"/>
      <c r="D120" s="544"/>
      <c r="E120" s="530"/>
      <c r="F120" s="532"/>
      <c r="G120" s="452" t="s">
        <v>283</v>
      </c>
      <c r="H120" s="224">
        <v>155</v>
      </c>
      <c r="I120" s="224"/>
      <c r="J120" s="224"/>
      <c r="K120" s="446"/>
      <c r="L120" s="224"/>
      <c r="M120" s="445"/>
      <c r="N120" s="454"/>
      <c r="O120" s="454"/>
      <c r="P120" s="447"/>
      <c r="Q120" s="447"/>
    </row>
    <row r="121" spans="1:17" ht="15" customHeight="1">
      <c r="A121" s="557"/>
      <c r="B121" s="533" t="s">
        <v>331</v>
      </c>
      <c r="C121" s="534"/>
      <c r="D121" s="535"/>
      <c r="E121" s="529" t="s">
        <v>336</v>
      </c>
      <c r="F121" s="531" t="s">
        <v>281</v>
      </c>
      <c r="G121" s="453" t="s">
        <v>282</v>
      </c>
      <c r="H121" s="224">
        <v>1171</v>
      </c>
      <c r="I121" s="224"/>
      <c r="J121" s="224"/>
      <c r="K121" s="446"/>
      <c r="L121" s="224"/>
      <c r="M121" s="445"/>
      <c r="N121" s="455"/>
      <c r="O121" s="455"/>
      <c r="P121" s="448"/>
      <c r="Q121" s="448"/>
    </row>
    <row r="122" spans="1:17" ht="15">
      <c r="A122" s="557"/>
      <c r="B122" s="536"/>
      <c r="C122" s="537"/>
      <c r="D122" s="538"/>
      <c r="E122" s="530"/>
      <c r="F122" s="532"/>
      <c r="G122" s="453" t="s">
        <v>283</v>
      </c>
      <c r="H122" s="224">
        <v>44</v>
      </c>
      <c r="I122" s="224"/>
      <c r="J122" s="224"/>
      <c r="K122" s="446"/>
      <c r="L122" s="224"/>
      <c r="M122" s="445"/>
      <c r="N122" s="455"/>
      <c r="O122" s="455"/>
      <c r="P122" s="448"/>
      <c r="Q122" s="448"/>
    </row>
    <row r="123" spans="1:17" ht="15" customHeight="1">
      <c r="A123" s="557"/>
      <c r="B123" s="539" t="s">
        <v>332</v>
      </c>
      <c r="C123" s="540"/>
      <c r="D123" s="541"/>
      <c r="E123" s="529" t="s">
        <v>336</v>
      </c>
      <c r="F123" s="531" t="s">
        <v>281</v>
      </c>
      <c r="G123" s="452" t="s">
        <v>282</v>
      </c>
      <c r="H123" s="224">
        <v>220</v>
      </c>
      <c r="I123" s="224"/>
      <c r="J123" s="224"/>
      <c r="K123" s="446"/>
      <c r="L123" s="224"/>
      <c r="M123" s="445"/>
      <c r="N123" s="454"/>
      <c r="O123" s="454"/>
      <c r="P123" s="447"/>
      <c r="Q123" s="447"/>
    </row>
    <row r="124" spans="1:17" ht="15">
      <c r="A124" s="557"/>
      <c r="B124" s="542"/>
      <c r="C124" s="543"/>
      <c r="D124" s="544"/>
      <c r="E124" s="530"/>
      <c r="F124" s="532"/>
      <c r="G124" s="452" t="s">
        <v>283</v>
      </c>
      <c r="H124" s="224">
        <v>34</v>
      </c>
      <c r="I124" s="224"/>
      <c r="J124" s="224"/>
      <c r="K124" s="446"/>
      <c r="L124" s="224"/>
      <c r="M124" s="450"/>
      <c r="N124" s="454"/>
      <c r="O124" s="454"/>
      <c r="P124" s="447"/>
      <c r="Q124" s="447"/>
    </row>
    <row r="125" spans="1:17" ht="15" customHeight="1">
      <c r="A125" s="6"/>
      <c r="B125" s="533" t="s">
        <v>333</v>
      </c>
      <c r="C125" s="534"/>
      <c r="D125" s="535"/>
      <c r="E125" s="529" t="s">
        <v>337</v>
      </c>
      <c r="F125" s="531" t="s">
        <v>281</v>
      </c>
      <c r="G125" s="453" t="s">
        <v>282</v>
      </c>
      <c r="H125" s="224">
        <v>453</v>
      </c>
      <c r="I125" s="224"/>
      <c r="J125" s="224"/>
      <c r="K125" s="446"/>
      <c r="L125" s="224"/>
      <c r="M125" s="445"/>
      <c r="N125" s="454"/>
      <c r="O125" s="454"/>
      <c r="P125" s="448"/>
      <c r="Q125" s="448"/>
    </row>
    <row r="126" spans="1:17" ht="15">
      <c r="A126" s="6"/>
      <c r="B126" s="536"/>
      <c r="C126" s="537"/>
      <c r="D126" s="538"/>
      <c r="E126" s="530"/>
      <c r="F126" s="532"/>
      <c r="G126" s="453" t="s">
        <v>283</v>
      </c>
      <c r="H126" s="224">
        <v>273</v>
      </c>
      <c r="I126" s="224"/>
      <c r="J126" s="224"/>
      <c r="K126" s="446"/>
      <c r="L126" s="224"/>
      <c r="M126" s="450"/>
      <c r="N126" s="454"/>
      <c r="O126" s="454"/>
      <c r="P126" s="448"/>
      <c r="Q126" s="448"/>
    </row>
    <row r="127" spans="1:17" ht="15" customHeight="1">
      <c r="A127" s="6"/>
      <c r="B127" s="551" t="s">
        <v>334</v>
      </c>
      <c r="C127" s="552"/>
      <c r="D127" s="553"/>
      <c r="E127" s="529" t="s">
        <v>337</v>
      </c>
      <c r="F127" s="531" t="s">
        <v>281</v>
      </c>
      <c r="G127" s="452" t="s">
        <v>282</v>
      </c>
      <c r="H127" s="224">
        <v>1200</v>
      </c>
      <c r="I127" s="224"/>
      <c r="J127" s="224"/>
      <c r="K127" s="446"/>
      <c r="L127" s="224"/>
      <c r="M127" s="445"/>
      <c r="N127" s="454"/>
      <c r="O127" s="454"/>
      <c r="P127" s="447"/>
      <c r="Q127" s="447"/>
    </row>
    <row r="128" spans="1:17" ht="15">
      <c r="A128" s="6"/>
      <c r="B128" s="554"/>
      <c r="C128" s="555"/>
      <c r="D128" s="556"/>
      <c r="E128" s="530"/>
      <c r="F128" s="532"/>
      <c r="G128" s="452" t="s">
        <v>283</v>
      </c>
      <c r="H128" s="224">
        <v>276</v>
      </c>
      <c r="I128" s="224"/>
      <c r="J128" s="224"/>
      <c r="K128" s="446"/>
      <c r="L128" s="224"/>
      <c r="M128" s="450"/>
      <c r="N128" s="454"/>
      <c r="O128" s="454"/>
      <c r="P128" s="447"/>
      <c r="Q128" s="447"/>
    </row>
    <row r="129" spans="1:17" ht="15" customHeight="1">
      <c r="A129" s="6"/>
      <c r="B129" s="533" t="s">
        <v>335</v>
      </c>
      <c r="C129" s="534"/>
      <c r="D129" s="535"/>
      <c r="E129" s="529" t="s">
        <v>337</v>
      </c>
      <c r="F129" s="531" t="s">
        <v>281</v>
      </c>
      <c r="G129" s="453" t="s">
        <v>282</v>
      </c>
      <c r="H129" s="224">
        <v>225</v>
      </c>
      <c r="I129" s="224"/>
      <c r="J129" s="224"/>
      <c r="K129" s="446"/>
      <c r="L129" s="224"/>
      <c r="M129" s="445"/>
      <c r="N129" s="456"/>
      <c r="O129" s="456"/>
      <c r="P129" s="449"/>
      <c r="Q129" s="449"/>
    </row>
    <row r="130" spans="1:17" ht="15">
      <c r="A130" s="6"/>
      <c r="B130" s="536"/>
      <c r="C130" s="537"/>
      <c r="D130" s="538"/>
      <c r="E130" s="530"/>
      <c r="F130" s="532"/>
      <c r="G130" s="453" t="s">
        <v>283</v>
      </c>
      <c r="H130" s="224">
        <v>90</v>
      </c>
      <c r="I130" s="224"/>
      <c r="J130" s="224"/>
      <c r="K130" s="446"/>
      <c r="L130" s="224"/>
      <c r="M130" s="445"/>
      <c r="N130" s="456"/>
      <c r="O130" s="456"/>
      <c r="P130" s="449"/>
      <c r="Q130" s="449"/>
    </row>
    <row r="131" spans="1:17" ht="14.25" customHeight="1">
      <c r="A131" s="6"/>
      <c r="B131" s="539" t="s">
        <v>329</v>
      </c>
      <c r="C131" s="540"/>
      <c r="D131" s="541"/>
      <c r="E131" s="529" t="s">
        <v>318</v>
      </c>
      <c r="F131" s="531" t="s">
        <v>281</v>
      </c>
      <c r="G131" s="452" t="s">
        <v>282</v>
      </c>
      <c r="H131" s="224"/>
      <c r="I131" s="224"/>
      <c r="J131" s="224"/>
      <c r="K131" s="446"/>
      <c r="L131" s="224"/>
      <c r="M131" s="445"/>
      <c r="N131" s="455"/>
      <c r="O131" s="455"/>
      <c r="P131" s="447"/>
      <c r="Q131" s="447"/>
    </row>
    <row r="132" spans="1:17" ht="15">
      <c r="A132" s="6"/>
      <c r="B132" s="542"/>
      <c r="C132" s="543"/>
      <c r="D132" s="544"/>
      <c r="E132" s="530"/>
      <c r="F132" s="532"/>
      <c r="G132" s="452" t="s">
        <v>283</v>
      </c>
      <c r="H132" s="224"/>
      <c r="I132" s="224"/>
      <c r="J132" s="224"/>
      <c r="K132" s="446"/>
      <c r="L132" s="224"/>
      <c r="M132" s="445"/>
      <c r="N132" s="455"/>
      <c r="O132" s="455"/>
      <c r="P132" s="447"/>
      <c r="Q132" s="447"/>
    </row>
    <row r="133" spans="1:17" ht="14.25" customHeight="1">
      <c r="A133" s="6"/>
      <c r="B133" s="539"/>
      <c r="C133" s="540"/>
      <c r="D133" s="541"/>
      <c r="E133" s="529"/>
      <c r="F133" s="531" t="s">
        <v>281</v>
      </c>
      <c r="G133" s="453" t="s">
        <v>282</v>
      </c>
      <c r="H133" s="224"/>
      <c r="I133" s="224"/>
      <c r="J133" s="224"/>
      <c r="K133" s="446"/>
      <c r="L133" s="224"/>
      <c r="M133" s="445"/>
      <c r="N133" s="454"/>
      <c r="O133" s="454"/>
      <c r="P133" s="449"/>
      <c r="Q133" s="449"/>
    </row>
    <row r="134" spans="1:17" ht="15">
      <c r="A134" s="6"/>
      <c r="B134" s="542"/>
      <c r="C134" s="543"/>
      <c r="D134" s="544"/>
      <c r="E134" s="530"/>
      <c r="F134" s="532"/>
      <c r="G134" s="453" t="s">
        <v>283</v>
      </c>
      <c r="H134" s="224"/>
      <c r="I134" s="224"/>
      <c r="J134" s="224"/>
      <c r="K134" s="446"/>
      <c r="L134" s="224"/>
      <c r="M134" s="450"/>
      <c r="N134" s="454"/>
      <c r="O134" s="454"/>
      <c r="P134" s="449"/>
      <c r="Q134" s="449"/>
    </row>
    <row r="135" spans="1:17" ht="14.25" customHeight="1">
      <c r="A135" s="6"/>
      <c r="B135" s="539"/>
      <c r="C135" s="540"/>
      <c r="D135" s="541"/>
      <c r="E135" s="529"/>
      <c r="F135" s="531" t="s">
        <v>281</v>
      </c>
      <c r="G135" s="452" t="s">
        <v>282</v>
      </c>
      <c r="H135" s="224"/>
      <c r="I135" s="224"/>
      <c r="J135" s="224"/>
      <c r="K135" s="446"/>
      <c r="L135" s="225"/>
      <c r="M135" s="445"/>
      <c r="N135" s="454"/>
      <c r="O135" s="454"/>
      <c r="P135" s="447"/>
      <c r="Q135" s="447"/>
    </row>
    <row r="136" spans="1:17" ht="15">
      <c r="A136" s="6"/>
      <c r="B136" s="542"/>
      <c r="C136" s="543"/>
      <c r="D136" s="544"/>
      <c r="E136" s="530"/>
      <c r="F136" s="532"/>
      <c r="G136" s="452" t="s">
        <v>283</v>
      </c>
      <c r="H136" s="224"/>
      <c r="I136" s="224"/>
      <c r="J136" s="224"/>
      <c r="K136" s="446"/>
      <c r="L136" s="225"/>
      <c r="M136" s="450"/>
      <c r="N136" s="454"/>
      <c r="O136" s="454"/>
      <c r="P136" s="447"/>
      <c r="Q136" s="447"/>
    </row>
    <row r="137" spans="1:17" ht="14.25" customHeight="1">
      <c r="A137" s="6"/>
      <c r="B137" s="545"/>
      <c r="C137" s="546"/>
      <c r="D137" s="547"/>
      <c r="E137" s="529"/>
      <c r="F137" s="531" t="s">
        <v>281</v>
      </c>
      <c r="G137" s="453" t="s">
        <v>282</v>
      </c>
      <c r="H137" s="224"/>
      <c r="I137" s="224"/>
      <c r="J137" s="224"/>
      <c r="K137" s="446"/>
      <c r="L137" s="224"/>
      <c r="M137" s="445"/>
      <c r="N137" s="456"/>
      <c r="O137" s="456"/>
      <c r="P137" s="449"/>
      <c r="Q137" s="449"/>
    </row>
    <row r="138" spans="1:17" ht="15">
      <c r="A138" s="6"/>
      <c r="B138" s="548"/>
      <c r="C138" s="549"/>
      <c r="D138" s="550"/>
      <c r="E138" s="530"/>
      <c r="F138" s="532"/>
      <c r="G138" s="453" t="s">
        <v>283</v>
      </c>
      <c r="H138" s="224"/>
      <c r="I138" s="224"/>
      <c r="J138" s="224"/>
      <c r="K138" s="446"/>
      <c r="L138" s="224"/>
      <c r="M138" s="450"/>
      <c r="N138" s="456"/>
      <c r="O138" s="456"/>
      <c r="P138" s="449"/>
      <c r="Q138" s="449"/>
    </row>
    <row r="139" spans="1:17" ht="15" customHeight="1">
      <c r="A139" s="6"/>
      <c r="B139" s="523"/>
      <c r="C139" s="524"/>
      <c r="D139" s="525"/>
      <c r="E139" s="529"/>
      <c r="F139" s="531" t="s">
        <v>281</v>
      </c>
      <c r="G139" s="452" t="s">
        <v>282</v>
      </c>
      <c r="H139" s="224"/>
      <c r="I139" s="224"/>
      <c r="J139" s="224"/>
      <c r="K139" s="446"/>
      <c r="L139" s="224"/>
      <c r="M139" s="445"/>
      <c r="N139" s="456"/>
      <c r="O139" s="456"/>
      <c r="P139" s="449"/>
      <c r="Q139" s="449"/>
    </row>
    <row r="140" spans="1:17" ht="15">
      <c r="A140" s="6"/>
      <c r="B140" s="526"/>
      <c r="C140" s="527"/>
      <c r="D140" s="528"/>
      <c r="E140" s="530"/>
      <c r="F140" s="532"/>
      <c r="G140" s="452" t="s">
        <v>283</v>
      </c>
      <c r="H140" s="224"/>
      <c r="I140" s="224"/>
      <c r="J140" s="224"/>
      <c r="K140" s="446"/>
      <c r="L140" s="224"/>
      <c r="M140" s="450"/>
      <c r="N140" s="456"/>
      <c r="O140" s="456"/>
      <c r="P140" s="449"/>
      <c r="Q140" s="449"/>
    </row>
    <row r="141" spans="1:17" ht="15" customHeight="1">
      <c r="A141" s="6"/>
      <c r="B141" s="533"/>
      <c r="C141" s="534"/>
      <c r="D141" s="535"/>
      <c r="E141" s="529"/>
      <c r="F141" s="531" t="s">
        <v>281</v>
      </c>
      <c r="G141" s="453" t="s">
        <v>282</v>
      </c>
      <c r="H141" s="224"/>
      <c r="I141" s="224"/>
      <c r="J141" s="224"/>
      <c r="K141" s="446"/>
      <c r="L141" s="224"/>
      <c r="M141" s="445"/>
      <c r="N141" s="456"/>
      <c r="O141" s="456"/>
      <c r="P141" s="449"/>
      <c r="Q141" s="449"/>
    </row>
    <row r="142" spans="1:17" ht="15">
      <c r="A142" s="6"/>
      <c r="B142" s="536"/>
      <c r="C142" s="537"/>
      <c r="D142" s="538"/>
      <c r="E142" s="530"/>
      <c r="F142" s="532"/>
      <c r="G142" s="453" t="s">
        <v>283</v>
      </c>
      <c r="H142" s="224"/>
      <c r="I142" s="224"/>
      <c r="J142" s="224"/>
      <c r="K142" s="446"/>
      <c r="L142" s="224"/>
      <c r="M142" s="445"/>
      <c r="N142" s="454"/>
      <c r="O142" s="454"/>
      <c r="P142" s="449"/>
      <c r="Q142" s="449"/>
    </row>
    <row r="143" spans="1:17" ht="15" customHeight="1">
      <c r="A143" s="6"/>
      <c r="B143" s="523"/>
      <c r="C143" s="524"/>
      <c r="D143" s="525"/>
      <c r="E143" s="529"/>
      <c r="F143" s="531" t="s">
        <v>281</v>
      </c>
      <c r="G143" s="452" t="s">
        <v>282</v>
      </c>
      <c r="H143" s="224"/>
      <c r="I143" s="224"/>
      <c r="J143" s="224"/>
      <c r="K143" s="446"/>
      <c r="L143" s="224"/>
      <c r="M143" s="445"/>
      <c r="N143" s="454"/>
      <c r="O143" s="454"/>
      <c r="P143" s="449"/>
      <c r="Q143" s="449"/>
    </row>
    <row r="144" spans="1:17" ht="15">
      <c r="A144" s="6"/>
      <c r="B144" s="526"/>
      <c r="C144" s="527"/>
      <c r="D144" s="528"/>
      <c r="E144" s="530"/>
      <c r="F144" s="532"/>
      <c r="G144" s="452" t="s">
        <v>283</v>
      </c>
      <c r="H144" s="224"/>
      <c r="I144" s="224"/>
      <c r="J144" s="224"/>
      <c r="K144" s="446"/>
      <c r="L144" s="224"/>
      <c r="M144" s="450"/>
      <c r="N144" s="454"/>
      <c r="O144" s="454"/>
      <c r="P144" s="449"/>
      <c r="Q144" s="449"/>
    </row>
    <row r="145" spans="1:17" ht="15" customHeight="1">
      <c r="A145" s="6"/>
      <c r="B145" s="533"/>
      <c r="C145" s="534"/>
      <c r="D145" s="535"/>
      <c r="E145" s="529"/>
      <c r="F145" s="531" t="s">
        <v>281</v>
      </c>
      <c r="G145" s="453" t="s">
        <v>282</v>
      </c>
      <c r="H145" s="224"/>
      <c r="I145" s="224"/>
      <c r="J145" s="224"/>
      <c r="K145" s="446"/>
      <c r="L145" s="224"/>
      <c r="M145" s="445"/>
      <c r="N145" s="456"/>
      <c r="O145" s="456"/>
      <c r="P145" s="449"/>
      <c r="Q145" s="449"/>
    </row>
    <row r="146" spans="1:17" ht="15">
      <c r="A146" s="6"/>
      <c r="B146" s="536"/>
      <c r="C146" s="537"/>
      <c r="D146" s="538"/>
      <c r="E146" s="530"/>
      <c r="F146" s="532"/>
      <c r="G146" s="453" t="s">
        <v>283</v>
      </c>
      <c r="H146" s="224"/>
      <c r="I146" s="224"/>
      <c r="J146" s="224"/>
      <c r="K146" s="446"/>
      <c r="L146" s="224"/>
      <c r="M146" s="450"/>
      <c r="N146" s="456"/>
      <c r="O146" s="456"/>
      <c r="P146" s="449"/>
      <c r="Q146" s="449"/>
    </row>
    <row r="147" spans="1:17" ht="15" customHeight="1">
      <c r="A147" s="6"/>
      <c r="B147" s="523"/>
      <c r="C147" s="524"/>
      <c r="D147" s="525"/>
      <c r="E147" s="529"/>
      <c r="F147" s="531" t="s">
        <v>281</v>
      </c>
      <c r="G147" s="452" t="s">
        <v>282</v>
      </c>
      <c r="H147" s="224"/>
      <c r="I147" s="224"/>
      <c r="J147" s="224"/>
      <c r="K147" s="446"/>
      <c r="L147" s="224"/>
      <c r="M147" s="451"/>
      <c r="N147" s="455"/>
      <c r="O147" s="455"/>
      <c r="P147" s="449"/>
      <c r="Q147" s="449"/>
    </row>
    <row r="148" spans="1:17" ht="15">
      <c r="A148" s="6"/>
      <c r="B148" s="526"/>
      <c r="C148" s="527"/>
      <c r="D148" s="528"/>
      <c r="E148" s="530"/>
      <c r="F148" s="532"/>
      <c r="G148" s="452" t="s">
        <v>283</v>
      </c>
      <c r="H148" s="224"/>
      <c r="I148" s="224"/>
      <c r="J148" s="224"/>
      <c r="K148" s="446"/>
      <c r="L148" s="224"/>
      <c r="M148" s="451"/>
      <c r="N148" s="455"/>
      <c r="O148" s="455"/>
      <c r="P148" s="449"/>
      <c r="Q148" s="449"/>
    </row>
    <row r="149" spans="1:17" ht="15" customHeight="1">
      <c r="A149" s="6"/>
      <c r="B149" s="533"/>
      <c r="C149" s="534"/>
      <c r="D149" s="535"/>
      <c r="E149" s="529"/>
      <c r="F149" s="531" t="s">
        <v>281</v>
      </c>
      <c r="G149" s="453" t="s">
        <v>282</v>
      </c>
      <c r="H149" s="224"/>
      <c r="I149" s="224"/>
      <c r="J149" s="224"/>
      <c r="K149" s="446"/>
      <c r="L149" s="224"/>
      <c r="M149" s="451"/>
      <c r="N149" s="456"/>
      <c r="O149" s="456"/>
      <c r="P149" s="449"/>
      <c r="Q149" s="449"/>
    </row>
    <row r="150" spans="1:17" ht="15">
      <c r="A150" s="6"/>
      <c r="B150" s="536"/>
      <c r="C150" s="537"/>
      <c r="D150" s="538"/>
      <c r="E150" s="530"/>
      <c r="F150" s="532"/>
      <c r="G150" s="453" t="s">
        <v>283</v>
      </c>
      <c r="H150" s="224"/>
      <c r="I150" s="224"/>
      <c r="J150" s="224"/>
      <c r="K150" s="446"/>
      <c r="L150" s="224"/>
      <c r="M150" s="451"/>
      <c r="N150" s="456"/>
      <c r="O150" s="456"/>
      <c r="P150" s="449"/>
      <c r="Q150" s="449"/>
    </row>
    <row r="151" spans="1:17" ht="15">
      <c r="A151" s="6"/>
      <c r="B151" s="6"/>
      <c r="C151" s="6"/>
      <c r="D151" s="6"/>
      <c r="E151" s="6"/>
      <c r="F151" s="6"/>
      <c r="G151" s="152"/>
      <c r="H151" s="6"/>
      <c r="I151" s="6"/>
      <c r="J151" s="6"/>
      <c r="K151" s="6"/>
      <c r="L151" s="6"/>
      <c r="M151" s="6"/>
      <c r="N151" s="6"/>
      <c r="P151" s="5"/>
      <c r="Q151" s="5"/>
    </row>
    <row r="152" spans="1:17" ht="15">
      <c r="A152" s="6"/>
      <c r="B152" s="6"/>
      <c r="C152" s="6"/>
      <c r="D152" s="6"/>
      <c r="E152" s="6"/>
      <c r="F152" s="6"/>
      <c r="G152" s="152"/>
      <c r="H152" s="6"/>
      <c r="I152" s="6"/>
      <c r="J152" s="6"/>
      <c r="K152" s="6"/>
      <c r="L152" s="6"/>
      <c r="M152" s="6"/>
      <c r="N152" s="6"/>
      <c r="P152" s="5"/>
      <c r="Q152" s="5"/>
    </row>
    <row r="153" spans="1:17" ht="15">
      <c r="A153" s="6"/>
      <c r="B153" s="6"/>
      <c r="C153" s="6"/>
      <c r="D153" s="6"/>
      <c r="E153" s="6"/>
      <c r="F153" s="6"/>
      <c r="G153" s="152"/>
      <c r="H153" s="6"/>
      <c r="I153" s="6"/>
      <c r="J153" s="6"/>
      <c r="K153" s="6"/>
      <c r="L153" s="6"/>
      <c r="M153" s="6"/>
      <c r="N153" s="6"/>
      <c r="P153" s="5"/>
      <c r="Q153" s="5"/>
    </row>
    <row r="154" spans="1:17" ht="14.25" customHeight="1">
      <c r="A154" s="6"/>
      <c r="B154" s="6"/>
      <c r="C154" s="6"/>
      <c r="D154" s="6"/>
      <c r="E154" s="6"/>
      <c r="F154" s="6"/>
      <c r="G154" s="152"/>
      <c r="H154" s="6"/>
      <c r="I154" s="6"/>
      <c r="J154" s="6"/>
      <c r="K154" s="6"/>
      <c r="L154" s="6"/>
      <c r="M154" s="6"/>
      <c r="N154" s="6"/>
      <c r="P154" s="5"/>
      <c r="Q154" s="5"/>
    </row>
    <row r="155" spans="1:17" ht="16.5" thickBot="1">
      <c r="A155" s="6"/>
      <c r="B155" s="226"/>
      <c r="C155" s="6"/>
      <c r="D155" s="6"/>
      <c r="E155" s="6"/>
      <c r="F155" s="6"/>
      <c r="G155" s="152"/>
      <c r="H155" s="6"/>
      <c r="I155" s="6"/>
      <c r="J155" s="6"/>
      <c r="K155" s="6"/>
      <c r="L155" s="6"/>
      <c r="M155" s="6"/>
      <c r="N155" s="6"/>
      <c r="P155" s="5"/>
      <c r="Q155" s="5"/>
    </row>
    <row r="156" spans="1:17" ht="25.5">
      <c r="A156" s="6"/>
      <c r="B156" s="227" t="s">
        <v>284</v>
      </c>
      <c r="C156" s="6"/>
      <c r="D156" s="6"/>
      <c r="E156" s="228" t="s">
        <v>278</v>
      </c>
      <c r="F156" s="229" t="s">
        <v>279</v>
      </c>
      <c r="G156" s="217"/>
      <c r="H156" s="218" t="str">
        <f aca="true" t="shared" si="7" ref="H156:N156">C30</f>
        <v>P1</v>
      </c>
      <c r="I156" s="218" t="str">
        <f t="shared" si="7"/>
        <v>P2</v>
      </c>
      <c r="J156" s="218" t="str">
        <f t="shared" si="7"/>
        <v>P3</v>
      </c>
      <c r="K156" s="218" t="str">
        <f t="shared" si="7"/>
        <v>P4</v>
      </c>
      <c r="L156" s="218" t="str">
        <f t="shared" si="7"/>
        <v>P5</v>
      </c>
      <c r="M156" s="218" t="str">
        <f t="shared" si="7"/>
        <v>P6</v>
      </c>
      <c r="N156" s="218" t="str">
        <f t="shared" si="7"/>
        <v>P7</v>
      </c>
      <c r="O156" s="218" t="str">
        <f>L30</f>
        <v>P10</v>
      </c>
      <c r="P156" s="218" t="str">
        <f>M30</f>
        <v>P11</v>
      </c>
      <c r="Q156" s="218" t="str">
        <f>N30</f>
        <v>P12</v>
      </c>
    </row>
    <row r="157" spans="1:17" ht="14.25" customHeight="1" thickBot="1">
      <c r="A157" s="6"/>
      <c r="B157" s="519" t="str">
        <f>IF(ISBLANK(B119),"",(B119))</f>
        <v>% Y Número de personas HSH alcanzadas con el paquete básico de prevención de VIH</v>
      </c>
      <c r="C157" s="519"/>
      <c r="D157" s="519"/>
      <c r="E157" s="517" t="str">
        <f>IF(ISBLANK(E119),"",(E119))</f>
        <v>TOP TEN</v>
      </c>
      <c r="F157" s="518" t="str">
        <f>IF(ISBLANK(F119),"",(F119))</f>
        <v>Yes</v>
      </c>
      <c r="G157" s="230" t="s">
        <v>282</v>
      </c>
      <c r="H157" s="231">
        <f aca="true" t="shared" si="8" ref="H157:H162">H119</f>
        <v>1558</v>
      </c>
      <c r="I157" s="231">
        <f aca="true" t="shared" si="9" ref="I157:I162">+I119</f>
        <v>0</v>
      </c>
      <c r="J157" s="231">
        <f aca="true" t="shared" si="10" ref="J157:J162">J125</f>
        <v>0</v>
      </c>
      <c r="K157" s="231">
        <f aca="true" t="shared" si="11" ref="K157:K162">+K119</f>
        <v>0</v>
      </c>
      <c r="L157" s="231">
        <f aca="true" t="shared" si="12" ref="L157:L162">L125</f>
        <v>0</v>
      </c>
      <c r="M157" s="231">
        <f aca="true" t="shared" si="13" ref="M157:M162">+M119</f>
        <v>0</v>
      </c>
      <c r="N157" s="232">
        <f aca="true" t="shared" si="14" ref="N157:Q162">N119</f>
        <v>0</v>
      </c>
      <c r="O157" s="232">
        <f t="shared" si="14"/>
        <v>0</v>
      </c>
      <c r="P157" s="232">
        <f t="shared" si="14"/>
        <v>0</v>
      </c>
      <c r="Q157" s="232">
        <f t="shared" si="14"/>
        <v>0</v>
      </c>
    </row>
    <row r="158" spans="1:17" ht="15.75" thickBot="1">
      <c r="A158" s="6"/>
      <c r="B158" s="519"/>
      <c r="C158" s="519"/>
      <c r="D158" s="519"/>
      <c r="E158" s="517"/>
      <c r="F158" s="518"/>
      <c r="G158" s="233" t="s">
        <v>283</v>
      </c>
      <c r="H158" s="231">
        <f t="shared" si="8"/>
        <v>155</v>
      </c>
      <c r="I158" s="231">
        <f t="shared" si="9"/>
        <v>0</v>
      </c>
      <c r="J158" s="231">
        <f t="shared" si="10"/>
        <v>0</v>
      </c>
      <c r="K158" s="231">
        <f t="shared" si="11"/>
        <v>0</v>
      </c>
      <c r="L158" s="231">
        <f t="shared" si="12"/>
        <v>0</v>
      </c>
      <c r="M158" s="231">
        <f t="shared" si="13"/>
        <v>0</v>
      </c>
      <c r="N158" s="232">
        <f t="shared" si="14"/>
        <v>0</v>
      </c>
      <c r="O158" s="232">
        <f t="shared" si="14"/>
        <v>0</v>
      </c>
      <c r="P158" s="232">
        <f t="shared" si="14"/>
        <v>0</v>
      </c>
      <c r="Q158" s="232">
        <f t="shared" si="14"/>
        <v>0</v>
      </c>
    </row>
    <row r="159" spans="1:17" ht="15.75" thickBot="1">
      <c r="A159" s="6"/>
      <c r="B159" s="520" t="str">
        <f>IF(ISBLANK(B121),"",(B121))</f>
        <v>% Y Número de personas TS alcanzadas con el paquete básico de prevención de VIH</v>
      </c>
      <c r="C159" s="520"/>
      <c r="D159" s="520"/>
      <c r="E159" s="521" t="str">
        <f>IF(ISBLANK(E121),"",(E121))</f>
        <v>TOP TEN</v>
      </c>
      <c r="F159" s="522" t="str">
        <f>IF(ISBLANK(F121),"",(F121))</f>
        <v>Yes</v>
      </c>
      <c r="G159" s="234" t="s">
        <v>282</v>
      </c>
      <c r="H159" s="231">
        <f t="shared" si="8"/>
        <v>1171</v>
      </c>
      <c r="I159" s="231">
        <f t="shared" si="9"/>
        <v>0</v>
      </c>
      <c r="J159" s="231">
        <f t="shared" si="10"/>
        <v>0</v>
      </c>
      <c r="K159" s="231">
        <f t="shared" si="11"/>
        <v>0</v>
      </c>
      <c r="L159" s="231">
        <f t="shared" si="12"/>
        <v>0</v>
      </c>
      <c r="M159" s="231">
        <f t="shared" si="13"/>
        <v>0</v>
      </c>
      <c r="N159" s="235">
        <f t="shared" si="14"/>
        <v>0</v>
      </c>
      <c r="O159" s="235">
        <f t="shared" si="14"/>
        <v>0</v>
      </c>
      <c r="P159" s="235">
        <f t="shared" si="14"/>
        <v>0</v>
      </c>
      <c r="Q159" s="235">
        <f t="shared" si="14"/>
        <v>0</v>
      </c>
    </row>
    <row r="160" spans="1:17" ht="14.25" customHeight="1" thickBot="1">
      <c r="A160" s="6"/>
      <c r="B160" s="520"/>
      <c r="C160" s="520"/>
      <c r="D160" s="520"/>
      <c r="E160" s="521"/>
      <c r="F160" s="522"/>
      <c r="G160" s="234" t="s">
        <v>283</v>
      </c>
      <c r="H160" s="231">
        <f t="shared" si="8"/>
        <v>44</v>
      </c>
      <c r="I160" s="231">
        <f t="shared" si="9"/>
        <v>0</v>
      </c>
      <c r="J160" s="231">
        <f t="shared" si="10"/>
        <v>0</v>
      </c>
      <c r="K160" s="231">
        <f t="shared" si="11"/>
        <v>0</v>
      </c>
      <c r="L160" s="231">
        <f t="shared" si="12"/>
        <v>0</v>
      </c>
      <c r="M160" s="231">
        <f t="shared" si="13"/>
        <v>0</v>
      </c>
      <c r="N160" s="235">
        <f t="shared" si="14"/>
        <v>0</v>
      </c>
      <c r="O160" s="235">
        <f t="shared" si="14"/>
        <v>0</v>
      </c>
      <c r="P160" s="235">
        <f t="shared" si="14"/>
        <v>0</v>
      </c>
      <c r="Q160" s="235">
        <f t="shared" si="14"/>
        <v>0</v>
      </c>
    </row>
    <row r="161" spans="1:17" ht="14.25" customHeight="1" thickBot="1">
      <c r="A161" s="6"/>
      <c r="B161" s="516" t="str">
        <f>IF(ISBLANK(B123),"",(B123))</f>
        <v>% Y Número de personas TRANS alcanzadas con el paquete básico de prevención de VIH</v>
      </c>
      <c r="C161" s="516"/>
      <c r="D161" s="516"/>
      <c r="E161" s="517" t="str">
        <f>IF(ISBLANK(E123),"",(E123))</f>
        <v>TOP TEN</v>
      </c>
      <c r="F161" s="518" t="str">
        <f>IF(ISBLANK(F123),"",(F123))</f>
        <v>Yes</v>
      </c>
      <c r="G161" s="233" t="s">
        <v>282</v>
      </c>
      <c r="H161" s="231">
        <f t="shared" si="8"/>
        <v>220</v>
      </c>
      <c r="I161" s="231">
        <f t="shared" si="9"/>
        <v>0</v>
      </c>
      <c r="J161" s="231">
        <f t="shared" si="10"/>
        <v>0</v>
      </c>
      <c r="K161" s="231">
        <f t="shared" si="11"/>
        <v>0</v>
      </c>
      <c r="L161" s="231">
        <f t="shared" si="12"/>
        <v>0</v>
      </c>
      <c r="M161" s="231">
        <f t="shared" si="13"/>
        <v>0</v>
      </c>
      <c r="N161" s="232">
        <f t="shared" si="14"/>
        <v>0</v>
      </c>
      <c r="O161" s="232">
        <f t="shared" si="14"/>
        <v>0</v>
      </c>
      <c r="P161" s="232">
        <f t="shared" si="14"/>
        <v>0</v>
      </c>
      <c r="Q161" s="232">
        <f t="shared" si="14"/>
        <v>0</v>
      </c>
    </row>
    <row r="162" spans="1:17" ht="15" customHeight="1" thickBot="1">
      <c r="A162" s="6"/>
      <c r="B162" s="516"/>
      <c r="C162" s="516"/>
      <c r="D162" s="516"/>
      <c r="E162" s="517"/>
      <c r="F162" s="518"/>
      <c r="G162" s="236" t="s">
        <v>283</v>
      </c>
      <c r="H162" s="237">
        <f t="shared" si="8"/>
        <v>34</v>
      </c>
      <c r="I162" s="231">
        <f t="shared" si="9"/>
        <v>0</v>
      </c>
      <c r="J162" s="237">
        <f t="shared" si="10"/>
        <v>0</v>
      </c>
      <c r="K162" s="231">
        <f t="shared" si="11"/>
        <v>0</v>
      </c>
      <c r="L162" s="237">
        <f t="shared" si="12"/>
        <v>0</v>
      </c>
      <c r="M162" s="231">
        <f t="shared" si="13"/>
        <v>0</v>
      </c>
      <c r="N162" s="232">
        <f t="shared" si="14"/>
        <v>0</v>
      </c>
      <c r="O162" s="232">
        <f t="shared" si="14"/>
        <v>0</v>
      </c>
      <c r="P162" s="232">
        <f t="shared" si="14"/>
        <v>0</v>
      </c>
      <c r="Q162" s="232">
        <f t="shared" si="14"/>
        <v>0</v>
      </c>
    </row>
  </sheetData>
  <sheetProtection selectLockedCells="1" selectUnlockedCells="1"/>
  <mergeCells count="90">
    <mergeCell ref="C8:D8"/>
    <mergeCell ref="I8:J8"/>
    <mergeCell ref="C12:D12"/>
    <mergeCell ref="E12:F12"/>
    <mergeCell ref="G12:J12"/>
    <mergeCell ref="B2:J2"/>
    <mergeCell ref="C4:D4"/>
    <mergeCell ref="E4:F4"/>
    <mergeCell ref="G4:J4"/>
    <mergeCell ref="C10:D10"/>
    <mergeCell ref="E10:F10"/>
    <mergeCell ref="G10:J10"/>
    <mergeCell ref="C6:D6"/>
    <mergeCell ref="E6:F6"/>
    <mergeCell ref="I6:J6"/>
    <mergeCell ref="D24:E24"/>
    <mergeCell ref="G24:H24"/>
    <mergeCell ref="I24:J24"/>
    <mergeCell ref="B14:J14"/>
    <mergeCell ref="H16:I16"/>
    <mergeCell ref="B18:C18"/>
    <mergeCell ref="D18:F18"/>
    <mergeCell ref="B21:J21"/>
    <mergeCell ref="B71:C71"/>
    <mergeCell ref="B72:C72"/>
    <mergeCell ref="B73:C73"/>
    <mergeCell ref="B108:B112"/>
    <mergeCell ref="B26:C26"/>
    <mergeCell ref="B29:N29"/>
    <mergeCell ref="F47:I47"/>
    <mergeCell ref="B60:D60"/>
    <mergeCell ref="B117:D117"/>
    <mergeCell ref="A119:A124"/>
    <mergeCell ref="B119:D120"/>
    <mergeCell ref="E119:E120"/>
    <mergeCell ref="B123:D124"/>
    <mergeCell ref="E123:E124"/>
    <mergeCell ref="F123:F124"/>
    <mergeCell ref="B125:D126"/>
    <mergeCell ref="E125:E126"/>
    <mergeCell ref="F125:F126"/>
    <mergeCell ref="F119:F120"/>
    <mergeCell ref="B121:D122"/>
    <mergeCell ref="E121:E122"/>
    <mergeCell ref="F121:F122"/>
    <mergeCell ref="B127:D128"/>
    <mergeCell ref="E127:E128"/>
    <mergeCell ref="F127:F128"/>
    <mergeCell ref="B129:D130"/>
    <mergeCell ref="E129:E130"/>
    <mergeCell ref="F129:F130"/>
    <mergeCell ref="B131:D132"/>
    <mergeCell ref="E131:E132"/>
    <mergeCell ref="F131:F132"/>
    <mergeCell ref="B133:D134"/>
    <mergeCell ref="E133:E134"/>
    <mergeCell ref="F133:F134"/>
    <mergeCell ref="B135:D136"/>
    <mergeCell ref="E135:E136"/>
    <mergeCell ref="F135:F136"/>
    <mergeCell ref="B137:D138"/>
    <mergeCell ref="E137:E138"/>
    <mergeCell ref="F137:F138"/>
    <mergeCell ref="B139:D140"/>
    <mergeCell ref="E139:E140"/>
    <mergeCell ref="F139:F140"/>
    <mergeCell ref="B141:D142"/>
    <mergeCell ref="E141:E142"/>
    <mergeCell ref="F141:F142"/>
    <mergeCell ref="B143:D144"/>
    <mergeCell ref="E143:E144"/>
    <mergeCell ref="F143:F144"/>
    <mergeCell ref="B145:D146"/>
    <mergeCell ref="E145:E146"/>
    <mergeCell ref="F145:F146"/>
    <mergeCell ref="B147:D148"/>
    <mergeCell ref="E147:E148"/>
    <mergeCell ref="F147:F148"/>
    <mergeCell ref="B149:D150"/>
    <mergeCell ref="E149:E150"/>
    <mergeCell ref="F149:F150"/>
    <mergeCell ref="B161:D162"/>
    <mergeCell ref="E161:E162"/>
    <mergeCell ref="F161:F162"/>
    <mergeCell ref="B157:D158"/>
    <mergeCell ref="E157:E158"/>
    <mergeCell ref="F157:F158"/>
    <mergeCell ref="B159:D160"/>
    <mergeCell ref="E159:E160"/>
    <mergeCell ref="F159:F160"/>
  </mergeCells>
  <conditionalFormatting sqref="B34 C33:N33 B32">
    <cfRule type="expression" priority="6" dxfId="43" stopIfTrue="1">
      <formula>+AND(B31&gt;=#REF!,B31&lt;=#REF!)</formula>
    </cfRule>
  </conditionalFormatting>
  <conditionalFormatting sqref="C34:N34">
    <cfRule type="expression" priority="7" dxfId="43" stopIfTrue="1">
      <formula>+AND(C32&gt;=#REF!,C32&lt;=#REF!)</formula>
    </cfRule>
  </conditionalFormatting>
  <conditionalFormatting sqref="C30:N30 C94:N94">
    <cfRule type="cellIs" priority="8" dxfId="44" operator="equal" stopIfTrue="1">
      <formula>$C$16</formula>
    </cfRule>
  </conditionalFormatting>
  <conditionalFormatting sqref="C12:D12">
    <cfRule type="cellIs" priority="9" dxfId="45" operator="equal" stopIfTrue="1">
      <formula>"C"</formula>
    </cfRule>
    <cfRule type="cellIs" priority="10" dxfId="46" operator="equal" stopIfTrue="1">
      <formula>"B2"</formula>
    </cfRule>
    <cfRule type="cellIs" priority="11" dxfId="47" operator="equal" stopIfTrue="1">
      <formula>"B1"</formula>
    </cfRule>
  </conditionalFormatting>
  <conditionalFormatting sqref="H156:Q156 H117:Q118 H143:J143 L143:M143">
    <cfRule type="cellIs" priority="12" dxfId="48" operator="equal" stopIfTrue="1">
      <formula>$C$16</formula>
    </cfRule>
  </conditionalFormatting>
  <conditionalFormatting sqref="F47:I47">
    <cfRule type="expression" priority="13" dxfId="49" stopIfTrue="1">
      <formula>LEFT($F$47,2)="OK"</formula>
    </cfRule>
  </conditionalFormatting>
  <conditionalFormatting sqref="C31 C32:H32">
    <cfRule type="expression" priority="15" dxfId="34" stopIfTrue="1">
      <formula>+AND(C30&gt;=#REF!,C30&lt;=#REF!)</formula>
    </cfRule>
  </conditionalFormatting>
  <conditionalFormatting sqref="L143 H143:J143">
    <cfRule type="cellIs" priority="5" dxfId="50" operator="equal" stopIfTrue="1">
      <formula>$C$16</formula>
    </cfRule>
  </conditionalFormatting>
  <dataValidations count="9">
    <dataValidation type="list" allowBlank="1" showErrorMessage="1" sqref="G6 B108">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08:C112">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48"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70" zoomScaleNormal="70" zoomScaleSheetLayoutView="100" zoomScalePageLayoutView="0" workbookViewId="0" topLeftCell="A3">
      <selection activeCell="L20" sqref="L20"/>
    </sheetView>
  </sheetViews>
  <sheetFormatPr defaultColWidth="11.421875" defaultRowHeight="15"/>
  <cols>
    <col min="1" max="1" width="21.140625" style="6" customWidth="1"/>
    <col min="2" max="2" width="12.57421875" style="6" customWidth="1"/>
    <col min="3" max="3" width="20.57421875" style="6" customWidth="1"/>
    <col min="4" max="4" width="15.28125" style="6" customWidth="1"/>
    <col min="5" max="5" width="11.7109375" style="6" customWidth="1"/>
    <col min="6" max="6" width="18.71093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11.421875" style="6" customWidth="1"/>
  </cols>
  <sheetData>
    <row r="1" spans="1:10" ht="21" customHeight="1">
      <c r="A1" s="152"/>
      <c r="B1" s="152"/>
      <c r="C1" s="152"/>
      <c r="D1" s="152"/>
      <c r="E1" s="152"/>
      <c r="F1" s="152"/>
      <c r="G1" s="40"/>
      <c r="H1" s="152"/>
      <c r="I1" s="152"/>
      <c r="J1" s="152"/>
    </row>
    <row r="2" ht="25.5" customHeight="1"/>
    <row r="3" spans="2:20" ht="36">
      <c r="B3" s="587" t="str">
        <f>+"Tablero de mando: "&amp;" "&amp;+'Introducción de datos'!C4&amp;" - "&amp;+'Introducción de datos'!G6</f>
        <v>Tablero de mando:  El Salvador - VIH / SIDA</v>
      </c>
      <c r="C3" s="587"/>
      <c r="D3" s="587"/>
      <c r="E3" s="587"/>
      <c r="F3" s="587"/>
      <c r="G3" s="587"/>
      <c r="H3" s="587"/>
      <c r="I3" s="587"/>
      <c r="J3" s="587"/>
      <c r="K3" s="238"/>
      <c r="L3" s="238"/>
      <c r="M3" s="238"/>
      <c r="N3" s="239"/>
      <c r="O3" s="239"/>
      <c r="P3" s="239"/>
      <c r="Q3" s="239"/>
      <c r="R3" s="239"/>
      <c r="S3" s="239"/>
      <c r="T3" s="239"/>
    </row>
    <row r="4" spans="12:20" ht="15" customHeight="1">
      <c r="L4" s="239"/>
      <c r="M4" s="239"/>
      <c r="N4" s="239"/>
      <c r="O4" s="239"/>
      <c r="P4" s="239"/>
      <c r="Q4" s="239"/>
      <c r="R4" s="239"/>
      <c r="S4" s="239"/>
      <c r="T4" s="239"/>
    </row>
    <row r="5" spans="12:20" ht="15">
      <c r="L5" s="239"/>
      <c r="M5" s="239"/>
      <c r="N5" s="239"/>
      <c r="O5" s="239"/>
      <c r="P5" s="239"/>
      <c r="Q5" s="239"/>
      <c r="R5" s="239"/>
      <c r="S5" s="239"/>
      <c r="T5" s="239"/>
    </row>
    <row r="6" spans="1:21" ht="32.25" customHeight="1">
      <c r="A6" s="240" t="s">
        <v>172</v>
      </c>
      <c r="B6" s="588" t="str">
        <f>+'Introducción de datos'!C4</f>
        <v>El Salvador</v>
      </c>
      <c r="C6" s="588"/>
      <c r="D6" s="589" t="s">
        <v>174</v>
      </c>
      <c r="E6" s="589"/>
      <c r="F6" s="590" t="str">
        <f>+'Introducción de datos'!G4</f>
        <v>INNOVANDO SERVICIOS, REDUCIENDO RIESGOS, RENOVANDO VIDAS EN EL SALVADOR</v>
      </c>
      <c r="G6" s="590"/>
      <c r="H6" s="590"/>
      <c r="I6" s="590"/>
      <c r="J6" s="590"/>
      <c r="K6" s="241"/>
      <c r="L6" s="242"/>
      <c r="M6" s="241"/>
      <c r="N6" s="241"/>
      <c r="O6" s="241"/>
      <c r="P6" s="243"/>
      <c r="Q6" s="244"/>
      <c r="R6" s="244"/>
      <c r="S6" s="244"/>
      <c r="T6" s="244"/>
      <c r="U6" s="244"/>
    </row>
    <row r="7" spans="2:21" ht="8.25" customHeight="1">
      <c r="B7" s="245"/>
      <c r="C7" s="246"/>
      <c r="D7" s="246"/>
      <c r="E7" s="247"/>
      <c r="F7" s="247"/>
      <c r="G7" s="248"/>
      <c r="H7" s="248"/>
      <c r="K7" s="241"/>
      <c r="L7" s="241"/>
      <c r="M7" s="241"/>
      <c r="N7" s="241"/>
      <c r="O7" s="241"/>
      <c r="P7" s="243"/>
      <c r="Q7" s="244"/>
      <c r="R7" s="244"/>
      <c r="S7" s="244"/>
      <c r="T7" s="244"/>
      <c r="U7" s="244"/>
    </row>
    <row r="8" spans="3:21" ht="3.75" customHeight="1">
      <c r="C8" s="249"/>
      <c r="D8" s="249"/>
      <c r="E8" s="249"/>
      <c r="F8" s="249"/>
      <c r="G8" s="249"/>
      <c r="H8" s="249"/>
      <c r="I8" s="249"/>
      <c r="J8" s="249"/>
      <c r="K8" s="241"/>
      <c r="L8" s="241"/>
      <c r="M8" s="241"/>
      <c r="N8" s="241"/>
      <c r="O8" s="250"/>
      <c r="P8" s="243"/>
      <c r="Q8" s="250"/>
      <c r="R8" s="251"/>
      <c r="S8" s="244"/>
      <c r="T8" s="244"/>
      <c r="U8" s="244"/>
    </row>
    <row r="9" spans="1:24" ht="25.5" customHeight="1">
      <c r="A9" s="252" t="s">
        <v>176</v>
      </c>
      <c r="B9" s="253" t="str">
        <f>+'Introducción de datos'!G6</f>
        <v>VIH / SIDA</v>
      </c>
      <c r="C9" s="254" t="s">
        <v>175</v>
      </c>
      <c r="D9" s="255" t="str">
        <f>+'Introducción de datos'!C6</f>
        <v>SLV-H-PLAN</v>
      </c>
      <c r="E9" s="583" t="s">
        <v>285</v>
      </c>
      <c r="F9" s="583"/>
      <c r="G9" s="256">
        <f>+'Introducción de datos'!C10</f>
        <v>41640</v>
      </c>
      <c r="H9" s="252" t="s">
        <v>286</v>
      </c>
      <c r="I9" s="586">
        <f>+'Introducción de datos'!I6</f>
        <v>13910753</v>
      </c>
      <c r="J9" s="586"/>
      <c r="K9" s="241"/>
      <c r="L9" s="241"/>
      <c r="M9" s="241"/>
      <c r="N9" s="241"/>
      <c r="O9" s="250"/>
      <c r="P9" s="243"/>
      <c r="Q9" s="250"/>
      <c r="R9" s="251"/>
      <c r="S9" s="244"/>
      <c r="T9" s="257"/>
      <c r="U9" s="257"/>
      <c r="V9" s="249"/>
      <c r="W9" s="249"/>
      <c r="X9" s="249"/>
    </row>
    <row r="10" spans="1:21" ht="25.5" customHeight="1">
      <c r="A10" s="252" t="s">
        <v>180</v>
      </c>
      <c r="B10" s="258" t="str">
        <f>IF(ISBLANK('Introducción de datos'!G8),"",'Introducción de datos'!G8)</f>
        <v>Seleccionar</v>
      </c>
      <c r="C10" s="254" t="s">
        <v>182</v>
      </c>
      <c r="D10" s="259" t="str">
        <f>+'Introducción de datos'!I8</f>
        <v>Seleccionar</v>
      </c>
      <c r="E10" s="583" t="s">
        <v>287</v>
      </c>
      <c r="F10" s="583"/>
      <c r="G10" s="582" t="str">
        <f>+'Introducción de datos'!C8</f>
        <v>PLAN  INTERNACIONAL</v>
      </c>
      <c r="H10" s="582"/>
      <c r="I10" s="582"/>
      <c r="J10" s="582"/>
      <c r="K10" s="261"/>
      <c r="L10" s="261"/>
      <c r="M10" s="241"/>
      <c r="N10" s="261"/>
      <c r="O10" s="250"/>
      <c r="P10" s="243"/>
      <c r="Q10" s="257"/>
      <c r="R10" s="251"/>
      <c r="S10" s="244"/>
      <c r="T10" s="257"/>
      <c r="U10" s="257"/>
    </row>
    <row r="11" spans="1:21" ht="25.5" customHeight="1">
      <c r="A11" s="252" t="s">
        <v>288</v>
      </c>
      <c r="B11" s="260" t="str">
        <f>+'Introducción de datos'!C16</f>
        <v>P1</v>
      </c>
      <c r="C11" s="254" t="s">
        <v>289</v>
      </c>
      <c r="D11" s="262">
        <f>+'Introducción de datos'!E16</f>
        <v>41640</v>
      </c>
      <c r="E11" s="583" t="s">
        <v>290</v>
      </c>
      <c r="F11" s="583"/>
      <c r="G11" s="262">
        <f>+'Introducción de datos'!G16</f>
        <v>41820</v>
      </c>
      <c r="H11" s="252" t="s">
        <v>291</v>
      </c>
      <c r="I11" s="585" t="str">
        <f>+'Introducción de datos'!C12</f>
        <v>Seleccionar</v>
      </c>
      <c r="J11" s="585"/>
      <c r="K11" s="263"/>
      <c r="L11" s="261"/>
      <c r="M11" s="241"/>
      <c r="N11" s="261"/>
      <c r="O11" s="261"/>
      <c r="P11" s="243"/>
      <c r="Q11" s="257"/>
      <c r="R11" s="251"/>
      <c r="S11" s="244"/>
      <c r="T11" s="264"/>
      <c r="U11" s="257"/>
    </row>
    <row r="12" spans="1:24" ht="25.5" customHeight="1">
      <c r="A12" s="252" t="s">
        <v>185</v>
      </c>
      <c r="B12" s="582" t="str">
        <f>+'Introducción de datos'!G10</f>
        <v>GRUPO JACOBS</v>
      </c>
      <c r="C12" s="582"/>
      <c r="D12" s="582"/>
      <c r="E12" s="583" t="s">
        <v>189</v>
      </c>
      <c r="F12" s="583"/>
      <c r="G12" s="582" t="str">
        <f>+'Introducción de datos'!G12</f>
        <v>Giulia Perrone</v>
      </c>
      <c r="H12" s="582"/>
      <c r="I12" s="582"/>
      <c r="J12" s="582"/>
      <c r="K12" s="261"/>
      <c r="L12" s="261"/>
      <c r="M12" s="241"/>
      <c r="N12" s="261"/>
      <c r="O12" s="244"/>
      <c r="P12" s="243"/>
      <c r="Q12" s="257"/>
      <c r="R12" s="251"/>
      <c r="S12" s="244"/>
      <c r="T12" s="257"/>
      <c r="U12" s="265"/>
      <c r="V12" s="257"/>
      <c r="W12" s="264"/>
      <c r="X12" s="257"/>
    </row>
    <row r="13" spans="1:21" ht="25.5" customHeight="1">
      <c r="A13" s="252" t="s">
        <v>197</v>
      </c>
      <c r="B13" s="582" t="str">
        <f>+'Introducción de datos'!D18</f>
        <v>UCP/PLAN </v>
      </c>
      <c r="C13" s="582"/>
      <c r="D13" s="582"/>
      <c r="E13" s="583" t="s">
        <v>292</v>
      </c>
      <c r="F13" s="583"/>
      <c r="G13" s="584">
        <f>+'Introducción de datos'!J16</f>
        <v>0</v>
      </c>
      <c r="H13" s="584"/>
      <c r="I13" s="584"/>
      <c r="J13" s="584"/>
      <c r="K13" s="244"/>
      <c r="L13" s="266"/>
      <c r="M13" s="266"/>
      <c r="N13" s="266"/>
      <c r="O13" s="244"/>
      <c r="P13" s="266"/>
      <c r="Q13" s="266"/>
      <c r="R13" s="251"/>
      <c r="S13" s="244"/>
      <c r="T13" s="266"/>
      <c r="U13" s="267"/>
    </row>
  </sheetData>
  <sheetProtection/>
  <mergeCells count="16">
    <mergeCell ref="E9:F9"/>
    <mergeCell ref="I9:J9"/>
    <mergeCell ref="E10:F10"/>
    <mergeCell ref="G10:J10"/>
    <mergeCell ref="B3:J3"/>
    <mergeCell ref="B6:C6"/>
    <mergeCell ref="D6:E6"/>
    <mergeCell ref="F6:J6"/>
    <mergeCell ref="B13:D13"/>
    <mergeCell ref="E13:F13"/>
    <mergeCell ref="G13:J13"/>
    <mergeCell ref="E11:F11"/>
    <mergeCell ref="I11:J11"/>
    <mergeCell ref="B12:D12"/>
    <mergeCell ref="E12:F12"/>
    <mergeCell ref="G12:J12"/>
  </mergeCells>
  <conditionalFormatting sqref="I11:J11">
    <cfRule type="cellIs" priority="1" dxfId="51" operator="equal" stopIfTrue="1">
      <formula>"C"</formula>
    </cfRule>
    <cfRule type="cellIs" priority="2" dxfId="46" operator="equal" stopIfTrue="1">
      <formula>"B2"</formula>
    </cfRule>
    <cfRule type="cellIs" priority="3" dxfId="47" operator="equal" stopIfTrue="1">
      <formula>"B1"</formula>
    </cfRule>
  </conditionalFormatting>
  <dataValidations count="2">
    <dataValidation type="date" operator="greaterThan" allowBlank="1" showErrorMessage="1" error="the date can´t be earlier than the start date" sqref="G11">
      <formula1>D11</formula1>
    </dataValidation>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O33"/>
  <sheetViews>
    <sheetView showGridLines="0" zoomScalePageLayoutView="0" workbookViewId="0" topLeftCell="A7">
      <selection activeCell="H9" sqref="H9"/>
    </sheetView>
  </sheetViews>
  <sheetFormatPr defaultColWidth="9.14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17.00390625" style="0" customWidth="1"/>
    <col min="12" max="12" width="3.7109375" style="0" customWidth="1"/>
  </cols>
  <sheetData>
    <row r="1" spans="2:11" ht="30.75" customHeight="1">
      <c r="B1" s="6"/>
      <c r="C1" s="6"/>
      <c r="D1" s="6"/>
      <c r="E1" s="6"/>
      <c r="F1" s="6"/>
      <c r="G1" s="6"/>
      <c r="H1" s="6"/>
      <c r="I1" s="6"/>
      <c r="J1" s="6"/>
      <c r="K1" s="6"/>
    </row>
    <row r="2" spans="2:15" ht="27.75" customHeight="1">
      <c r="B2" s="566" t="str">
        <f>+"Cuadro de mando:  "&amp;"  "&amp;+'Introducción de datos'!C4&amp;" - "&amp;'Introducción de datos'!G6</f>
        <v>Cuadro de mando:    El Salvador - VIH / SIDA</v>
      </c>
      <c r="C2" s="566"/>
      <c r="D2" s="566"/>
      <c r="E2" s="566"/>
      <c r="F2" s="566"/>
      <c r="G2" s="566"/>
      <c r="H2" s="566"/>
      <c r="I2" s="566"/>
      <c r="J2" s="566"/>
      <c r="K2" s="566"/>
      <c r="L2" s="268"/>
      <c r="M2" s="268"/>
      <c r="N2" s="268"/>
      <c r="O2" s="268"/>
    </row>
    <row r="3" spans="2:12" ht="15">
      <c r="B3" s="269" t="str">
        <f>+'Introducción de datos'!G8</f>
        <v>Seleccionar</v>
      </c>
      <c r="C3" s="610" t="str">
        <f>+'Introducción de datos'!I8</f>
        <v>Seleccionar</v>
      </c>
      <c r="D3" s="610"/>
      <c r="E3" s="607"/>
      <c r="F3" s="607"/>
      <c r="G3" s="607"/>
      <c r="H3" s="607"/>
      <c r="I3" s="608" t="str">
        <f>+'Introducción de datos'!B16</f>
        <v>Periodo:</v>
      </c>
      <c r="J3" s="608"/>
      <c r="K3" s="271" t="str">
        <f>+'Introducción de datos'!C16</f>
        <v>P1</v>
      </c>
      <c r="L3" s="272"/>
    </row>
    <row r="4" spans="2:11" ht="15">
      <c r="B4" s="269" t="str">
        <f>+'Introducción de datos'!B12</f>
        <v>Ultima calificación:</v>
      </c>
      <c r="C4" s="606" t="str">
        <f>+'Introducción de datos'!C12</f>
        <v>Seleccionar</v>
      </c>
      <c r="D4" s="606"/>
      <c r="E4" s="607" t="str">
        <f>+'Introducción de datos'!C8</f>
        <v>PLAN  INTERNACIONAL</v>
      </c>
      <c r="F4" s="607"/>
      <c r="G4" s="607"/>
      <c r="H4" s="607"/>
      <c r="I4" s="608" t="str">
        <f>+'Introducción de datos'!D16</f>
        <v>Desde:</v>
      </c>
      <c r="J4" s="608"/>
      <c r="K4" s="273">
        <f>+'Introducción de datos'!E16</f>
        <v>41640</v>
      </c>
    </row>
    <row r="5" spans="2:11" ht="18.75" customHeight="1">
      <c r="B5" s="269"/>
      <c r="C5" s="269"/>
      <c r="D5" s="609" t="str">
        <f>+'Introducción de datos'!G4</f>
        <v>INNOVANDO SERVICIOS, REDUCIENDO RIESGOS, RENOVANDO VIDAS EN EL SALVADOR</v>
      </c>
      <c r="E5" s="609"/>
      <c r="F5" s="609"/>
      <c r="G5" s="609"/>
      <c r="H5" s="609"/>
      <c r="I5" s="609"/>
      <c r="J5" s="269" t="str">
        <f>+'Introducción de datos'!F16</f>
        <v>Hasta:</v>
      </c>
      <c r="K5" s="273">
        <f>+'Introducción de datos'!G16</f>
        <v>41820</v>
      </c>
    </row>
    <row r="6" spans="2:11" ht="18.75">
      <c r="B6" s="274"/>
      <c r="C6" s="269"/>
      <c r="D6" s="275"/>
      <c r="E6" s="600" t="s">
        <v>293</v>
      </c>
      <c r="F6" s="600"/>
      <c r="G6" s="600"/>
      <c r="H6" s="600"/>
      <c r="I6" s="6"/>
      <c r="J6" s="6"/>
      <c r="K6" s="6"/>
    </row>
    <row r="7" spans="2:11" ht="10.5" customHeight="1">
      <c r="B7" s="276"/>
      <c r="C7" s="270"/>
      <c r="D7" s="275"/>
      <c r="E7" s="277"/>
      <c r="F7" s="277"/>
      <c r="G7" s="278"/>
      <c r="H7" s="278"/>
      <c r="I7" s="279"/>
      <c r="J7" s="279"/>
      <c r="K7" s="280"/>
    </row>
    <row r="8" spans="2:11" ht="15">
      <c r="B8" s="281" t="str">
        <f>+'Introducción de datos'!B27&amp;" - en ("&amp;'Introducción de datos'!D26&amp;")         "&amp;+I3&amp;" "&amp;+K3</f>
        <v>F1: Presupuesto y desembolsos del Fondo Mundial - en ($)         Periodo: P1</v>
      </c>
      <c r="C8" s="282"/>
      <c r="D8" s="152"/>
      <c r="E8" s="152"/>
      <c r="F8" s="152"/>
      <c r="H8" s="281" t="str">
        <f>+'Introducción de datos'!B49&amp;" - en ("&amp;'Introducción de datos'!D26&amp;")         "&amp;+I3&amp;" "&amp;+K3</f>
        <v>F3: Desembolsos y gastos - en ($)         Periodo: P1</v>
      </c>
      <c r="I8" s="6"/>
      <c r="J8" s="6"/>
      <c r="K8" s="6"/>
    </row>
    <row r="9" spans="2:11" ht="33.75" customHeight="1">
      <c r="B9" s="468" t="s">
        <v>294</v>
      </c>
      <c r="C9" s="601" t="s">
        <v>346</v>
      </c>
      <c r="D9" s="601"/>
      <c r="E9" s="601"/>
      <c r="F9" s="601"/>
      <c r="H9" s="467" t="s">
        <v>294</v>
      </c>
      <c r="I9" s="602" t="s">
        <v>347</v>
      </c>
      <c r="J9" s="603"/>
      <c r="K9" s="604"/>
    </row>
    <row r="10" spans="2:11" ht="15">
      <c r="B10" s="152"/>
      <c r="C10" s="152"/>
      <c r="D10" s="152"/>
      <c r="E10" s="152"/>
      <c r="F10" s="152"/>
      <c r="G10" s="6"/>
      <c r="H10" s="6"/>
      <c r="I10" s="6"/>
      <c r="J10" s="6"/>
      <c r="K10" s="6"/>
    </row>
    <row r="11" spans="2:11" ht="15">
      <c r="B11" s="152"/>
      <c r="C11" s="152"/>
      <c r="D11" s="152"/>
      <c r="E11" s="152"/>
      <c r="F11" s="152"/>
      <c r="G11" s="6"/>
      <c r="H11" s="6"/>
      <c r="I11" s="6"/>
      <c r="J11" s="6"/>
      <c r="K11" s="6"/>
    </row>
    <row r="12" spans="2:11" ht="15">
      <c r="B12" s="152"/>
      <c r="C12" s="152"/>
      <c r="D12" s="152"/>
      <c r="E12" s="152"/>
      <c r="F12" s="152"/>
      <c r="G12" s="6"/>
      <c r="H12" s="6"/>
      <c r="I12" s="6"/>
      <c r="J12" s="6"/>
      <c r="K12" s="6"/>
    </row>
    <row r="13" spans="2:11" ht="15">
      <c r="B13" s="152"/>
      <c r="C13" s="152"/>
      <c r="D13" s="152"/>
      <c r="E13" s="152"/>
      <c r="F13" s="152"/>
      <c r="G13" s="6"/>
      <c r="H13" s="6"/>
      <c r="I13" s="6"/>
      <c r="J13" s="6"/>
      <c r="K13" s="6"/>
    </row>
    <row r="14" spans="2:11" ht="15">
      <c r="B14" s="152"/>
      <c r="C14" s="152"/>
      <c r="D14" s="152"/>
      <c r="E14" s="152"/>
      <c r="F14" s="152"/>
      <c r="G14" s="6"/>
      <c r="H14" s="6"/>
      <c r="I14" s="6"/>
      <c r="J14" s="6"/>
      <c r="K14" s="6"/>
    </row>
    <row r="15" spans="2:13" ht="15">
      <c r="B15" s="152"/>
      <c r="C15" s="152"/>
      <c r="D15" s="152"/>
      <c r="E15" s="152"/>
      <c r="F15" s="152"/>
      <c r="G15" s="6"/>
      <c r="H15" s="6"/>
      <c r="I15" s="6"/>
      <c r="J15" s="6"/>
      <c r="K15" s="6"/>
      <c r="M15" s="283" t="s">
        <v>295</v>
      </c>
    </row>
    <row r="16" spans="2:13" ht="15">
      <c r="B16" s="152"/>
      <c r="C16" s="152"/>
      <c r="D16" s="152"/>
      <c r="E16" s="152"/>
      <c r="F16" s="152"/>
      <c r="G16" s="6"/>
      <c r="H16" s="6"/>
      <c r="I16" s="6"/>
      <c r="J16" s="6"/>
      <c r="K16" s="6"/>
      <c r="M16" s="283" t="s">
        <v>296</v>
      </c>
    </row>
    <row r="17" spans="2:11" ht="15">
      <c r="B17" s="152"/>
      <c r="C17" s="152"/>
      <c r="D17" s="152"/>
      <c r="E17" s="152"/>
      <c r="F17" s="152"/>
      <c r="G17" s="6"/>
      <c r="H17" s="6"/>
      <c r="I17" s="6"/>
      <c r="J17" s="6"/>
      <c r="K17" s="6"/>
    </row>
    <row r="18" spans="2:11" ht="15">
      <c r="B18" s="152"/>
      <c r="C18" s="152"/>
      <c r="D18" s="152"/>
      <c r="E18" s="152"/>
      <c r="F18" s="152"/>
      <c r="G18" s="6"/>
      <c r="H18" s="6"/>
      <c r="I18" s="6"/>
      <c r="J18" s="6"/>
      <c r="K18" s="6"/>
    </row>
    <row r="19" spans="2:11" ht="15">
      <c r="B19" s="152"/>
      <c r="C19" s="152"/>
      <c r="D19" s="152"/>
      <c r="E19" s="152"/>
      <c r="F19" s="152"/>
      <c r="G19" s="6"/>
      <c r="H19" s="6"/>
      <c r="I19" s="6"/>
      <c r="J19" s="6"/>
      <c r="K19" s="6"/>
    </row>
    <row r="20" spans="2:11" ht="15">
      <c r="B20" s="152"/>
      <c r="C20" s="152"/>
      <c r="D20" s="152"/>
      <c r="E20" s="152"/>
      <c r="F20" s="152"/>
      <c r="G20" s="6"/>
      <c r="H20" s="6"/>
      <c r="I20" s="6"/>
      <c r="J20" s="6"/>
      <c r="K20" s="6"/>
    </row>
    <row r="21" spans="1:11" ht="24" customHeight="1">
      <c r="A21" s="10"/>
      <c r="B21" s="10"/>
      <c r="C21" s="10"/>
      <c r="D21" s="10"/>
      <c r="E21" s="10"/>
      <c r="F21" s="10"/>
      <c r="G21" s="10"/>
      <c r="H21" s="10"/>
      <c r="I21" s="10"/>
      <c r="J21" s="10"/>
      <c r="K21" s="10"/>
    </row>
    <row r="22" spans="2:11" ht="23.25" customHeight="1">
      <c r="B22" s="284" t="str">
        <f>+'Introducción de datos'!B36&amp;" - en ("&amp;'Introducción de datos'!D26&amp;")  "&amp;+I3&amp;" "&amp;+K3</f>
        <v>F2: Presupuesto y gastos reales por objetivo de la subvención - en ($)  Periodo: P1</v>
      </c>
      <c r="C22" s="152"/>
      <c r="D22" s="152"/>
      <c r="E22" s="152"/>
      <c r="F22" s="152"/>
      <c r="H22" s="284" t="str">
        <f>+'Introducción de datos'!B58&amp;"   "&amp;+I3&amp;" "&amp;+K3</f>
        <v>F4: Último ciclo de información y desembolso del RP   Periodo: P1</v>
      </c>
      <c r="J22" s="6"/>
      <c r="K22" s="6"/>
    </row>
    <row r="23" spans="2:11" ht="46.5" customHeight="1">
      <c r="B23" s="467" t="s">
        <v>297</v>
      </c>
      <c r="C23" s="601" t="s">
        <v>349</v>
      </c>
      <c r="D23" s="601"/>
      <c r="E23" s="601"/>
      <c r="F23" s="601"/>
      <c r="G23" s="285"/>
      <c r="H23" s="467" t="s">
        <v>294</v>
      </c>
      <c r="I23" s="605" t="s">
        <v>348</v>
      </c>
      <c r="J23" s="605"/>
      <c r="K23" s="605"/>
    </row>
    <row r="24" spans="2:11" ht="15.75" customHeight="1" thickBot="1">
      <c r="B24" s="286"/>
      <c r="C24" s="286"/>
      <c r="D24" s="286"/>
      <c r="E24" s="286"/>
      <c r="F24" s="286"/>
      <c r="G24" s="286"/>
      <c r="H24" s="287"/>
      <c r="I24" s="287"/>
      <c r="J24" s="286"/>
      <c r="K24" s="286"/>
    </row>
    <row r="25" spans="2:11" ht="29.25" customHeight="1" thickBot="1">
      <c r="B25" s="6"/>
      <c r="C25" s="6"/>
      <c r="D25" s="6"/>
      <c r="E25" s="6"/>
      <c r="F25" s="6"/>
      <c r="G25" s="288"/>
      <c r="H25" s="593" t="s">
        <v>298</v>
      </c>
      <c r="I25" s="594"/>
      <c r="J25" s="594"/>
      <c r="K25" s="595"/>
    </row>
    <row r="26" spans="2:11" ht="24.75">
      <c r="B26" s="6"/>
      <c r="C26" s="6"/>
      <c r="D26" s="6"/>
      <c r="E26" s="6"/>
      <c r="F26" s="6"/>
      <c r="G26" s="44"/>
      <c r="H26" s="596"/>
      <c r="I26" s="597"/>
      <c r="J26" s="289" t="s">
        <v>229</v>
      </c>
      <c r="K26" s="290" t="s">
        <v>230</v>
      </c>
    </row>
    <row r="27" spans="2:11" ht="29.25" customHeight="1" thickBot="1">
      <c r="B27" s="6"/>
      <c r="C27" s="6"/>
      <c r="D27" s="6"/>
      <c r="E27" s="6"/>
      <c r="F27" s="6"/>
      <c r="G27" s="291"/>
      <c r="H27" s="598" t="str">
        <f>'Introducción de datos'!B62</f>
        <v>Días tardados en presentar el informe de progreso actualizado y solicitud de desembolso al ALF</v>
      </c>
      <c r="I27" s="599"/>
      <c r="J27" s="292">
        <f>+'Introducción de datos'!C62</f>
        <v>45</v>
      </c>
      <c r="K27" s="465">
        <f>+'Introducción de datos'!D62</f>
        <v>45</v>
      </c>
    </row>
    <row r="28" spans="2:11" ht="21" customHeight="1" thickBot="1">
      <c r="B28" s="6"/>
      <c r="C28" s="6"/>
      <c r="D28" s="6"/>
      <c r="E28" s="6"/>
      <c r="F28" s="6"/>
      <c r="G28" s="291"/>
      <c r="H28" s="598" t="str">
        <f>'Introducción de datos'!B63</f>
        <v>Días que el desembolso ha tardado en llegar al RP</v>
      </c>
      <c r="I28" s="599"/>
      <c r="J28" s="292">
        <f>+'Introducción de datos'!C63</f>
        <v>45</v>
      </c>
      <c r="K28" s="294">
        <f>+'Introducción de datos'!D63</f>
        <v>0</v>
      </c>
    </row>
    <row r="29" spans="2:11" ht="21" customHeight="1" thickBot="1">
      <c r="B29" s="6"/>
      <c r="C29" s="6"/>
      <c r="D29" s="6"/>
      <c r="E29" s="6"/>
      <c r="F29" s="6"/>
      <c r="G29" s="291"/>
      <c r="H29" s="591" t="str">
        <f>'Introducción de datos'!B64</f>
        <v>Días que el desembolso ha tardado en llegar a los subreceptores </v>
      </c>
      <c r="I29" s="592"/>
      <c r="J29" s="293">
        <f>+'Introducción de datos'!C64</f>
        <v>15</v>
      </c>
      <c r="K29" s="294">
        <f>+'Introducción de datos'!D64</f>
        <v>12</v>
      </c>
    </row>
    <row r="30" spans="2:11" ht="15">
      <c r="B30" s="6"/>
      <c r="C30" s="6"/>
      <c r="D30" s="6"/>
      <c r="E30" s="6"/>
      <c r="F30" s="6"/>
      <c r="G30" s="6"/>
      <c r="H30" s="6"/>
      <c r="I30" s="6"/>
      <c r="J30" s="6"/>
      <c r="K30" s="6"/>
    </row>
    <row r="31" spans="2:11" ht="15">
      <c r="B31" s="6"/>
      <c r="C31" s="93"/>
      <c r="D31" s="295"/>
      <c r="E31" s="6"/>
      <c r="F31" s="6"/>
      <c r="G31" s="6"/>
      <c r="H31" s="6"/>
      <c r="I31" s="6"/>
      <c r="J31" s="6"/>
      <c r="K31" s="6"/>
    </row>
    <row r="32" spans="2:11" ht="15">
      <c r="B32" s="6"/>
      <c r="C32" s="261" t="s">
        <v>212</v>
      </c>
      <c r="D32" s="295"/>
      <c r="E32" s="6"/>
      <c r="F32" s="6"/>
      <c r="G32" s="6"/>
      <c r="H32" s="6"/>
      <c r="I32" s="6"/>
      <c r="J32" s="6"/>
      <c r="K32" s="6"/>
    </row>
    <row r="33" ht="15">
      <c r="C33" s="283" t="s">
        <v>265</v>
      </c>
    </row>
  </sheetData>
  <sheetProtection/>
  <mergeCells count="18">
    <mergeCell ref="C4:D4"/>
    <mergeCell ref="E4:H4"/>
    <mergeCell ref="I4:J4"/>
    <mergeCell ref="D5:I5"/>
    <mergeCell ref="B2:K2"/>
    <mergeCell ref="C3:D3"/>
    <mergeCell ref="E3:H3"/>
    <mergeCell ref="I3:J3"/>
    <mergeCell ref="H29:I29"/>
    <mergeCell ref="H25:K25"/>
    <mergeCell ref="H26:I26"/>
    <mergeCell ref="H27:I27"/>
    <mergeCell ref="H28:I28"/>
    <mergeCell ref="E6:H6"/>
    <mergeCell ref="C9:F9"/>
    <mergeCell ref="I9:K9"/>
    <mergeCell ref="C23:F23"/>
    <mergeCell ref="I23:K23"/>
  </mergeCells>
  <conditionalFormatting sqref="K27:K29">
    <cfRule type="cellIs" priority="1" dxfId="52" operator="greaterThan" stopIfTrue="1">
      <formula>J27</formula>
    </cfRule>
    <cfRule type="cellIs" priority="2" dxfId="53" operator="between" stopIfTrue="1">
      <formula>J27</formula>
      <formula>1</formula>
    </cfRule>
    <cfRule type="cellIs" priority="3" dxfId="54" operator="equal" stopIfTrue="1">
      <formula>0</formula>
    </cfRule>
  </conditionalFormatting>
  <conditionalFormatting sqref="C4:D4">
    <cfRule type="cellIs" priority="4" dxfId="51" operator="equal" stopIfTrue="1">
      <formula>"C"</formula>
    </cfRule>
    <cfRule type="cellIs" priority="5" dxfId="46" operator="equal" stopIfTrue="1">
      <formula>"B2"</formula>
    </cfRule>
    <cfRule type="cellIs" priority="6" dxfId="47"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indexed="27"/>
  </sheetPr>
  <dimension ref="A1:P34"/>
  <sheetViews>
    <sheetView showGridLines="0" zoomScalePageLayoutView="0" workbookViewId="0" topLeftCell="A1">
      <selection activeCell="L30" sqref="L30"/>
    </sheetView>
  </sheetViews>
  <sheetFormatPr defaultColWidth="9.140625" defaultRowHeight="15"/>
  <cols>
    <col min="1" max="1" width="3.28125" style="0" customWidth="1"/>
    <col min="2" max="2" width="14.28125" style="0" customWidth="1"/>
    <col min="3" max="3" width="12.421875" style="0" customWidth="1"/>
    <col min="4" max="4" width="13.140625" style="0" customWidth="1"/>
    <col min="5" max="5" width="11.421875" style="0" customWidth="1"/>
    <col min="6" max="6" width="11.8515625" style="0" customWidth="1"/>
    <col min="7" max="7" width="18.7109375" style="0" customWidth="1"/>
    <col min="8" max="8" width="11.28125" style="0" customWidth="1"/>
    <col min="9" max="9" width="14.421875" style="0" customWidth="1"/>
    <col min="10" max="10" width="15.140625" style="0" customWidth="1"/>
    <col min="11" max="11" width="15.28125" style="0" customWidth="1"/>
    <col min="12" max="12" width="15.7109375" style="0" customWidth="1"/>
  </cols>
  <sheetData>
    <row r="1" spans="3:5" ht="28.5" customHeight="1">
      <c r="C1" s="296"/>
      <c r="E1" s="296"/>
    </row>
    <row r="2" spans="2:16" ht="27.75" customHeight="1">
      <c r="B2" s="623" t="str">
        <f>+"Cuadro de mando:  "&amp;"  "&amp;+'Introducción de datos'!C4&amp;" - "&amp;'Introducción de datos'!G6</f>
        <v>Cuadro de mando:    El Salvador - VIH / SIDA</v>
      </c>
      <c r="C2" s="623"/>
      <c r="D2" s="623"/>
      <c r="E2" s="623"/>
      <c r="F2" s="623"/>
      <c r="G2" s="623"/>
      <c r="H2" s="623"/>
      <c r="I2" s="623"/>
      <c r="J2" s="623"/>
      <c r="K2" s="623"/>
      <c r="L2" s="623"/>
      <c r="M2" s="297"/>
      <c r="N2" s="297"/>
      <c r="O2" s="297"/>
      <c r="P2" s="297"/>
    </row>
    <row r="3" spans="2:12" ht="15">
      <c r="B3" s="298" t="str">
        <f>+'Introducción de datos'!G8</f>
        <v>Seleccionar</v>
      </c>
      <c r="C3" s="624" t="str">
        <f>+'Introducción de datos'!I8</f>
        <v>Seleccionar</v>
      </c>
      <c r="D3" s="624"/>
      <c r="E3" s="621"/>
      <c r="F3" s="621"/>
      <c r="G3" s="621"/>
      <c r="H3" s="621"/>
      <c r="I3" s="621"/>
      <c r="J3" s="622" t="str">
        <f>+'Introducción de datos'!B16</f>
        <v>Periodo:</v>
      </c>
      <c r="K3" s="622"/>
      <c r="L3" s="271" t="str">
        <f>+'Introducción de datos'!C16</f>
        <v>P1</v>
      </c>
    </row>
    <row r="4" spans="2:12" ht="15">
      <c r="B4" s="298" t="str">
        <f>+'Introducción de datos'!B12</f>
        <v>Ultima calificación:</v>
      </c>
      <c r="C4" s="606" t="str">
        <f>+'Introducción de datos'!C12</f>
        <v>Seleccionar</v>
      </c>
      <c r="D4" s="606"/>
      <c r="E4" s="621" t="str">
        <f>+'Introducción de datos'!C8</f>
        <v>PLAN  INTERNACIONAL</v>
      </c>
      <c r="F4" s="621"/>
      <c r="G4" s="621"/>
      <c r="H4" s="621"/>
      <c r="I4" s="621"/>
      <c r="J4" s="622" t="str">
        <f>+'Introducción de datos'!D16</f>
        <v>Desde:</v>
      </c>
      <c r="K4" s="622"/>
      <c r="L4" s="273">
        <f>+'Introducción de datos'!E16</f>
        <v>41640</v>
      </c>
    </row>
    <row r="5" spans="2:12" ht="18.75" customHeight="1">
      <c r="B5" s="298"/>
      <c r="C5" s="298"/>
      <c r="D5" s="621" t="str">
        <f>+'Introducción de datos'!G4</f>
        <v>INNOVANDO SERVICIOS, REDUCIENDO RIESGOS, RENOVANDO VIDAS EN EL SALVADOR</v>
      </c>
      <c r="E5" s="621"/>
      <c r="F5" s="621"/>
      <c r="G5" s="621"/>
      <c r="H5" s="621"/>
      <c r="I5" s="621"/>
      <c r="J5" s="621"/>
      <c r="K5" s="298" t="str">
        <f>+'Introducción de datos'!F16</f>
        <v>Hasta:</v>
      </c>
      <c r="L5" s="273">
        <f>+'Introducción de datos'!G16</f>
        <v>41820</v>
      </c>
    </row>
    <row r="6" spans="2:9" ht="18.75">
      <c r="B6" s="299"/>
      <c r="C6" s="298"/>
      <c r="D6" s="275"/>
      <c r="E6" s="625" t="s">
        <v>145</v>
      </c>
      <c r="F6" s="625"/>
      <c r="G6" s="625"/>
      <c r="H6" s="625"/>
      <c r="I6" s="625"/>
    </row>
    <row r="7" spans="2:8" ht="15">
      <c r="B7" s="300" t="str">
        <f>+'Introducción de datos'!B69&amp;"     "&amp;+J3&amp;" "&amp;+L3</f>
        <v>M1: Estado de las condiciones precedentes y acciones con fecha límite     Periodo: P1</v>
      </c>
      <c r="C7" s="301"/>
      <c r="H7" s="300" t="str">
        <f>+'Introducción de datos'!B76&amp;"         "&amp;+J3&amp;"  "&amp;+L3</f>
        <v>M2: Estado de los principales puestos directivos del RP         Periodo:  P1</v>
      </c>
    </row>
    <row r="8" spans="2:12" ht="14.25" customHeight="1">
      <c r="B8" s="464" t="s">
        <v>294</v>
      </c>
      <c r="C8" s="626" t="s">
        <v>339</v>
      </c>
      <c r="D8" s="626"/>
      <c r="E8" s="626"/>
      <c r="F8" s="626"/>
      <c r="G8" s="302"/>
      <c r="H8" s="464" t="s">
        <v>294</v>
      </c>
      <c r="I8" s="613" t="s">
        <v>340</v>
      </c>
      <c r="J8" s="613"/>
      <c r="K8" s="613"/>
      <c r="L8" s="613"/>
    </row>
    <row r="9" spans="2:8" ht="15">
      <c r="B9" s="10"/>
      <c r="C9" s="10"/>
      <c r="D9" s="10"/>
      <c r="E9" s="10"/>
      <c r="F9" s="10"/>
      <c r="G9" s="10"/>
      <c r="H9" s="10"/>
    </row>
    <row r="10" spans="1:16" ht="15">
      <c r="A10" s="303"/>
      <c r="B10" s="10"/>
      <c r="C10" s="10"/>
      <c r="D10" s="620"/>
      <c r="E10" s="508"/>
      <c r="F10" s="508"/>
      <c r="G10" s="12"/>
      <c r="H10" s="10"/>
      <c r="N10" s="305"/>
      <c r="O10" s="305"/>
      <c r="P10" s="306"/>
    </row>
    <row r="11" spans="2:15" ht="15">
      <c r="B11" s="10"/>
      <c r="C11" s="304"/>
      <c r="D11" s="620"/>
      <c r="E11" s="304"/>
      <c r="F11" s="304"/>
      <c r="G11" s="304"/>
      <c r="H11" s="304"/>
      <c r="N11" s="10"/>
      <c r="O11" s="10"/>
    </row>
    <row r="12" spans="2:8" ht="15">
      <c r="B12" s="304"/>
      <c r="C12" s="307"/>
      <c r="D12" s="308"/>
      <c r="E12" s="308"/>
      <c r="F12" s="308"/>
      <c r="G12" s="308"/>
      <c r="H12" s="309"/>
    </row>
    <row r="13" spans="2:8" ht="15">
      <c r="B13" s="304"/>
      <c r="C13" s="307"/>
      <c r="D13" s="308"/>
      <c r="E13" s="308"/>
      <c r="F13" s="308"/>
      <c r="G13" s="308"/>
      <c r="H13" s="309"/>
    </row>
    <row r="15" spans="2:8" ht="27.75" customHeight="1">
      <c r="B15" s="300" t="str">
        <f>+'Introducción de datos'!B81&amp;"            "&amp;+J3&amp;" "&amp;+L3</f>
        <v>M3: Acuerdos contractuales (subreceptores)             Periodo: P1</v>
      </c>
      <c r="H15" s="300" t="str">
        <f>+'Introducción de datos'!B86&amp;"                "&amp;+J3&amp;" "&amp;+L3</f>
        <v>M4: Número de informes completos recibidos a tiempo                Periodo: P1</v>
      </c>
    </row>
    <row r="16" spans="2:12" ht="22.5" customHeight="1">
      <c r="B16" s="464" t="s">
        <v>294</v>
      </c>
      <c r="C16" s="613" t="s">
        <v>341</v>
      </c>
      <c r="D16" s="613"/>
      <c r="E16" s="613"/>
      <c r="F16" s="613"/>
      <c r="G16" s="302"/>
      <c r="H16" s="464" t="s">
        <v>294</v>
      </c>
      <c r="I16" s="613" t="s">
        <v>350</v>
      </c>
      <c r="J16" s="613"/>
      <c r="K16" s="613"/>
      <c r="L16" s="613"/>
    </row>
    <row r="17" spans="2:8" ht="15">
      <c r="B17" s="310"/>
      <c r="H17" s="311"/>
    </row>
    <row r="18" ht="15">
      <c r="M18" s="272"/>
    </row>
    <row r="25" ht="22.5" customHeight="1"/>
    <row r="26" spans="2:8" ht="15">
      <c r="B26" s="300" t="str">
        <f>+'Introducción de datos'!B92</f>
        <v>M5: Presupuesto y compra de productos y equipo sanitario, medicamentos y productos farmacéuticos</v>
      </c>
      <c r="H26" s="300" t="str">
        <f>+'Introducción de datos'!B105&amp;"    "&amp;+J3&amp;"  "&amp;+L3</f>
        <v>M6: Diferencia entre existencias actuales y existencias de seguridad    Periodo:  P1</v>
      </c>
    </row>
    <row r="27" spans="2:12" ht="27" customHeight="1">
      <c r="B27" s="464" t="s">
        <v>294</v>
      </c>
      <c r="C27" s="614" t="s">
        <v>342</v>
      </c>
      <c r="D27" s="615"/>
      <c r="E27" s="615"/>
      <c r="F27" s="616"/>
      <c r="G27" s="302"/>
      <c r="H27" s="464" t="s">
        <v>294</v>
      </c>
      <c r="I27" s="617" t="s">
        <v>343</v>
      </c>
      <c r="J27" s="618"/>
      <c r="K27" s="618"/>
      <c r="L27" s="619"/>
    </row>
    <row r="29" spans="6:12" ht="104.25" customHeight="1">
      <c r="F29" s="312"/>
      <c r="G29" s="312"/>
      <c r="H29" s="462" t="s">
        <v>268</v>
      </c>
      <c r="I29" s="463" t="s">
        <v>269</v>
      </c>
      <c r="J29" s="459" t="s">
        <v>299</v>
      </c>
      <c r="K29" s="460" t="s">
        <v>300</v>
      </c>
      <c r="L29" s="461" t="s">
        <v>301</v>
      </c>
    </row>
    <row r="30" spans="6:12" ht="15" customHeight="1">
      <c r="F30" s="312"/>
      <c r="G30" s="312"/>
      <c r="H30" s="611" t="str">
        <f>+'Introducción de datos'!B108</f>
        <v>VIH / SIDA</v>
      </c>
      <c r="I30" s="313" t="str">
        <f>+'Introducción de datos'!C108</f>
        <v>CONDONES MASCULINOS (HSH, TS Y TRANS)</v>
      </c>
      <c r="J30" s="314">
        <f>+'Introducción de datos'!I108</f>
        <v>15.94817613718936</v>
      </c>
      <c r="K30" s="315">
        <f>+'Introducción de datos'!J108</f>
        <v>5</v>
      </c>
      <c r="L30" s="316">
        <f>+'Introducción de datos'!K108</f>
        <v>10.94817613718936</v>
      </c>
    </row>
    <row r="31" spans="6:12" ht="15">
      <c r="F31" s="312"/>
      <c r="G31" s="312"/>
      <c r="H31" s="611"/>
      <c r="I31" s="313" t="str">
        <f>+'Introducción de datos'!C109</f>
        <v>CONDONES FEMENINOS (TS)</v>
      </c>
      <c r="J31" s="314">
        <f>+'Introducción de datos'!I109</f>
        <v>40.37574722459436</v>
      </c>
      <c r="K31" s="315">
        <f>+'Introducción de datos'!J109</f>
        <v>5</v>
      </c>
      <c r="L31" s="317">
        <f>+'Introducción de datos'!K109</f>
        <v>35.37574722459436</v>
      </c>
    </row>
    <row r="32" spans="6:12" ht="15">
      <c r="F32" s="312"/>
      <c r="G32" s="312"/>
      <c r="H32" s="611"/>
      <c r="I32" s="313" t="str">
        <f>+'Introducción de datos'!C110</f>
        <v>PRUEBA RAPIDA</v>
      </c>
      <c r="J32" s="314">
        <f>+'Introducción de datos'!I110</f>
      </c>
      <c r="K32" s="315">
        <f>+'Introducción de datos'!J110</f>
        <v>0</v>
      </c>
      <c r="L32" s="316">
        <f>+'Introducción de datos'!K110</f>
      </c>
    </row>
    <row r="33" spans="6:12" ht="15">
      <c r="F33" s="312"/>
      <c r="G33" s="312"/>
      <c r="H33" s="611"/>
      <c r="I33" s="318">
        <f>+'Introducción de datos'!C112</f>
        <v>0</v>
      </c>
      <c r="J33" s="319">
        <f>+'Introducción de datos'!I112</f>
      </c>
      <c r="K33" s="320">
        <f>+'Introducción de datos'!J112</f>
        <v>0</v>
      </c>
      <c r="L33" s="316">
        <f>+'Introducción de datos'!K112</f>
      </c>
    </row>
    <row r="34" spans="2:12" ht="39.75" customHeight="1">
      <c r="B34" s="612" t="str">
        <f>+'Introducción de datos'!B102</f>
        <v>* Incluye sólo los montos de las categorías 4 y 5 (Productos y equipamientos sanitarios y Medicamentos y productos farmacéuticos) de los  Informes Financieros Mejorados</v>
      </c>
      <c r="C34" s="612"/>
      <c r="D34" s="612"/>
      <c r="E34" s="612"/>
      <c r="F34" s="10"/>
      <c r="G34" s="10"/>
      <c r="H34" s="321"/>
      <c r="I34" s="322"/>
      <c r="J34" s="323"/>
      <c r="K34" s="12"/>
      <c r="L34" s="49"/>
    </row>
  </sheetData>
  <sheetProtection/>
  <mergeCells count="19">
    <mergeCell ref="B2:L2"/>
    <mergeCell ref="C3:D3"/>
    <mergeCell ref="E3:I3"/>
    <mergeCell ref="J3:K3"/>
    <mergeCell ref="E6:I6"/>
    <mergeCell ref="C8:F8"/>
    <mergeCell ref="I8:L8"/>
    <mergeCell ref="D10:D11"/>
    <mergeCell ref="E10:F10"/>
    <mergeCell ref="C4:D4"/>
    <mergeCell ref="E4:I4"/>
    <mergeCell ref="J4:K4"/>
    <mergeCell ref="D5:J5"/>
    <mergeCell ref="H30:H33"/>
    <mergeCell ref="B34:E34"/>
    <mergeCell ref="C16:F16"/>
    <mergeCell ref="I16:L16"/>
    <mergeCell ref="C27:F27"/>
    <mergeCell ref="I27:L27"/>
  </mergeCells>
  <conditionalFormatting sqref="D12:D13">
    <cfRule type="cellIs" priority="1" dxfId="49" operator="greaterThan" stopIfTrue="1">
      <formula>0</formula>
    </cfRule>
  </conditionalFormatting>
  <conditionalFormatting sqref="E12:E13">
    <cfRule type="cellIs" priority="2" dxfId="55" operator="greaterThan" stopIfTrue="1">
      <formula>0</formula>
    </cfRule>
  </conditionalFormatting>
  <conditionalFormatting sqref="F12:G13">
    <cfRule type="cellIs" priority="3" dxfId="51" operator="greaterThan" stopIfTrue="1">
      <formula>0</formula>
    </cfRule>
  </conditionalFormatting>
  <conditionalFormatting sqref="C4:D4">
    <cfRule type="cellIs" priority="4" dxfId="51" operator="equal" stopIfTrue="1">
      <formula>"C"</formula>
    </cfRule>
    <cfRule type="cellIs" priority="5" dxfId="46" operator="equal" stopIfTrue="1">
      <formula>"B2"</formula>
    </cfRule>
    <cfRule type="cellIs" priority="6" dxfId="47" operator="equal" stopIfTrue="1">
      <formula>"B1"</formula>
    </cfRule>
  </conditionalFormatting>
  <conditionalFormatting sqref="L30 L32:L33">
    <cfRule type="cellIs" priority="7" dxfId="56" operator="lessThan" stopIfTrue="1">
      <formula>1</formula>
    </cfRule>
    <cfRule type="cellIs" priority="8" dxfId="57" operator="between" stopIfTrue="1">
      <formula>3</formula>
      <formula>17</formula>
    </cfRule>
    <cfRule type="cellIs" priority="9" dxfId="58" operator="between" stopIfTrue="1">
      <formula>1</formula>
      <formula>3</formula>
    </cfRule>
  </conditionalFormatting>
  <conditionalFormatting sqref="L31">
    <cfRule type="cellIs" priority="10" dxfId="56" operator="lessThan" stopIfTrue="1">
      <formula>1</formula>
    </cfRule>
    <cfRule type="cellIs" priority="11" dxfId="57" operator="between" stopIfTrue="1">
      <formula>3</formula>
      <formula>100</formula>
    </cfRule>
    <cfRule type="cellIs" priority="12" dxfId="58"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&amp;L&amp;F&amp;C&amp;A&amp;R&amp;D</oddFooter>
  </headerFooter>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AI28"/>
  <sheetViews>
    <sheetView showGridLines="0" tabSelected="1" zoomScale="178" zoomScaleNormal="178" zoomScalePageLayoutView="0" workbookViewId="0" topLeftCell="I21">
      <selection activeCell="L21" sqref="L21:Q21"/>
    </sheetView>
  </sheetViews>
  <sheetFormatPr defaultColWidth="9.140625" defaultRowHeight="15"/>
  <cols>
    <col min="1" max="1" width="0.42578125" style="0" customWidth="1"/>
    <col min="2" max="2" width="17.8515625" style="0" customWidth="1"/>
    <col min="3" max="3" width="16.140625" style="0" customWidth="1"/>
    <col min="4" max="4" width="17.28125" style="0" customWidth="1"/>
    <col min="5" max="5" width="8.00390625" style="0" customWidth="1"/>
    <col min="6" max="6" width="10.7109375" style="0" customWidth="1"/>
    <col min="7" max="7" width="8.28125" style="0" customWidth="1"/>
    <col min="8" max="8" width="6.28125" style="0" customWidth="1"/>
    <col min="9" max="9" width="6.00390625" style="0" customWidth="1"/>
    <col min="10" max="10" width="6.140625" style="0" customWidth="1"/>
    <col min="11" max="11" width="11.28125" style="0" customWidth="1"/>
    <col min="12" max="12" width="14.00390625" style="0" customWidth="1"/>
    <col min="13" max="13" width="11.7109375" style="0" customWidth="1"/>
    <col min="14" max="14" width="9.57421875" style="0" customWidth="1"/>
    <col min="15" max="15" width="7.421875" style="0" customWidth="1"/>
    <col min="16" max="16" width="15.7109375" style="0" customWidth="1"/>
    <col min="17" max="17" width="14.421875" style="0" customWidth="1"/>
    <col min="18" max="18" width="30.8515625" style="0" customWidth="1"/>
  </cols>
  <sheetData>
    <row r="1" spans="1:16" ht="26.25" customHeight="1">
      <c r="A1" s="6"/>
      <c r="B1" s="6"/>
      <c r="C1" s="6"/>
      <c r="D1" s="6"/>
      <c r="E1" s="6"/>
      <c r="F1" s="6"/>
      <c r="G1" s="6"/>
      <c r="H1" s="6"/>
      <c r="I1" s="6"/>
      <c r="J1" s="6"/>
      <c r="K1" s="6"/>
      <c r="L1" s="6"/>
      <c r="M1" s="6"/>
      <c r="N1" s="6"/>
      <c r="O1" s="6"/>
      <c r="P1" s="6"/>
    </row>
    <row r="2" spans="1:17" ht="21.75" customHeight="1">
      <c r="A2" s="6"/>
      <c r="B2" s="647" t="str">
        <f>+"Cuadro de mando:  "&amp;"  "&amp;+'Introducción de datos'!C4&amp;" - "&amp;'Introducción de datos'!G6</f>
        <v>Cuadro de mando:    El Salvador - VIH / SIDA</v>
      </c>
      <c r="C2" s="647"/>
      <c r="D2" s="647"/>
      <c r="E2" s="647"/>
      <c r="F2" s="647"/>
      <c r="G2" s="647"/>
      <c r="H2" s="647"/>
      <c r="I2" s="647"/>
      <c r="J2" s="647"/>
      <c r="K2" s="647"/>
      <c r="L2" s="647"/>
      <c r="M2" s="647"/>
      <c r="N2" s="647"/>
      <c r="O2" s="647"/>
      <c r="P2" s="647"/>
      <c r="Q2" s="647"/>
    </row>
    <row r="3" spans="1:17" ht="15">
      <c r="A3" s="6"/>
      <c r="B3" s="269" t="str">
        <f>+'Introducción de datos'!G8</f>
        <v>Seleccionar</v>
      </c>
      <c r="C3" s="610" t="str">
        <f>+'Introducción de datos'!I8</f>
        <v>Seleccionar</v>
      </c>
      <c r="D3" s="610"/>
      <c r="E3" s="607"/>
      <c r="F3" s="607"/>
      <c r="G3" s="607"/>
      <c r="H3" s="607"/>
      <c r="I3" s="607"/>
      <c r="J3" s="607"/>
      <c r="K3" s="607"/>
      <c r="L3" s="6"/>
      <c r="M3" s="6"/>
      <c r="O3" s="608" t="str">
        <f>+'Introducción de datos'!B16</f>
        <v>Periodo:</v>
      </c>
      <c r="P3" s="608"/>
      <c r="Q3" s="324" t="str">
        <f>+'Introducción de datos'!C16</f>
        <v>P1</v>
      </c>
    </row>
    <row r="4" spans="1:29" ht="12" customHeight="1">
      <c r="A4" s="6"/>
      <c r="B4" s="269" t="str">
        <f>+'Introducción de datos'!B12</f>
        <v>Ultima calificación:</v>
      </c>
      <c r="C4" s="652" t="str">
        <f>+'Introducción de datos'!C12</f>
        <v>Seleccionar</v>
      </c>
      <c r="D4" s="652"/>
      <c r="E4" s="607" t="str">
        <f>+'Introducción de datos'!C8</f>
        <v>PLAN  INTERNACIONAL</v>
      </c>
      <c r="F4" s="607"/>
      <c r="G4" s="607"/>
      <c r="H4" s="607"/>
      <c r="I4" s="607"/>
      <c r="J4" s="607"/>
      <c r="K4" s="607"/>
      <c r="L4" s="607"/>
      <c r="M4" s="6"/>
      <c r="O4" s="325"/>
      <c r="P4" s="269" t="str">
        <f>+'Introducción de datos'!D16</f>
        <v>Desde:</v>
      </c>
      <c r="Q4" s="326">
        <f>+'Introducción de datos'!E16</f>
        <v>41640</v>
      </c>
      <c r="Y4" s="283"/>
      <c r="Z4" s="283"/>
      <c r="AA4" s="283"/>
      <c r="AB4" s="283"/>
      <c r="AC4" s="283"/>
    </row>
    <row r="5" spans="1:35" ht="15.75" customHeight="1">
      <c r="A5" s="6"/>
      <c r="B5" s="269"/>
      <c r="C5" s="269"/>
      <c r="D5" s="607" t="str">
        <f>+'Introducción de datos'!G4</f>
        <v>INNOVANDO SERVICIOS, REDUCIENDO RIESGOS, RENOVANDO VIDAS EN EL SALVADOR</v>
      </c>
      <c r="E5" s="607"/>
      <c r="F5" s="607"/>
      <c r="G5" s="607"/>
      <c r="H5" s="607"/>
      <c r="I5" s="607"/>
      <c r="J5" s="607"/>
      <c r="K5" s="607"/>
      <c r="L5" s="607"/>
      <c r="M5" s="607"/>
      <c r="N5" s="607"/>
      <c r="P5" s="269" t="str">
        <f>+'Introducción de datos'!F16</f>
        <v>Hasta:</v>
      </c>
      <c r="Q5" s="326">
        <f>+'Introducción de datos'!G16</f>
        <v>41820</v>
      </c>
      <c r="S5" s="327"/>
      <c r="T5" s="327"/>
      <c r="U5" s="327"/>
      <c r="V5" s="327"/>
      <c r="W5" s="327"/>
      <c r="X5" s="327"/>
      <c r="Y5" s="283"/>
      <c r="Z5" s="283"/>
      <c r="AA5" s="283" t="s">
        <v>302</v>
      </c>
      <c r="AB5" s="283"/>
      <c r="AC5" s="328" t="s">
        <v>303</v>
      </c>
      <c r="AD5" s="327"/>
      <c r="AE5" s="327"/>
      <c r="AF5" s="327"/>
      <c r="AG5" s="327"/>
      <c r="AH5" s="327"/>
      <c r="AI5" s="327"/>
    </row>
    <row r="6" spans="1:35" ht="15.75" customHeight="1">
      <c r="A6" s="6"/>
      <c r="B6" s="269"/>
      <c r="C6" s="269"/>
      <c r="D6" s="329"/>
      <c r="E6" s="329"/>
      <c r="F6" s="653" t="s">
        <v>304</v>
      </c>
      <c r="G6" s="653"/>
      <c r="H6" s="653"/>
      <c r="I6" s="653"/>
      <c r="J6" s="653"/>
      <c r="K6" s="653"/>
      <c r="L6" s="329"/>
      <c r="M6" s="6"/>
      <c r="N6" s="6"/>
      <c r="O6" s="330"/>
      <c r="P6" s="331"/>
      <c r="S6" s="327"/>
      <c r="T6" s="327"/>
      <c r="U6" s="327"/>
      <c r="V6" s="327"/>
      <c r="W6" s="327"/>
      <c r="X6" s="327"/>
      <c r="Y6" s="283"/>
      <c r="Z6" s="283"/>
      <c r="AA6" s="283"/>
      <c r="AB6" s="283"/>
      <c r="AC6" s="283"/>
      <c r="AD6" s="327"/>
      <c r="AE6" s="327"/>
      <c r="AF6" s="327"/>
      <c r="AG6" s="327"/>
      <c r="AH6" s="327"/>
      <c r="AI6" s="327"/>
    </row>
    <row r="7" spans="1:35" ht="3" customHeight="1">
      <c r="A7" s="6"/>
      <c r="B7" s="269"/>
      <c r="C7" s="269"/>
      <c r="D7" s="329"/>
      <c r="E7" s="329"/>
      <c r="F7" s="329"/>
      <c r="G7" s="329"/>
      <c r="H7" s="329"/>
      <c r="I7" s="329"/>
      <c r="J7" s="329"/>
      <c r="K7" s="329"/>
      <c r="L7" s="329"/>
      <c r="M7" s="6"/>
      <c r="N7" s="6"/>
      <c r="O7" s="330"/>
      <c r="P7" s="273"/>
      <c r="Q7" s="273"/>
      <c r="S7" s="327"/>
      <c r="T7" s="327"/>
      <c r="U7" s="327"/>
      <c r="V7" s="327"/>
      <c r="W7" s="327"/>
      <c r="X7" s="327"/>
      <c r="Y7" s="283"/>
      <c r="Z7" s="283"/>
      <c r="AA7" s="283"/>
      <c r="AB7" s="283"/>
      <c r="AC7" s="283"/>
      <c r="AD7" s="327"/>
      <c r="AE7" s="327"/>
      <c r="AF7" s="327"/>
      <c r="AG7" s="327"/>
      <c r="AH7" s="327"/>
      <c r="AI7" s="327"/>
    </row>
    <row r="8" spans="1:35" ht="18.75" customHeight="1">
      <c r="A8" s="6"/>
      <c r="B8" s="648" t="str">
        <f>+'Introducción de datos'!B119</f>
        <v>% Y Número de personas HSH alcanzadas con el paquete básico de prevención de VIH</v>
      </c>
      <c r="C8" s="648"/>
      <c r="D8" s="648"/>
      <c r="E8" s="648"/>
      <c r="F8" s="648" t="str">
        <f>+'Introducción de datos'!B121</f>
        <v>% Y Número de personas TS alcanzadas con el paquete básico de prevención de VIH</v>
      </c>
      <c r="G8" s="648"/>
      <c r="H8" s="648"/>
      <c r="I8" s="648"/>
      <c r="J8" s="648"/>
      <c r="K8" s="648"/>
      <c r="L8" s="648" t="str">
        <f>+'Introducción de datos'!B123</f>
        <v>% Y Número de personas TRANS alcanzadas con el paquete básico de prevención de VIH</v>
      </c>
      <c r="M8" s="648"/>
      <c r="N8" s="648"/>
      <c r="O8" s="648"/>
      <c r="P8" s="648"/>
      <c r="Q8" s="648"/>
      <c r="S8" s="327"/>
      <c r="T8" s="327"/>
      <c r="U8" s="327"/>
      <c r="V8" s="327"/>
      <c r="W8" s="327"/>
      <c r="X8" s="327"/>
      <c r="Y8" s="283"/>
      <c r="Z8" s="283"/>
      <c r="AA8" s="283"/>
      <c r="AB8" s="283"/>
      <c r="AC8" s="283"/>
      <c r="AD8" s="327"/>
      <c r="AE8" s="327"/>
      <c r="AF8" s="327"/>
      <c r="AG8" s="327"/>
      <c r="AH8" s="327"/>
      <c r="AI8" s="327"/>
    </row>
    <row r="9" spans="1:35" ht="75" customHeight="1">
      <c r="A9" s="6"/>
      <c r="B9" s="458" t="s">
        <v>305</v>
      </c>
      <c r="C9" s="617" t="s">
        <v>353</v>
      </c>
      <c r="D9" s="618"/>
      <c r="E9" s="619"/>
      <c r="F9" s="458" t="s">
        <v>305</v>
      </c>
      <c r="G9" s="617" t="s">
        <v>352</v>
      </c>
      <c r="H9" s="618"/>
      <c r="I9" s="618"/>
      <c r="J9" s="618"/>
      <c r="K9" s="619"/>
      <c r="L9" s="458" t="s">
        <v>305</v>
      </c>
      <c r="M9" s="617" t="s">
        <v>354</v>
      </c>
      <c r="N9" s="618"/>
      <c r="O9" s="618"/>
      <c r="P9" s="618"/>
      <c r="Q9" s="619"/>
      <c r="S9" s="327"/>
      <c r="T9" s="327"/>
      <c r="U9" s="327"/>
      <c r="V9" s="327"/>
      <c r="W9" s="327"/>
      <c r="X9" s="327"/>
      <c r="Y9" s="327"/>
      <c r="Z9" s="327"/>
      <c r="AA9" s="327"/>
      <c r="AB9" s="327"/>
      <c r="AC9" s="327"/>
      <c r="AD9" s="327"/>
      <c r="AE9" s="327"/>
      <c r="AF9" s="327"/>
      <c r="AG9" s="327"/>
      <c r="AH9" s="327"/>
      <c r="AI9" s="327"/>
    </row>
    <row r="10" spans="1:35" ht="18.75" customHeight="1">
      <c r="A10" s="6"/>
      <c r="B10" s="269"/>
      <c r="C10" s="269"/>
      <c r="D10" s="329"/>
      <c r="E10" s="329"/>
      <c r="F10" s="329"/>
      <c r="G10" s="329"/>
      <c r="H10" s="329"/>
      <c r="I10" s="329"/>
      <c r="J10" s="329"/>
      <c r="K10" s="329"/>
      <c r="L10" s="329"/>
      <c r="M10" s="6"/>
      <c r="N10" s="6"/>
      <c r="O10" s="330"/>
      <c r="P10" s="273"/>
      <c r="S10" s="327"/>
      <c r="T10" s="327"/>
      <c r="U10" s="327"/>
      <c r="V10" s="327"/>
      <c r="W10" s="327"/>
      <c r="X10" s="327"/>
      <c r="Y10" s="327"/>
      <c r="Z10" s="327"/>
      <c r="AA10" s="327"/>
      <c r="AB10" s="327"/>
      <c r="AC10" s="327"/>
      <c r="AD10" s="327"/>
      <c r="AE10" s="327"/>
      <c r="AF10" s="327"/>
      <c r="AG10" s="327"/>
      <c r="AH10" s="327"/>
      <c r="AI10" s="327"/>
    </row>
    <row r="11" spans="1:35" ht="18.75" customHeight="1">
      <c r="A11" s="6"/>
      <c r="B11" s="269"/>
      <c r="C11" s="269"/>
      <c r="D11" s="329"/>
      <c r="E11" s="329"/>
      <c r="F11" s="329"/>
      <c r="G11" s="329"/>
      <c r="H11" s="329"/>
      <c r="I11" s="329"/>
      <c r="J11" s="329"/>
      <c r="K11" s="329"/>
      <c r="L11" s="329"/>
      <c r="M11" s="6"/>
      <c r="N11" s="6"/>
      <c r="O11" s="330"/>
      <c r="P11" s="273"/>
      <c r="S11" s="327"/>
      <c r="T11" s="327"/>
      <c r="U11" s="327"/>
      <c r="V11" s="327"/>
      <c r="W11" s="327"/>
      <c r="X11" s="327"/>
      <c r="Y11" s="327"/>
      <c r="Z11" s="327"/>
      <c r="AA11" s="327"/>
      <c r="AB11" s="327"/>
      <c r="AC11" s="327"/>
      <c r="AD11" s="327"/>
      <c r="AE11" s="327"/>
      <c r="AF11" s="327"/>
      <c r="AG11" s="327"/>
      <c r="AH11" s="327"/>
      <c r="AI11" s="327"/>
    </row>
    <row r="12" spans="1:35" ht="18.75" customHeight="1">
      <c r="A12" s="6"/>
      <c r="B12" s="269"/>
      <c r="C12" s="269"/>
      <c r="D12" s="329"/>
      <c r="E12" s="329"/>
      <c r="F12" s="329"/>
      <c r="G12" s="329"/>
      <c r="H12" s="329"/>
      <c r="I12" s="329"/>
      <c r="J12" s="329"/>
      <c r="K12" s="329"/>
      <c r="L12" s="329"/>
      <c r="M12" s="6"/>
      <c r="N12" s="6"/>
      <c r="O12" s="330"/>
      <c r="P12" s="273"/>
      <c r="S12" s="327"/>
      <c r="T12" s="327"/>
      <c r="U12" s="327"/>
      <c r="V12" s="327"/>
      <c r="W12" s="327"/>
      <c r="X12" s="327"/>
      <c r="Y12" s="327"/>
      <c r="Z12" s="327"/>
      <c r="AA12" s="327"/>
      <c r="AB12" s="327"/>
      <c r="AC12" s="327"/>
      <c r="AD12" s="327"/>
      <c r="AE12" s="327"/>
      <c r="AF12" s="327"/>
      <c r="AG12" s="327"/>
      <c r="AH12" s="327"/>
      <c r="AI12" s="327"/>
    </row>
    <row r="13" spans="1:35" ht="18.75" customHeight="1">
      <c r="A13" s="6"/>
      <c r="B13" s="269"/>
      <c r="C13" s="269"/>
      <c r="D13" s="329"/>
      <c r="E13" s="329"/>
      <c r="F13" s="329"/>
      <c r="G13" s="329"/>
      <c r="H13" s="329"/>
      <c r="I13" s="329"/>
      <c r="J13" s="329"/>
      <c r="K13" s="329"/>
      <c r="L13" s="329"/>
      <c r="M13" s="6"/>
      <c r="N13" s="6"/>
      <c r="O13" s="330"/>
      <c r="P13" s="273"/>
      <c r="S13" s="327"/>
      <c r="T13" s="327"/>
      <c r="U13" s="327"/>
      <c r="V13" s="327"/>
      <c r="W13" s="327"/>
      <c r="X13" s="327"/>
      <c r="Y13" s="327"/>
      <c r="Z13" s="327"/>
      <c r="AA13" s="327"/>
      <c r="AB13" s="327"/>
      <c r="AC13" s="327"/>
      <c r="AD13" s="327"/>
      <c r="AE13" s="327"/>
      <c r="AF13" s="327"/>
      <c r="AG13" s="327"/>
      <c r="AH13" s="327"/>
      <c r="AI13" s="327"/>
    </row>
    <row r="14" spans="1:35" ht="18.75" customHeight="1">
      <c r="A14" s="6"/>
      <c r="B14" s="269"/>
      <c r="C14" s="269"/>
      <c r="D14" s="329"/>
      <c r="E14" s="329"/>
      <c r="F14" s="329"/>
      <c r="G14" s="329"/>
      <c r="H14" s="329"/>
      <c r="I14" s="329"/>
      <c r="J14" s="329"/>
      <c r="K14" s="329"/>
      <c r="L14" s="329"/>
      <c r="M14" s="6"/>
      <c r="N14" s="6"/>
      <c r="O14" s="330"/>
      <c r="P14" s="273"/>
      <c r="S14" s="327"/>
      <c r="T14" s="327"/>
      <c r="U14" s="327"/>
      <c r="V14" s="327"/>
      <c r="W14" s="327"/>
      <c r="X14" s="327"/>
      <c r="Y14" s="327"/>
      <c r="Z14" s="327"/>
      <c r="AA14" s="327"/>
      <c r="AB14" s="327"/>
      <c r="AC14" s="327"/>
      <c r="AD14" s="327"/>
      <c r="AE14" s="327"/>
      <c r="AF14" s="327"/>
      <c r="AG14" s="327"/>
      <c r="AH14" s="327"/>
      <c r="AI14" s="327"/>
    </row>
    <row r="15" spans="1:35" ht="18.75" customHeight="1">
      <c r="A15" s="6"/>
      <c r="B15" s="269"/>
      <c r="C15" s="269"/>
      <c r="D15" s="329"/>
      <c r="E15" s="329"/>
      <c r="F15" s="329"/>
      <c r="G15" s="329"/>
      <c r="H15" s="329"/>
      <c r="I15" s="329"/>
      <c r="J15" s="329"/>
      <c r="K15" s="329"/>
      <c r="L15" s="329"/>
      <c r="M15" s="6"/>
      <c r="N15" s="6"/>
      <c r="O15" s="330"/>
      <c r="P15" s="273"/>
      <c r="S15" s="327"/>
      <c r="T15" s="327"/>
      <c r="U15" s="327"/>
      <c r="V15" s="327"/>
      <c r="W15" s="327"/>
      <c r="X15" s="327"/>
      <c r="Y15" s="327"/>
      <c r="Z15" s="327"/>
      <c r="AA15" s="327"/>
      <c r="AB15" s="327"/>
      <c r="AC15" s="327"/>
      <c r="AD15" s="327"/>
      <c r="AE15" s="327"/>
      <c r="AF15" s="327"/>
      <c r="AG15" s="327"/>
      <c r="AH15" s="327"/>
      <c r="AI15" s="327"/>
    </row>
    <row r="16" spans="1:35" ht="18.75" customHeight="1">
      <c r="A16" s="6"/>
      <c r="B16" s="269"/>
      <c r="C16" s="269"/>
      <c r="D16" s="329"/>
      <c r="E16" s="329"/>
      <c r="F16" s="329"/>
      <c r="G16" s="329"/>
      <c r="H16" s="329"/>
      <c r="I16" s="329"/>
      <c r="J16" s="329"/>
      <c r="K16" s="329"/>
      <c r="L16" s="329"/>
      <c r="M16" s="6"/>
      <c r="N16" s="6"/>
      <c r="O16" s="330"/>
      <c r="P16" s="273"/>
      <c r="S16" s="327"/>
      <c r="T16" s="327"/>
      <c r="U16" s="327"/>
      <c r="V16" s="327"/>
      <c r="W16" s="327"/>
      <c r="X16" s="327"/>
      <c r="Y16" s="327"/>
      <c r="Z16" s="327"/>
      <c r="AA16" s="327"/>
      <c r="AB16" s="327"/>
      <c r="AC16" s="327"/>
      <c r="AD16" s="327"/>
      <c r="AE16" s="327"/>
      <c r="AF16" s="327"/>
      <c r="AG16" s="327"/>
      <c r="AH16" s="327"/>
      <c r="AI16" s="327"/>
    </row>
    <row r="17" spans="1:35" ht="17.25" customHeight="1">
      <c r="A17" s="6"/>
      <c r="B17" s="269"/>
      <c r="C17" s="269"/>
      <c r="D17" s="329"/>
      <c r="E17" s="329"/>
      <c r="F17" s="329"/>
      <c r="G17" s="329"/>
      <c r="H17" s="329"/>
      <c r="I17" s="329"/>
      <c r="J17" s="329"/>
      <c r="K17" s="329"/>
      <c r="L17" s="329"/>
      <c r="M17" s="6"/>
      <c r="N17" s="6"/>
      <c r="O17" s="330"/>
      <c r="P17" s="273"/>
      <c r="S17" s="327"/>
      <c r="T17" s="327"/>
      <c r="U17" s="327"/>
      <c r="V17" s="327"/>
      <c r="W17" s="327"/>
      <c r="X17" s="327"/>
      <c r="Y17" s="327"/>
      <c r="Z17" s="327"/>
      <c r="AA17" s="327"/>
      <c r="AB17" s="327"/>
      <c r="AC17" s="327"/>
      <c r="AD17" s="327"/>
      <c r="AE17" s="327"/>
      <c r="AF17" s="327"/>
      <c r="AG17" s="327"/>
      <c r="AH17" s="327"/>
      <c r="AI17" s="327"/>
    </row>
    <row r="18" spans="1:35" ht="6" customHeight="1">
      <c r="A18" s="6"/>
      <c r="B18" s="274"/>
      <c r="C18" s="269"/>
      <c r="D18" s="275"/>
      <c r="E18" s="639"/>
      <c r="F18" s="639"/>
      <c r="G18" s="639"/>
      <c r="H18" s="639"/>
      <c r="I18" s="639"/>
      <c r="J18" s="639"/>
      <c r="K18" s="639"/>
      <c r="L18" s="6"/>
      <c r="M18" s="6"/>
      <c r="N18" s="6"/>
      <c r="O18" s="6"/>
      <c r="P18" s="6"/>
      <c r="S18" s="327"/>
      <c r="T18" s="327"/>
      <c r="U18" s="327"/>
      <c r="V18" s="327"/>
      <c r="W18" s="327"/>
      <c r="X18" s="327"/>
      <c r="Y18" s="327"/>
      <c r="Z18" s="327"/>
      <c r="AA18" s="327"/>
      <c r="AB18" s="327"/>
      <c r="AC18" s="327"/>
      <c r="AD18" s="327"/>
      <c r="AE18" s="327"/>
      <c r="AF18" s="327"/>
      <c r="AG18" s="327"/>
      <c r="AH18" s="327"/>
      <c r="AI18" s="327"/>
    </row>
    <row r="19" spans="1:35" ht="24" customHeight="1">
      <c r="A19" s="6"/>
      <c r="B19" s="640" t="s">
        <v>306</v>
      </c>
      <c r="C19" s="641"/>
      <c r="D19" s="642"/>
      <c r="E19" s="332" t="s">
        <v>282</v>
      </c>
      <c r="F19" s="332" t="s">
        <v>307</v>
      </c>
      <c r="G19" s="643" t="s">
        <v>308</v>
      </c>
      <c r="H19" s="644"/>
      <c r="I19" s="645" t="s">
        <v>309</v>
      </c>
      <c r="J19" s="646"/>
      <c r="K19" s="333" t="s">
        <v>310</v>
      </c>
      <c r="L19" s="654" t="s">
        <v>311</v>
      </c>
      <c r="M19" s="655"/>
      <c r="N19" s="655"/>
      <c r="O19" s="655"/>
      <c r="P19" s="655"/>
      <c r="Q19" s="655"/>
      <c r="R19" s="471" t="s">
        <v>319</v>
      </c>
      <c r="S19" s="469" t="s">
        <v>312</v>
      </c>
      <c r="T19" s="335">
        <v>0</v>
      </c>
      <c r="U19" s="336">
        <v>0.3</v>
      </c>
      <c r="V19" s="336">
        <v>0.6</v>
      </c>
      <c r="W19" s="336">
        <v>0.9</v>
      </c>
      <c r="X19" s="336">
        <v>1</v>
      </c>
      <c r="Y19" s="283"/>
      <c r="Z19" s="283"/>
      <c r="AA19" s="334" t="s">
        <v>313</v>
      </c>
      <c r="AB19" s="335">
        <v>0</v>
      </c>
      <c r="AC19" s="336">
        <v>0.2</v>
      </c>
      <c r="AD19" s="336">
        <v>0.4</v>
      </c>
      <c r="AE19" s="336">
        <v>0.6</v>
      </c>
      <c r="AF19" s="336">
        <v>0.8</v>
      </c>
      <c r="AG19" s="283"/>
      <c r="AH19" s="283"/>
      <c r="AI19" s="283"/>
    </row>
    <row r="20" spans="1:35" ht="187.5" customHeight="1">
      <c r="A20" s="6"/>
      <c r="B20" s="628" t="str">
        <f>+'Introducción de datos'!B119</f>
        <v>% Y Número de personas HSH alcanzadas con el paquete básico de prevención de VIH</v>
      </c>
      <c r="C20" s="629"/>
      <c r="D20" s="630"/>
      <c r="E20" s="466">
        <f ca="1">OFFSET('Introducción de datos'!$G$118,1,RIGHT('Introducción de datos'!$C$16,LEN('Introducción de datos'!$C$16)-1),1,1)</f>
        <v>1558</v>
      </c>
      <c r="F20" s="466">
        <f ca="1">OFFSET('Introducción de datos'!$G$118,2,RIGHT('Introducción de datos'!$C$16,LEN('Introducción de datos'!$C$16)-1),1,1)</f>
        <v>155</v>
      </c>
      <c r="G20" s="631">
        <f aca="true" t="shared" si="0" ref="G20:G26">+IF(ISERROR(F20/E20),0,F20/E20)</f>
        <v>0.09948652118100128</v>
      </c>
      <c r="H20" s="632"/>
      <c r="I20" s="632"/>
      <c r="J20" s="632"/>
      <c r="K20" s="633"/>
      <c r="L20" s="637" t="s">
        <v>372</v>
      </c>
      <c r="M20" s="638"/>
      <c r="N20" s="638"/>
      <c r="O20" s="638"/>
      <c r="P20" s="638"/>
      <c r="Q20" s="638"/>
      <c r="R20" s="649" t="s">
        <v>344</v>
      </c>
      <c r="S20" s="469" t="s">
        <v>314</v>
      </c>
      <c r="T20" s="337">
        <v>0.3</v>
      </c>
      <c r="U20" s="336">
        <v>0.6</v>
      </c>
      <c r="V20" s="336">
        <v>0.9</v>
      </c>
      <c r="W20" s="336">
        <v>1</v>
      </c>
      <c r="X20" s="336">
        <v>2</v>
      </c>
      <c r="Y20" s="283"/>
      <c r="Z20" s="283"/>
      <c r="AA20" s="334" t="s">
        <v>315</v>
      </c>
      <c r="AB20" s="337">
        <v>0.2</v>
      </c>
      <c r="AC20" s="336">
        <v>0.4</v>
      </c>
      <c r="AD20" s="336">
        <v>0.6</v>
      </c>
      <c r="AE20" s="336">
        <v>0.8</v>
      </c>
      <c r="AF20" s="336">
        <v>1</v>
      </c>
      <c r="AG20" s="283"/>
      <c r="AH20" s="283"/>
      <c r="AI20" s="283"/>
    </row>
    <row r="21" spans="1:35" ht="192" customHeight="1">
      <c r="A21" s="6"/>
      <c r="B21" s="628" t="str">
        <f>+'Introducción de datos'!B121</f>
        <v>% Y Número de personas TS alcanzadas con el paquete básico de prevención de VIH</v>
      </c>
      <c r="C21" s="629"/>
      <c r="D21" s="630"/>
      <c r="E21" s="457">
        <f ca="1">OFFSET('Introducción de datos'!$G$118,3,RIGHT('Introducción de datos'!$C$16,LEN('Introducción de datos'!$C$16)-1),1,1)</f>
        <v>1171</v>
      </c>
      <c r="F21" s="457">
        <f ca="1">OFFSET('Introducción de datos'!$G$118,4,RIGHT('Introducción de datos'!$C$16,LEN('Introducción de datos'!$C$16)-1),1,1)</f>
        <v>44</v>
      </c>
      <c r="G21" s="631">
        <f t="shared" si="0"/>
        <v>0.037574722459436376</v>
      </c>
      <c r="H21" s="632"/>
      <c r="I21" s="632"/>
      <c r="J21" s="632"/>
      <c r="K21" s="633"/>
      <c r="L21" s="637" t="s">
        <v>373</v>
      </c>
      <c r="M21" s="638"/>
      <c r="N21" s="638"/>
      <c r="O21" s="638"/>
      <c r="P21" s="638"/>
      <c r="Q21" s="638"/>
      <c r="R21" s="650"/>
      <c r="S21" s="470"/>
      <c r="T21" s="338" t="str">
        <f>"de "&amp;T19&amp;" a "&amp;T20</f>
        <v>de 0 a 0.3</v>
      </c>
      <c r="U21" s="338" t="str">
        <f>"de "&amp;U19&amp;" a "&amp;U20</f>
        <v>de 0.3 a 0.6</v>
      </c>
      <c r="V21" s="338" t="str">
        <f>"de "&amp;V19&amp;" a "&amp;V20</f>
        <v>de 0.6 a 0.9</v>
      </c>
      <c r="W21" s="338" t="str">
        <f>"de "&amp;W19&amp;" a "&amp;W20</f>
        <v>de 0.9 a 1</v>
      </c>
      <c r="X21" s="338" t="str">
        <f>"de "&amp;X19&amp;" a "&amp;X20</f>
        <v>de 1 a 2</v>
      </c>
      <c r="Y21" s="283"/>
      <c r="Z21" s="339" t="s">
        <v>316</v>
      </c>
      <c r="AA21" s="340" t="s">
        <v>317</v>
      </c>
      <c r="AB21" s="338" t="str">
        <f>"de "&amp;AB19&amp;" a "&amp;AB20</f>
        <v>de 0 a 0.2</v>
      </c>
      <c r="AC21" s="338" t="str">
        <f>"de "&amp;AC19&amp;" a "&amp;AC20</f>
        <v>de 0.2 a 0.4</v>
      </c>
      <c r="AD21" s="338" t="str">
        <f>"de "&amp;AD19&amp;" a "&amp;AD20</f>
        <v>de 0.4 a 0.6</v>
      </c>
      <c r="AE21" s="338" t="str">
        <f>"de "&amp;AE19&amp;" a "&amp;AE20</f>
        <v>de 0.6 a 0.8</v>
      </c>
      <c r="AF21" s="338" t="str">
        <f>"de "&amp;AF19&amp;" a "&amp;AF20</f>
        <v>de 0.8 a 1</v>
      </c>
      <c r="AG21" s="283"/>
      <c r="AH21" s="283"/>
      <c r="AI21" s="283"/>
    </row>
    <row r="22" spans="1:35" ht="189" customHeight="1">
      <c r="A22" s="6"/>
      <c r="B22" s="628" t="str">
        <f>+'Introducción de datos'!B123</f>
        <v>% Y Número de personas TRANS alcanzadas con el paquete básico de prevención de VIH</v>
      </c>
      <c r="C22" s="629"/>
      <c r="D22" s="630"/>
      <c r="E22" s="466">
        <f ca="1">OFFSET('Introducción de datos'!$G$118,5,RIGHT('Introducción de datos'!$C$16,LEN('Introducción de datos'!$C$16)-1),1,1)</f>
        <v>220</v>
      </c>
      <c r="F22" s="466">
        <f ca="1">OFFSET('Introducción de datos'!$G$118,6,RIGHT('Introducción de datos'!$C$16,LEN('Introducción de datos'!$C$16)-1),1,1)</f>
        <v>34</v>
      </c>
      <c r="G22" s="631">
        <f t="shared" si="0"/>
        <v>0.15454545454545454</v>
      </c>
      <c r="H22" s="632"/>
      <c r="I22" s="632"/>
      <c r="J22" s="632"/>
      <c r="K22" s="633"/>
      <c r="L22" s="637" t="s">
        <v>374</v>
      </c>
      <c r="M22" s="638"/>
      <c r="N22" s="638"/>
      <c r="O22" s="638"/>
      <c r="P22" s="638"/>
      <c r="Q22" s="638"/>
      <c r="R22" s="651"/>
      <c r="S22" s="470"/>
      <c r="T22" s="336" t="e">
        <f aca="true" t="shared" si="1" ref="T22:W26">IF($K20&gt;T$19,IF($K20&lt;=T$20,$K20,NA()),NA())</f>
        <v>#N/A</v>
      </c>
      <c r="U22" s="336" t="e">
        <f t="shared" si="1"/>
        <v>#N/A</v>
      </c>
      <c r="V22" s="336" t="e">
        <f t="shared" si="1"/>
        <v>#N/A</v>
      </c>
      <c r="W22" s="336" t="e">
        <f t="shared" si="1"/>
        <v>#N/A</v>
      </c>
      <c r="X22" s="336" t="e">
        <f>IF($K20&gt;X$19,IF($K20&lt;=X$20,1,NA()),NA())</f>
        <v>#N/A</v>
      </c>
      <c r="Y22" s="283"/>
      <c r="Z22" s="341" t="e">
        <f>+'Información de la subvención'!#REF!</f>
        <v>#REF!</v>
      </c>
      <c r="AA22" s="336" t="e">
        <f>+IF(Z22="A1",1,IF(Z22="A2",0.8,IF(Z22="B1",0.6,IF(Z22="B2",0.4,0.2))))</f>
        <v>#REF!</v>
      </c>
      <c r="AB22" s="336" t="e">
        <f>IF($AA22&gt;AB$19,IF($AA22&lt;=AB$20,$AA22,NA()),NA())</f>
        <v>#REF!</v>
      </c>
      <c r="AC22" s="336" t="e">
        <f aca="true" t="shared" si="2" ref="AC22:AF24">IF($AA22&gt;AC$19,IF($AA22&lt;=AC$20,$AA22,NA()),NA())</f>
        <v>#REF!</v>
      </c>
      <c r="AD22" s="336" t="e">
        <f t="shared" si="2"/>
        <v>#REF!</v>
      </c>
      <c r="AE22" s="336" t="e">
        <f t="shared" si="2"/>
        <v>#REF!</v>
      </c>
      <c r="AF22" s="336" t="e">
        <f t="shared" si="2"/>
        <v>#REF!</v>
      </c>
      <c r="AG22" s="283"/>
      <c r="AH22" s="283"/>
      <c r="AI22" s="283"/>
    </row>
    <row r="23" spans="1:35" ht="158.25" customHeight="1">
      <c r="A23" s="6"/>
      <c r="B23" s="628" t="str">
        <f>+'Introducción de datos'!B125</f>
        <v>% Y Número de personas HSH alcanzadas con el paquete complementario de prevención de VIH</v>
      </c>
      <c r="C23" s="629"/>
      <c r="D23" s="630"/>
      <c r="E23" s="466">
        <f ca="1">OFFSET('Introducción de datos'!$G$118,7,RIGHT('Introducción de datos'!$C$16,LEN('Introducción de datos'!$C$16)-1),1,1)</f>
        <v>453</v>
      </c>
      <c r="F23" s="466">
        <f ca="1">OFFSET('Introducción de datos'!$G$118,8,RIGHT('Introducción de datos'!$C$16,LEN('Introducción de datos'!$C$16)-1),1,1)</f>
        <v>273</v>
      </c>
      <c r="G23" s="631">
        <f t="shared" si="0"/>
        <v>0.6026490066225165</v>
      </c>
      <c r="H23" s="632"/>
      <c r="I23" s="632"/>
      <c r="J23" s="632"/>
      <c r="K23" s="633"/>
      <c r="L23" s="634" t="s">
        <v>375</v>
      </c>
      <c r="M23" s="635"/>
      <c r="N23" s="635"/>
      <c r="O23" s="635"/>
      <c r="P23" s="635"/>
      <c r="Q23" s="635"/>
      <c r="R23" s="649" t="s">
        <v>344</v>
      </c>
      <c r="S23" s="470"/>
      <c r="T23" s="336" t="e">
        <f t="shared" si="1"/>
        <v>#N/A</v>
      </c>
      <c r="U23" s="336" t="e">
        <f t="shared" si="1"/>
        <v>#N/A</v>
      </c>
      <c r="V23" s="336" t="e">
        <f t="shared" si="1"/>
        <v>#N/A</v>
      </c>
      <c r="W23" s="336" t="e">
        <f t="shared" si="1"/>
        <v>#N/A</v>
      </c>
      <c r="X23" s="336" t="e">
        <f>IF($K21&gt;X$19,IF($K21&lt;=X$20,1,1),NA())</f>
        <v>#N/A</v>
      </c>
      <c r="Y23" s="283"/>
      <c r="Z23" s="341" t="e">
        <f>+'Información de la subvención'!#REF!</f>
        <v>#REF!</v>
      </c>
      <c r="AA23" s="336" t="e">
        <f>+IF(Z23="A1",1,IF(Z23="A2",0.8,IF(Z23="B1",0.6,IF(Z23="B2",0.4,0.2))))</f>
        <v>#REF!</v>
      </c>
      <c r="AB23" s="336" t="e">
        <f>IF($AA23&gt;AB$19,IF($AA23&lt;=AB$20,$AA23,NA()),NA())</f>
        <v>#REF!</v>
      </c>
      <c r="AC23" s="336" t="e">
        <f t="shared" si="2"/>
        <v>#REF!</v>
      </c>
      <c r="AD23" s="336" t="e">
        <f t="shared" si="2"/>
        <v>#REF!</v>
      </c>
      <c r="AE23" s="336" t="e">
        <f t="shared" si="2"/>
        <v>#REF!</v>
      </c>
      <c r="AF23" s="336" t="e">
        <f t="shared" si="2"/>
        <v>#REF!</v>
      </c>
      <c r="AG23" s="283"/>
      <c r="AH23" s="283"/>
      <c r="AI23" s="283"/>
    </row>
    <row r="24" spans="1:35" ht="148.5" customHeight="1">
      <c r="A24" s="6"/>
      <c r="B24" s="628" t="str">
        <f>+'Introducción de datos'!B127</f>
        <v>% Y Número de personas TS alcanzadas con el paquete complementario de prevención de VIH</v>
      </c>
      <c r="C24" s="629"/>
      <c r="D24" s="630"/>
      <c r="E24" s="466">
        <f ca="1">OFFSET('Introducción de datos'!$G$118,9,RIGHT('Introducción de datos'!$C$16,LEN('Introducción de datos'!$C$16)-1),1,1)</f>
        <v>1200</v>
      </c>
      <c r="F24" s="466">
        <f ca="1">OFFSET('Introducción de datos'!$G$118,10,RIGHT('Introducción de datos'!$C$16,LEN('Introducción de datos'!$C$16)-1),1,1)</f>
        <v>276</v>
      </c>
      <c r="G24" s="631">
        <f t="shared" si="0"/>
        <v>0.23</v>
      </c>
      <c r="H24" s="632"/>
      <c r="I24" s="632"/>
      <c r="J24" s="632"/>
      <c r="K24" s="633"/>
      <c r="L24" s="634" t="s">
        <v>376</v>
      </c>
      <c r="M24" s="635"/>
      <c r="N24" s="635"/>
      <c r="O24" s="635"/>
      <c r="P24" s="635"/>
      <c r="Q24" s="635"/>
      <c r="R24" s="650"/>
      <c r="S24" s="470"/>
      <c r="T24" s="336" t="e">
        <f t="shared" si="1"/>
        <v>#N/A</v>
      </c>
      <c r="U24" s="336" t="e">
        <f t="shared" si="1"/>
        <v>#N/A</v>
      </c>
      <c r="V24" s="336" t="e">
        <f t="shared" si="1"/>
        <v>#N/A</v>
      </c>
      <c r="W24" s="336" t="e">
        <f t="shared" si="1"/>
        <v>#N/A</v>
      </c>
      <c r="X24" s="336" t="e">
        <f>IF($K22&gt;X$19,IF($K22&lt;=X$20,1,NA()),NA())</f>
        <v>#N/A</v>
      </c>
      <c r="Y24" s="283"/>
      <c r="Z24" s="341" t="e">
        <f>+'Información de la subvención'!#REF!</f>
        <v>#REF!</v>
      </c>
      <c r="AA24" s="336" t="e">
        <f>+IF(Z24="A1",1,IF(Z24="A2",0.8,IF(Z24="B1",0.6,IF(Z24="B2",0.4,0.2))))</f>
        <v>#REF!</v>
      </c>
      <c r="AB24" s="336" t="e">
        <f>IF($AA24&gt;AB$19,IF($AA24&lt;=AB$20,$AA24,NA()),NA())</f>
        <v>#REF!</v>
      </c>
      <c r="AC24" s="336" t="e">
        <f t="shared" si="2"/>
        <v>#REF!</v>
      </c>
      <c r="AD24" s="336" t="e">
        <f t="shared" si="2"/>
        <v>#REF!</v>
      </c>
      <c r="AE24" s="336" t="e">
        <f t="shared" si="2"/>
        <v>#REF!</v>
      </c>
      <c r="AF24" s="336" t="e">
        <f t="shared" si="2"/>
        <v>#REF!</v>
      </c>
      <c r="AG24" s="283"/>
      <c r="AH24" s="283"/>
      <c r="AI24" s="283"/>
    </row>
    <row r="25" spans="1:35" ht="135" customHeight="1">
      <c r="A25" s="6"/>
      <c r="B25" s="628" t="str">
        <f>+'Introducción de datos'!B129</f>
        <v>% Y Número de personas TRANS alcanzadas con el paquete complementario de prevención de VIH</v>
      </c>
      <c r="C25" s="629"/>
      <c r="D25" s="630"/>
      <c r="E25" s="457">
        <f ca="1">OFFSET('Introducción de datos'!$G$118,11,RIGHT('Introducción de datos'!$C$16,LEN('Introducción de datos'!$C$16)-1),1,1)</f>
        <v>225</v>
      </c>
      <c r="F25" s="457">
        <f ca="1">OFFSET('Introducción de datos'!$G$118,12,RIGHT('Introducción de datos'!$C$16,LEN('Introducción de datos'!$C$16)-1),1,1)</f>
        <v>90</v>
      </c>
      <c r="G25" s="631">
        <f t="shared" si="0"/>
        <v>0.4</v>
      </c>
      <c r="H25" s="632"/>
      <c r="I25" s="632"/>
      <c r="J25" s="632"/>
      <c r="K25" s="633"/>
      <c r="L25" s="634" t="s">
        <v>351</v>
      </c>
      <c r="M25" s="635"/>
      <c r="N25" s="635"/>
      <c r="O25" s="635"/>
      <c r="P25" s="635"/>
      <c r="Q25" s="635"/>
      <c r="R25" s="650"/>
      <c r="S25" s="470"/>
      <c r="T25" s="336" t="e">
        <f t="shared" si="1"/>
        <v>#N/A</v>
      </c>
      <c r="U25" s="336" t="e">
        <f t="shared" si="1"/>
        <v>#N/A</v>
      </c>
      <c r="V25" s="336" t="e">
        <f t="shared" si="1"/>
        <v>#N/A</v>
      </c>
      <c r="W25" s="336" t="e">
        <f t="shared" si="1"/>
        <v>#N/A</v>
      </c>
      <c r="X25" s="336" t="e">
        <f>IF($K23&gt;X$19,IF($K23&lt;=X$20,1,NA()),NA())</f>
        <v>#N/A</v>
      </c>
      <c r="Y25" s="283"/>
      <c r="Z25" s="283"/>
      <c r="AA25" s="283"/>
      <c r="AB25" s="283"/>
      <c r="AC25" s="283"/>
      <c r="AD25" s="283"/>
      <c r="AE25" s="283"/>
      <c r="AF25" s="283"/>
      <c r="AG25" s="283"/>
      <c r="AH25" s="283"/>
      <c r="AI25" s="283"/>
    </row>
    <row r="26" spans="1:35" ht="92.25" customHeight="1">
      <c r="A26" s="6"/>
      <c r="B26" s="628" t="str">
        <f>+'Introducción de datos'!B131</f>
        <v>% de Población Transgenero infectada por el VIH</v>
      </c>
      <c r="C26" s="629"/>
      <c r="D26" s="630"/>
      <c r="E26" s="457">
        <f ca="1">OFFSET('Introducción de datos'!$G$118,13,RIGHT('Introducción de datos'!$C$16,LEN('Introducción de datos'!$C$16)-1),1,1)</f>
        <v>0</v>
      </c>
      <c r="F26" s="457">
        <f ca="1">OFFSET('Introducción de datos'!$G$118,14,RIGHT('Introducción de datos'!$C$16,LEN('Introducción de datos'!$C$16)-1),1,1)</f>
        <v>0</v>
      </c>
      <c r="G26" s="631">
        <f t="shared" si="0"/>
        <v>0</v>
      </c>
      <c r="H26" s="632"/>
      <c r="I26" s="632"/>
      <c r="J26" s="632"/>
      <c r="K26" s="633"/>
      <c r="L26" s="636" t="s">
        <v>345</v>
      </c>
      <c r="M26" s="636"/>
      <c r="N26" s="636"/>
      <c r="O26" s="636"/>
      <c r="P26" s="636"/>
      <c r="Q26" s="634"/>
      <c r="R26" s="474"/>
      <c r="S26" s="470"/>
      <c r="T26" s="336" t="e">
        <f t="shared" si="1"/>
        <v>#N/A</v>
      </c>
      <c r="U26" s="336" t="e">
        <f t="shared" si="1"/>
        <v>#N/A</v>
      </c>
      <c r="V26" s="336" t="e">
        <f t="shared" si="1"/>
        <v>#N/A</v>
      </c>
      <c r="W26" s="336" t="e">
        <f t="shared" si="1"/>
        <v>#N/A</v>
      </c>
      <c r="X26" s="336" t="e">
        <f>IF($K24&gt;X$19,IF($K24&lt;=X$20,1,NA()),NA())</f>
        <v>#N/A</v>
      </c>
      <c r="Y26" s="283"/>
      <c r="Z26" s="283"/>
      <c r="AA26" s="283"/>
      <c r="AB26" s="283"/>
      <c r="AC26" s="283"/>
      <c r="AD26" s="283"/>
      <c r="AE26" s="283"/>
      <c r="AF26" s="283"/>
      <c r="AG26" s="283"/>
      <c r="AH26" s="283"/>
      <c r="AI26" s="283"/>
    </row>
    <row r="27" spans="1:35" ht="15">
      <c r="A27" s="6"/>
      <c r="B27" s="6"/>
      <c r="C27" s="6"/>
      <c r="D27" s="6"/>
      <c r="E27" s="6"/>
      <c r="F27" s="6"/>
      <c r="G27" s="6"/>
      <c r="H27" s="6"/>
      <c r="I27" s="342"/>
      <c r="J27" s="91"/>
      <c r="K27" s="91"/>
      <c r="L27" s="6"/>
      <c r="M27" s="6"/>
      <c r="N27" s="6"/>
      <c r="O27" s="6"/>
      <c r="P27" s="6"/>
      <c r="S27" s="283"/>
      <c r="T27" s="283"/>
      <c r="U27" s="283"/>
      <c r="V27" s="283"/>
      <c r="W27" s="283"/>
      <c r="X27" s="283"/>
      <c r="Y27" s="283"/>
      <c r="Z27" s="283"/>
      <c r="AA27" s="283"/>
      <c r="AB27" s="283"/>
      <c r="AC27" s="283"/>
      <c r="AD27" s="283"/>
      <c r="AE27" s="283"/>
      <c r="AF27" s="283"/>
      <c r="AG27" s="283"/>
      <c r="AH27" s="283"/>
      <c r="AI27" s="283"/>
    </row>
    <row r="28" spans="1:35" ht="14.25" customHeight="1">
      <c r="A28" s="6"/>
      <c r="B28" s="6"/>
      <c r="C28" s="6"/>
      <c r="D28" s="6"/>
      <c r="E28" s="6"/>
      <c r="F28" s="6"/>
      <c r="G28" s="627" t="s">
        <v>338</v>
      </c>
      <c r="H28" s="627"/>
      <c r="I28" s="627"/>
      <c r="J28" s="627"/>
      <c r="K28" s="627"/>
      <c r="L28" s="627"/>
      <c r="M28" s="627"/>
      <c r="N28" s="627"/>
      <c r="O28" s="627"/>
      <c r="P28" s="627"/>
      <c r="Q28" s="627"/>
      <c r="S28" s="283"/>
      <c r="T28" s="283"/>
      <c r="U28" s="283"/>
      <c r="V28" s="283"/>
      <c r="W28" s="283"/>
      <c r="X28" s="283"/>
      <c r="Y28" s="283"/>
      <c r="Z28" s="283"/>
      <c r="AA28" s="283"/>
      <c r="AB28" s="283"/>
      <c r="AC28" s="283"/>
      <c r="AD28" s="283"/>
      <c r="AE28" s="283"/>
      <c r="AF28" s="283"/>
      <c r="AG28" s="283"/>
      <c r="AH28" s="283"/>
      <c r="AI28" s="283"/>
    </row>
  </sheetData>
  <sheetProtection selectLockedCells="1" selectUnlockedCells="1"/>
  <mergeCells count="43">
    <mergeCell ref="R20:R22"/>
    <mergeCell ref="R23:R25"/>
    <mergeCell ref="C4:D4"/>
    <mergeCell ref="E4:L4"/>
    <mergeCell ref="D5:N5"/>
    <mergeCell ref="F6:K6"/>
    <mergeCell ref="C9:E9"/>
    <mergeCell ref="G9:K9"/>
    <mergeCell ref="M9:Q9"/>
    <mergeCell ref="L19:Q19"/>
    <mergeCell ref="B2:Q2"/>
    <mergeCell ref="C3:D3"/>
    <mergeCell ref="E3:K3"/>
    <mergeCell ref="O3:P3"/>
    <mergeCell ref="B8:E8"/>
    <mergeCell ref="F8:K8"/>
    <mergeCell ref="L8:Q8"/>
    <mergeCell ref="B20:D20"/>
    <mergeCell ref="G20:K20"/>
    <mergeCell ref="L20:Q20"/>
    <mergeCell ref="E18:K18"/>
    <mergeCell ref="B19:D19"/>
    <mergeCell ref="G19:H19"/>
    <mergeCell ref="I19:J19"/>
    <mergeCell ref="B21:D21"/>
    <mergeCell ref="G21:K21"/>
    <mergeCell ref="L21:Q21"/>
    <mergeCell ref="B22:D22"/>
    <mergeCell ref="G22:K22"/>
    <mergeCell ref="L22:Q22"/>
    <mergeCell ref="B23:D23"/>
    <mergeCell ref="G23:K23"/>
    <mergeCell ref="L23:Q23"/>
    <mergeCell ref="B24:D24"/>
    <mergeCell ref="G24:K24"/>
    <mergeCell ref="L24:Q24"/>
    <mergeCell ref="G28:Q28"/>
    <mergeCell ref="B25:D25"/>
    <mergeCell ref="G25:K25"/>
    <mergeCell ref="L25:Q25"/>
    <mergeCell ref="B26:D26"/>
    <mergeCell ref="G26:K26"/>
    <mergeCell ref="L26:Q26"/>
  </mergeCells>
  <conditionalFormatting sqref="C4:D4">
    <cfRule type="cellIs" priority="31" dxfId="51" operator="equal" stopIfTrue="1">
      <formula>"C"</formula>
    </cfRule>
    <cfRule type="cellIs" priority="32" dxfId="46" operator="equal" stopIfTrue="1">
      <formula>"B2"</formula>
    </cfRule>
    <cfRule type="cellIs" priority="33" dxfId="47" operator="equal" stopIfTrue="1">
      <formula>"B1"</formula>
    </cfRule>
  </conditionalFormatting>
  <conditionalFormatting sqref="G20:G26">
    <cfRule type="cellIs" priority="34" dxfId="59" operator="between" stopIfTrue="1">
      <formula>0</formula>
      <formula>0.599</formula>
    </cfRule>
    <cfRule type="cellIs" priority="35" dxfId="58" operator="between" stopIfTrue="1">
      <formula>0.6</formula>
      <formula>0.899</formula>
    </cfRule>
    <cfRule type="cellIs" priority="36" dxfId="57"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r:id="rId2"/>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1:IV41"/>
  <sheetViews>
    <sheetView showGridLines="0" zoomScalePageLayoutView="0" workbookViewId="0" topLeftCell="D14">
      <selection activeCell="I20" sqref="I20:N20"/>
    </sheetView>
  </sheetViews>
  <sheetFormatPr defaultColWidth="9.140625" defaultRowHeight="15"/>
  <cols>
    <col min="1" max="1" width="1.1484375" style="343" customWidth="1"/>
    <col min="2" max="2" width="19.28125" style="343" customWidth="1"/>
    <col min="3" max="3" width="1.1484375" style="343" customWidth="1"/>
    <col min="4" max="4" width="17.140625" style="343" customWidth="1"/>
    <col min="5" max="5" width="17.57421875" style="343" customWidth="1"/>
    <col min="6" max="6" width="9.7109375" style="343" customWidth="1"/>
    <col min="7" max="7" width="13.00390625" style="343" customWidth="1"/>
    <col min="8" max="8" width="4.28125" style="343" customWidth="1"/>
    <col min="9" max="9" width="15.8515625" style="343" customWidth="1"/>
    <col min="10" max="10" width="3.57421875" style="343" customWidth="1"/>
    <col min="11" max="11" width="7.57421875" style="344" customWidth="1"/>
    <col min="12" max="12" width="22.00390625" style="343" customWidth="1"/>
    <col min="13" max="13" width="12.00390625" style="343" customWidth="1"/>
    <col min="14" max="14" width="5.421875" style="343" customWidth="1"/>
    <col min="15" max="15" width="2.57421875" style="343" customWidth="1"/>
    <col min="16" max="16384" width="9.140625" style="343" customWidth="1"/>
  </cols>
  <sheetData>
    <row r="1" spans="1:14" ht="38.25" customHeight="1">
      <c r="A1" s="345"/>
      <c r="B1" s="345"/>
      <c r="C1" s="345"/>
      <c r="D1" s="345"/>
      <c r="E1" s="345"/>
      <c r="F1" s="345"/>
      <c r="G1" s="345"/>
      <c r="H1" s="345"/>
      <c r="I1" s="345"/>
      <c r="J1" s="345"/>
      <c r="K1" s="346"/>
      <c r="L1" s="345"/>
      <c r="M1" s="345"/>
      <c r="N1" s="345"/>
    </row>
    <row r="2" spans="1:256" ht="27.75" customHeight="1">
      <c r="A2" s="6"/>
      <c r="B2" s="647" t="str">
        <f>+"Cuadro de mando:  "&amp;"  "&amp;+'Introducción de datos'!C4&amp;" - "&amp;'Introducción de datos'!G6</f>
        <v>Cuadro de mando:    El Salvador - VIH / SIDA</v>
      </c>
      <c r="C2" s="647"/>
      <c r="D2" s="647"/>
      <c r="E2" s="647"/>
      <c r="F2" s="647"/>
      <c r="G2" s="647"/>
      <c r="H2" s="647"/>
      <c r="I2" s="647"/>
      <c r="J2" s="647"/>
      <c r="K2" s="647"/>
      <c r="L2" s="647"/>
      <c r="M2" s="647"/>
      <c r="N2" s="647"/>
      <c r="O2" s="34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69" t="str">
        <f>+'Introducción de datos'!G8</f>
        <v>Seleccionar</v>
      </c>
      <c r="C3" s="610" t="str">
        <f>+'Introducción de datos'!I8</f>
        <v>Seleccionar</v>
      </c>
      <c r="D3" s="610"/>
      <c r="E3" s="683"/>
      <c r="F3" s="683"/>
      <c r="G3" s="683"/>
      <c r="H3" s="683"/>
      <c r="I3" s="683"/>
      <c r="J3" s="683"/>
      <c r="K3" s="683"/>
      <c r="L3" s="269" t="str">
        <f>+'Introducción de datos'!B16</f>
        <v>Periodo:</v>
      </c>
      <c r="M3" s="324" t="str">
        <f>+'Introducción de datos'!C16</f>
        <v>P1</v>
      </c>
      <c r="N3" s="324"/>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69" t="str">
        <f>+'Introducción de datos'!B12</f>
        <v>Ultima calificación:</v>
      </c>
      <c r="C4" s="652" t="str">
        <f>+'Introducción de datos'!C12</f>
        <v>Seleccionar</v>
      </c>
      <c r="D4" s="652"/>
      <c r="E4" s="607" t="str">
        <f>+'Introducción de datos'!C8</f>
        <v>PLAN  INTERNACIONAL</v>
      </c>
      <c r="F4" s="607"/>
      <c r="G4" s="607"/>
      <c r="H4" s="607"/>
      <c r="I4" s="607"/>
      <c r="J4" s="607"/>
      <c r="K4" s="607"/>
      <c r="L4" s="269" t="str">
        <f>+'Introducción de datos'!D16</f>
        <v>Desde:</v>
      </c>
      <c r="M4" s="273">
        <f>+'Introducción de datos'!E16</f>
        <v>41640</v>
      </c>
      <c r="N4" s="27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69"/>
      <c r="C5" s="269"/>
      <c r="D5" s="275"/>
      <c r="E5" s="607" t="str">
        <f>+'Introducción de datos'!G4</f>
        <v>INNOVANDO SERVICIOS, REDUCIENDO RIESGOS, RENOVANDO VIDAS EN EL SALVADOR</v>
      </c>
      <c r="F5" s="607"/>
      <c r="G5" s="607"/>
      <c r="H5" s="607"/>
      <c r="I5" s="607"/>
      <c r="J5" s="607"/>
      <c r="K5" s="607"/>
      <c r="L5" s="269" t="str">
        <f>+'Introducción de datos'!F16</f>
        <v>Hasta:</v>
      </c>
      <c r="M5" s="273">
        <f>+'Introducción de datos'!G16</f>
        <v>41820</v>
      </c>
      <c r="N5" s="27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76"/>
      <c r="C6" s="270"/>
      <c r="D6" s="275"/>
      <c r="E6" s="679" t="s">
        <v>315</v>
      </c>
      <c r="F6" s="679"/>
      <c r="G6" s="679"/>
      <c r="H6" s="679"/>
      <c r="I6" s="679"/>
      <c r="J6" s="679"/>
      <c r="K6" s="679"/>
      <c r="L6" s="152"/>
      <c r="M6" s="152"/>
      <c r="N6" s="152"/>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52" customFormat="1" ht="4.5" customHeight="1">
      <c r="A7" s="348"/>
      <c r="B7" s="349"/>
      <c r="C7" s="349"/>
      <c r="D7" s="349"/>
      <c r="E7" s="349"/>
      <c r="F7" s="349"/>
      <c r="G7" s="349"/>
      <c r="H7" s="349"/>
      <c r="I7" s="349"/>
      <c r="J7" s="349"/>
      <c r="K7" s="349"/>
      <c r="L7" s="350"/>
      <c r="M7" s="350"/>
      <c r="N7" s="351"/>
    </row>
    <row r="8" spans="1:14" s="352" customFormat="1" ht="21" customHeight="1">
      <c r="A8" s="348"/>
      <c r="B8" s="662" t="s">
        <v>0</v>
      </c>
      <c r="C8" s="662"/>
      <c r="D8" s="662"/>
      <c r="E8" s="662"/>
      <c r="F8" s="662"/>
      <c r="G8" s="662"/>
      <c r="H8" s="662"/>
      <c r="I8" s="662"/>
      <c r="J8" s="662"/>
      <c r="K8" s="662"/>
      <c r="L8" s="662"/>
      <c r="M8" s="662"/>
      <c r="N8" s="662"/>
    </row>
    <row r="9" spans="1:14" s="352" customFormat="1" ht="3.75" customHeight="1">
      <c r="A9" s="348"/>
      <c r="B9" s="349"/>
      <c r="C9" s="349"/>
      <c r="D9" s="349"/>
      <c r="E9" s="349"/>
      <c r="F9" s="349"/>
      <c r="G9" s="349"/>
      <c r="H9" s="349"/>
      <c r="I9" s="349"/>
      <c r="J9" s="349"/>
      <c r="K9" s="349"/>
      <c r="L9" s="350"/>
      <c r="M9" s="350"/>
      <c r="N9" s="351"/>
    </row>
    <row r="10" spans="1:14" s="355" customFormat="1" ht="25.5" customHeight="1">
      <c r="A10" s="353"/>
      <c r="B10" s="680" t="s">
        <v>1</v>
      </c>
      <c r="C10" s="680"/>
      <c r="D10" s="681" t="s">
        <v>314</v>
      </c>
      <c r="E10" s="681"/>
      <c r="F10" s="681"/>
      <c r="G10" s="681"/>
      <c r="H10" s="354"/>
      <c r="I10" s="681" t="s">
        <v>315</v>
      </c>
      <c r="J10" s="681"/>
      <c r="K10" s="681"/>
      <c r="L10" s="681"/>
      <c r="M10" s="681"/>
      <c r="N10" s="681"/>
    </row>
    <row r="11" spans="1:14" s="355" customFormat="1" ht="28.5" customHeight="1">
      <c r="A11" s="353"/>
      <c r="B11" s="356" t="s">
        <v>2</v>
      </c>
      <c r="C11" s="357"/>
      <c r="D11" s="676" t="str">
        <f>IF(ISBLANK(Financiamiento!C9),"",(Financiamiento!C9))</f>
        <v>La diferencia entre el presupuesto y desembolso, se debe a que el fondo global desembolso el monto total del año 2014 y primer trimestre 2015. </v>
      </c>
      <c r="E11" s="676"/>
      <c r="F11" s="676"/>
      <c r="G11" s="676"/>
      <c r="H11" s="358"/>
      <c r="I11" s="677"/>
      <c r="J11" s="677"/>
      <c r="K11" s="677"/>
      <c r="L11" s="677"/>
      <c r="M11" s="677"/>
      <c r="N11" s="677"/>
    </row>
    <row r="12" spans="1:14" s="355" customFormat="1" ht="27.75" customHeight="1">
      <c r="A12" s="353"/>
      <c r="B12" s="359" t="s">
        <v>3</v>
      </c>
      <c r="C12" s="360"/>
      <c r="D12" s="676" t="str">
        <f>IF(ISBLANK(Financiamiento!C23),"",(Financiamiento!C23))</f>
        <v>La diferencia entre el presupuesto y los gastos se debe a que existen compromisos y para el caso del objetivo 2 no se ha  iniciado con la ejecucion para este Periodo.</v>
      </c>
      <c r="E12" s="676"/>
      <c r="F12" s="676"/>
      <c r="G12" s="676"/>
      <c r="H12" s="358"/>
      <c r="I12" s="678"/>
      <c r="J12" s="678"/>
      <c r="K12" s="678"/>
      <c r="L12" s="678"/>
      <c r="M12" s="678"/>
      <c r="N12" s="678"/>
    </row>
    <row r="13" spans="1:14" s="355" customFormat="1" ht="26.25" customHeight="1">
      <c r="A13" s="353"/>
      <c r="B13" s="359" t="s">
        <v>4</v>
      </c>
      <c r="C13" s="360"/>
      <c r="D13" s="676" t="str">
        <f>IF(ISBLANK(Financiamiento!I9),"",(Financiamiento!I9))</f>
        <v>Algunos SR reflejan  que el mismo desembolso del primer trimestre fue utilizado para el segundo por inicio de actividades en Marzo.</v>
      </c>
      <c r="E13" s="676"/>
      <c r="F13" s="676"/>
      <c r="G13" s="676"/>
      <c r="H13" s="358"/>
      <c r="I13" s="682"/>
      <c r="J13" s="682"/>
      <c r="K13" s="682"/>
      <c r="L13" s="682"/>
      <c r="M13" s="682"/>
      <c r="N13" s="682"/>
    </row>
    <row r="14" spans="1:14" s="355" customFormat="1" ht="28.5" customHeight="1">
      <c r="A14" s="353"/>
      <c r="B14" s="361" t="s">
        <v>5</v>
      </c>
      <c r="C14" s="362"/>
      <c r="D14" s="674" t="str">
        <f>IF(ISBLANK(Financiamiento!I23),"",(Financiamiento!I23))</f>
        <v>Se ha cumplido con los informes presentados de forma oportuna, asi como el FM a enviado los desembolsos de forma anticipados. </v>
      </c>
      <c r="E14" s="674"/>
      <c r="F14" s="674"/>
      <c r="G14" s="674"/>
      <c r="H14" s="358"/>
      <c r="I14" s="675"/>
      <c r="J14" s="675"/>
      <c r="K14" s="675"/>
      <c r="L14" s="675"/>
      <c r="M14" s="675"/>
      <c r="N14" s="675"/>
    </row>
    <row r="15" spans="1:15" s="355" customFormat="1" ht="4.5" customHeight="1">
      <c r="A15" s="353"/>
      <c r="B15" s="363"/>
      <c r="C15" s="364"/>
      <c r="D15" s="365"/>
      <c r="E15" s="365"/>
      <c r="F15" s="365"/>
      <c r="G15" s="365"/>
      <c r="H15" s="358"/>
      <c r="I15" s="366"/>
      <c r="J15" s="366"/>
      <c r="K15" s="366"/>
      <c r="L15" s="366"/>
      <c r="M15" s="366"/>
      <c r="N15" s="366"/>
      <c r="O15" s="367"/>
    </row>
    <row r="16" spans="1:14" s="352" customFormat="1" ht="21" customHeight="1">
      <c r="A16" s="348"/>
      <c r="B16" s="662" t="s">
        <v>6</v>
      </c>
      <c r="C16" s="662"/>
      <c r="D16" s="662"/>
      <c r="E16" s="662"/>
      <c r="F16" s="662"/>
      <c r="G16" s="662"/>
      <c r="H16" s="662"/>
      <c r="I16" s="662"/>
      <c r="J16" s="662"/>
      <c r="K16" s="662"/>
      <c r="L16" s="662"/>
      <c r="M16" s="662"/>
      <c r="N16" s="662"/>
    </row>
    <row r="17" spans="1:14" s="355" customFormat="1" ht="3.75" customHeight="1">
      <c r="A17" s="353"/>
      <c r="B17" s="368"/>
      <c r="C17" s="369"/>
      <c r="D17" s="370"/>
      <c r="E17" s="371"/>
      <c r="F17" s="372"/>
      <c r="G17" s="372"/>
      <c r="H17" s="373"/>
      <c r="I17" s="374"/>
      <c r="J17" s="375"/>
      <c r="K17" s="376"/>
      <c r="L17" s="377"/>
      <c r="M17" s="378"/>
      <c r="N17" s="379"/>
    </row>
    <row r="18" spans="1:14" s="355" customFormat="1" ht="22.5" customHeight="1">
      <c r="A18" s="353"/>
      <c r="B18" s="671" t="s">
        <v>313</v>
      </c>
      <c r="C18" s="671"/>
      <c r="D18" s="672" t="s">
        <v>314</v>
      </c>
      <c r="E18" s="672"/>
      <c r="F18" s="672"/>
      <c r="G18" s="672"/>
      <c r="H18" s="354"/>
      <c r="I18" s="673" t="s">
        <v>315</v>
      </c>
      <c r="J18" s="673"/>
      <c r="K18" s="673"/>
      <c r="L18" s="673"/>
      <c r="M18" s="673"/>
      <c r="N18" s="673"/>
    </row>
    <row r="19" spans="1:14" s="355" customFormat="1" ht="21.75" customHeight="1">
      <c r="A19" s="353"/>
      <c r="B19" s="380" t="s">
        <v>316</v>
      </c>
      <c r="C19" s="381"/>
      <c r="D19" s="669" t="str">
        <f>IF(ISBLANK(Gestión!C8),"",(Gestión!C8))</f>
        <v>Condiciones precedentes cumplidas en los tiempos establecidos.</v>
      </c>
      <c r="E19" s="669"/>
      <c r="F19" s="669"/>
      <c r="G19" s="669"/>
      <c r="H19" s="382"/>
      <c r="I19" s="670"/>
      <c r="J19" s="670"/>
      <c r="K19" s="670"/>
      <c r="L19" s="670"/>
      <c r="M19" s="670"/>
      <c r="N19" s="670"/>
    </row>
    <row r="20" spans="1:15" ht="24.75" customHeight="1">
      <c r="A20" s="345"/>
      <c r="B20" s="383" t="s">
        <v>317</v>
      </c>
      <c r="C20" s="384"/>
      <c r="D20" s="665" t="str">
        <f>IF(ISBLANK(Gestión!I8),"",(Gestión!I8))</f>
        <v>Meta Cumplida, todos fueron contratados en el tiempo</v>
      </c>
      <c r="E20" s="665">
        <f>+'Introducción de datos'!D73/'Introducción de datos'!G73</f>
        <v>1</v>
      </c>
      <c r="F20" s="665">
        <f>+('Introducción de datos'!E73+'Introducción de datos'!F73)/'Introducción de datos'!G73</f>
        <v>0</v>
      </c>
      <c r="G20" s="665"/>
      <c r="H20" s="382"/>
      <c r="I20" s="666"/>
      <c r="J20" s="666"/>
      <c r="K20" s="666"/>
      <c r="L20" s="666"/>
      <c r="M20" s="666"/>
      <c r="N20" s="666"/>
      <c r="O20" s="385"/>
    </row>
    <row r="21" spans="1:15" ht="29.25" customHeight="1">
      <c r="A21" s="345"/>
      <c r="B21" s="386" t="s">
        <v>7</v>
      </c>
      <c r="C21" s="384"/>
      <c r="D21" s="665" t="str">
        <f>IF(ISBLANK(Gestión!C16),"",(Gestión!C16))</f>
        <v>6 subreceptores contratados , todos los contratos fueron firmados en el mes de febrero.</v>
      </c>
      <c r="E21" s="665"/>
      <c r="F21" s="665"/>
      <c r="G21" s="665"/>
      <c r="H21" s="382"/>
      <c r="I21" s="666"/>
      <c r="J21" s="666"/>
      <c r="K21" s="666"/>
      <c r="L21" s="666"/>
      <c r="M21" s="666"/>
      <c r="N21" s="666"/>
      <c r="O21" s="385"/>
    </row>
    <row r="22" spans="1:15" ht="26.25" customHeight="1">
      <c r="A22" s="345"/>
      <c r="B22" s="386" t="s">
        <v>8</v>
      </c>
      <c r="C22" s="384"/>
      <c r="D22" s="665" t="str">
        <f>IF(ISBLANK(Gestión!I16),"",(Gestión!I16))</f>
        <v>Debido a que la ejejcucion durante el Q1 fue administrativa financiera todos los subreceptores presentaron unicamente informes de ejecucion tecnica y financiera para el Q2.</v>
      </c>
      <c r="E22" s="665"/>
      <c r="F22" s="665"/>
      <c r="G22" s="665"/>
      <c r="H22" s="382"/>
      <c r="I22" s="666"/>
      <c r="J22" s="666"/>
      <c r="K22" s="666"/>
      <c r="L22" s="666"/>
      <c r="M22" s="666"/>
      <c r="N22" s="666"/>
      <c r="O22" s="385"/>
    </row>
    <row r="23" spans="1:15" ht="24.75" customHeight="1">
      <c r="A23" s="345"/>
      <c r="B23" s="386" t="s">
        <v>9</v>
      </c>
      <c r="C23" s="384"/>
      <c r="D23" s="665" t="str">
        <f>IF(ISBLANK(Gestión!C27),"",(Gestión!C27))</f>
        <v>La adquisicion de producto de salud esta en transito  y es realizada a traves de PNUD.</v>
      </c>
      <c r="E23" s="665"/>
      <c r="F23" s="665"/>
      <c r="G23" s="665"/>
      <c r="H23" s="382"/>
      <c r="I23" s="666"/>
      <c r="J23" s="666"/>
      <c r="K23" s="666"/>
      <c r="L23" s="666"/>
      <c r="M23" s="666"/>
      <c r="N23" s="666"/>
      <c r="O23" s="385"/>
    </row>
    <row r="24" spans="1:15" ht="27" customHeight="1">
      <c r="A24" s="345"/>
      <c r="B24" s="387" t="s">
        <v>10</v>
      </c>
      <c r="C24" s="388"/>
      <c r="D24" s="667" t="str">
        <f>IF(ISBLANK(Gestión!I27),"",(Gestión!I27))</f>
        <v>No hay riesgo de desabastecimiento enproductos de salud </v>
      </c>
      <c r="E24" s="667"/>
      <c r="F24" s="667"/>
      <c r="G24" s="667"/>
      <c r="H24" s="382"/>
      <c r="I24" s="668"/>
      <c r="J24" s="668"/>
      <c r="K24" s="668"/>
      <c r="L24" s="668"/>
      <c r="M24" s="668"/>
      <c r="N24" s="668"/>
      <c r="O24" s="385"/>
    </row>
    <row r="25" spans="1:15" ht="4.5" customHeight="1">
      <c r="A25" s="348"/>
      <c r="B25" s="389"/>
      <c r="C25" s="390"/>
      <c r="D25" s="391"/>
      <c r="E25" s="392"/>
      <c r="F25" s="393"/>
      <c r="G25" s="393"/>
      <c r="H25" s="354"/>
      <c r="I25" s="392"/>
      <c r="J25" s="394"/>
      <c r="K25" s="376"/>
      <c r="L25" s="377"/>
      <c r="M25" s="378"/>
      <c r="N25" s="379"/>
      <c r="O25" s="385"/>
    </row>
    <row r="26" spans="1:14" s="352" customFormat="1" ht="21" customHeight="1">
      <c r="A26" s="348"/>
      <c r="B26" s="662" t="s">
        <v>11</v>
      </c>
      <c r="C26" s="662"/>
      <c r="D26" s="662"/>
      <c r="E26" s="662"/>
      <c r="F26" s="662"/>
      <c r="G26" s="662"/>
      <c r="H26" s="662"/>
      <c r="I26" s="662"/>
      <c r="J26" s="662"/>
      <c r="K26" s="662"/>
      <c r="L26" s="662"/>
      <c r="M26" s="662"/>
      <c r="N26" s="662"/>
    </row>
    <row r="27" spans="1:15" ht="3.75" customHeight="1">
      <c r="A27" s="348"/>
      <c r="B27" s="389"/>
      <c r="C27" s="390"/>
      <c r="D27" s="391"/>
      <c r="E27" s="392"/>
      <c r="F27" s="393"/>
      <c r="G27" s="393"/>
      <c r="H27" s="354"/>
      <c r="I27" s="392"/>
      <c r="J27" s="394"/>
      <c r="K27" s="376"/>
      <c r="L27" s="377"/>
      <c r="M27" s="378"/>
      <c r="N27" s="379"/>
      <c r="O27" s="385"/>
    </row>
    <row r="28" spans="1:15" ht="21.75" customHeight="1">
      <c r="A28" s="345"/>
      <c r="B28" s="663" t="s">
        <v>12</v>
      </c>
      <c r="C28" s="663"/>
      <c r="D28" s="664" t="s">
        <v>314</v>
      </c>
      <c r="E28" s="664"/>
      <c r="F28" s="664"/>
      <c r="G28" s="664"/>
      <c r="H28" s="354"/>
      <c r="I28" s="664" t="s">
        <v>315</v>
      </c>
      <c r="J28" s="664"/>
      <c r="K28" s="664"/>
      <c r="L28" s="664"/>
      <c r="M28" s="664"/>
      <c r="N28" s="664"/>
      <c r="O28" s="385"/>
    </row>
    <row r="29" spans="1:15" ht="29.25" customHeight="1">
      <c r="A29" s="345"/>
      <c r="B29" s="395" t="s">
        <v>13</v>
      </c>
      <c r="C29" s="396"/>
      <c r="D29" s="660" t="str">
        <f>IF(ISBLANK(Programatico!C9),"",(Programatico!C9))</f>
        <v>El porcentaje reportado corresponde a las personas HSH que han participado en los componentes del paquete básico, de acuerdo con  el desarrollo de la metodologia de prevencion combinada.</v>
      </c>
      <c r="E29" s="660"/>
      <c r="F29" s="660"/>
      <c r="G29" s="660"/>
      <c r="H29" s="382"/>
      <c r="I29" s="661" t="s">
        <v>377</v>
      </c>
      <c r="J29" s="661"/>
      <c r="K29" s="661"/>
      <c r="L29" s="661"/>
      <c r="M29" s="661"/>
      <c r="N29" s="661"/>
      <c r="O29" s="385"/>
    </row>
    <row r="30" spans="1:15" ht="21.75" customHeight="1">
      <c r="A30" s="345"/>
      <c r="B30" s="397" t="s">
        <v>14</v>
      </c>
      <c r="C30" s="398"/>
      <c r="D30" s="659" t="str">
        <f>IF(ISBLANK(Programatico!G9),"",(Programatico!G9))</f>
        <v>El porcentaje reportado corresponde a las personas TS que han participado en los componentes del paquete básico, de acuerdo con  el desarrollo de la metodologia de prevencion combinada. </v>
      </c>
      <c r="E30" s="659"/>
      <c r="F30" s="659"/>
      <c r="G30" s="659"/>
      <c r="H30" s="382"/>
      <c r="I30" s="658"/>
      <c r="J30" s="658"/>
      <c r="K30" s="658"/>
      <c r="L30" s="658"/>
      <c r="M30" s="658"/>
      <c r="N30" s="658"/>
      <c r="O30" s="385"/>
    </row>
    <row r="31" spans="1:15" ht="21.75" customHeight="1">
      <c r="A31" s="345"/>
      <c r="B31" s="397" t="s">
        <v>15</v>
      </c>
      <c r="C31" s="398"/>
      <c r="D31" s="659" t="str">
        <f>IF(ISBLANK(Programatico!M9),"",(Programatico!M9))</f>
        <v>El porcentaje reportado corresponde a las personas TRANS que han participado en los componentes del paquete básico, de acuerdo con  el desarrollo de la metodologia de prevencion combinada.</v>
      </c>
      <c r="E31" s="659"/>
      <c r="F31" s="659"/>
      <c r="G31" s="659"/>
      <c r="H31" s="382"/>
      <c r="I31" s="658"/>
      <c r="J31" s="658"/>
      <c r="K31" s="658"/>
      <c r="L31" s="658"/>
      <c r="M31" s="658"/>
      <c r="N31" s="658"/>
      <c r="O31" s="385"/>
    </row>
    <row r="32" spans="1:15" ht="21.75" customHeight="1">
      <c r="A32" s="345"/>
      <c r="B32" s="399" t="s">
        <v>16</v>
      </c>
      <c r="C32" s="398"/>
      <c r="D32" s="656" t="str">
        <f>IF(ISBLANK(Programatico!L20),"",(Programatico!L20))</f>
        <v>El porcentaje reportado corresponde a las personas HSH que han participado en los componentes del paquete básico, de acuerdo con  el desarrollo de la metodologia de prevencion combinada. Hasta junio se han aperturado  3,013 CUI (193.4% relacionado con el numero de CUI implicitos en la meta prevista para el periodo) que corresponden a 3,935 abordajes. Estas personas no han completado ciclo debido a : a) entrega parcial de insumos ( ya que estos estan condicionados a las intervenciones educativas), b) Personas con CUI aperturados  ya cuentan con una prueba de VIH reciente por lo que no se refiere a la misma, c) Zonas de intervencion  de alta peligrosidad.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tres SR ,  Entreamigos, Fundasida y PASMO. El RP en coordinación con los SR desarrollarán un plan de aceleramiento  para  el cumplimeinto de las metas.</v>
      </c>
      <c r="E32" s="656"/>
      <c r="F32" s="656"/>
      <c r="G32" s="656"/>
      <c r="H32" s="382"/>
      <c r="I32" s="658"/>
      <c r="J32" s="658"/>
      <c r="K32" s="658"/>
      <c r="L32" s="658"/>
      <c r="M32" s="658"/>
      <c r="N32" s="658"/>
      <c r="O32" s="385"/>
    </row>
    <row r="33" spans="1:15" ht="27" customHeight="1">
      <c r="A33" s="345"/>
      <c r="B33" s="399" t="s">
        <v>17</v>
      </c>
      <c r="C33" s="398"/>
      <c r="D33" s="656" t="str">
        <f>IF(ISBLANK(Programatico!L21),"",(Programatico!L21))</f>
        <v>El porcentaje reportado corresponde a las personas TS que han participado en los componentes del paquete básico, de acuerdo con  el desarrollo de la metodologia de prevencion combinada. Hasta junio se han aperturado  1,957 CUI (167% relacionado con el numero de CUI implicitos en la meta prevista para el periodo) que corresponden a  3,282 abordajes. Estas personas no han completado ciclo debido a : a) entrega parcial de insumos ( ya que estos estan condicionados a las intervenciones educativas), b) Personas con CUI aperturados  ya cuentan con una prueba de VIH reciente por lo que no se refiere a la misma, c) Zonas de intervencion  de alta peligrosidad.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dos SR ,  Orquideas del Mar y PASMO. El RP en coordinación con los SR desarrollarán un plan de aceleramiento  para  el cumplimeinto de las metas.</v>
      </c>
      <c r="E33" s="656"/>
      <c r="F33" s="656"/>
      <c r="G33" s="656"/>
      <c r="H33" s="382"/>
      <c r="I33" s="658"/>
      <c r="J33" s="658"/>
      <c r="K33" s="658"/>
      <c r="L33" s="658"/>
      <c r="M33" s="658"/>
      <c r="N33" s="658"/>
      <c r="O33" s="385"/>
    </row>
    <row r="34" spans="1:15" ht="21.75" customHeight="1">
      <c r="A34" s="345"/>
      <c r="B34" s="399" t="s">
        <v>18</v>
      </c>
      <c r="C34" s="398"/>
      <c r="D34" s="656" t="str">
        <f>IF(ISBLANK(Programatico!L22),"",(Programatico!L22))</f>
        <v>El porcentaje reportado corresponde a las personas TRANS que han participado en los componentes del paquete básico, de acuerdo con  el desarrollo de la metodologia de prevencion combinada. Hasta junio se han aperturado  665 CUI (302% relacionado con el numero de CUI implicitos en la meta prevista para el periodo) que corresponden a  871 abordajes. Estas personas no han completado ciclo debido a : a) entrega parcial de insumos ( ya que estos estan condicionados a las intervenciones educativas), b) Personas con CUI aperturados  ya cuentan con una prueba de VIH reciente por lo que no se refiere a la misma, c) Zonas de intervencion  de alta peligrosidad.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dos SR ,  Orquideas del Mar y PASMO. El RP en coordinación con los SR desarrollarán un plan de aceleramiento  para  el cumplimeinto de las metas.</v>
      </c>
      <c r="E34" s="656"/>
      <c r="F34" s="656"/>
      <c r="G34" s="656"/>
      <c r="H34" s="382"/>
      <c r="I34" s="658"/>
      <c r="J34" s="658"/>
      <c r="K34" s="658"/>
      <c r="L34" s="658"/>
      <c r="M34" s="658"/>
      <c r="N34" s="658"/>
      <c r="O34" s="385"/>
    </row>
    <row r="35" spans="1:15" ht="21.75" customHeight="1">
      <c r="A35" s="345"/>
      <c r="B35" s="399" t="s">
        <v>19</v>
      </c>
      <c r="C35" s="400"/>
      <c r="D35" s="656" t="str">
        <f>IF(ISBLANK(Programatico!L23),"",(Programatico!L23))</f>
        <v>El  porcentaje corresponde a personas HSH referidos a   servicios complementarios  relacionados con : Asistencia psicologica, asesoria legal, seguimiento y tratamiento a VIH en el caso de  HSH positivos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Muchas intervenciones no han sido incluidas porque las organizaciones no tienen documentadas las referencias a estos servicios. Se realizarán reuniones con los SRs para dar lineamientos de seguridad así como coordinaciones para que en las diversas actividades se cuente con apoyo de otras instituciones para realizarlas conjuntamente y reducir los riesgos relacionados a violencia.   (explicacion en cuanto a personas alcanzadas y no personas referidas y medio de verificacion.</v>
      </c>
      <c r="E35" s="656"/>
      <c r="F35" s="656"/>
      <c r="G35" s="656"/>
      <c r="H35" s="382"/>
      <c r="I35" s="658" t="s">
        <v>378</v>
      </c>
      <c r="J35" s="658"/>
      <c r="K35" s="658"/>
      <c r="L35" s="658"/>
      <c r="M35" s="658"/>
      <c r="N35" s="658"/>
      <c r="O35" s="385"/>
    </row>
    <row r="36" spans="1:15" ht="21.75" customHeight="1">
      <c r="A36" s="345"/>
      <c r="B36" s="399" t="s">
        <v>20</v>
      </c>
      <c r="C36" s="400"/>
      <c r="D36" s="656" t="str">
        <f>IF(ISBLANK(Programatico!L24),"",(Programatico!L24))</f>
        <v>El  porcentaje corresponde a personas TS referidas a   servicios complementarios  relacionados con : Asistencia psicologica, asesoria legal, seguimiento y tratamiento a VIH en el caso de  TS positivos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Muchas intervenciones no han sido incluidas porque las organizaciones no tienen documentadas las referencias a estos servicios. Se realizarán reuniones con los SRs para dar lineamientos de seguridad así como coordinaciones para que en las diversas actividades se cuente con apoyo de otras instituciones para realizarlas conjuntamente y reducir los riesgos relacionados a violencia.</v>
      </c>
      <c r="E36" s="656"/>
      <c r="F36" s="656"/>
      <c r="G36" s="656"/>
      <c r="H36" s="382"/>
      <c r="I36" s="658"/>
      <c r="J36" s="658"/>
      <c r="K36" s="658"/>
      <c r="L36" s="658"/>
      <c r="M36" s="658"/>
      <c r="N36" s="658"/>
      <c r="O36" s="385"/>
    </row>
    <row r="37" spans="1:15" ht="21.75" customHeight="1">
      <c r="A37" s="345"/>
      <c r="B37" s="399" t="s">
        <v>21</v>
      </c>
      <c r="C37" s="400"/>
      <c r="D37" s="656" t="str">
        <f>IF(ISBLANK(Programatico!L25),"",(Programatico!L25))</f>
        <v>El  porcentaje corresponde a personas TRANS referidas a   servicios complementarios  relacionados con : Asistencia psicologica, asesoria legal, seguimiento y tratamiento a VIH en el caso de  TRANS positivas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Muchas intervenciones no han sido incluidas porque las organizaciones no tienen documentadas las referencias a estos servicios. Se realizarán reuniones con los SRs para dar lineamientos de seguridad así como coordinaciones para que en las diversas actividades se cuente con apoyo de otras instituciones para realizarlas conjuntamente y reducir los riesgos relacionados a violencia.</v>
      </c>
      <c r="E37" s="656"/>
      <c r="F37" s="656"/>
      <c r="G37" s="656"/>
      <c r="H37" s="382"/>
      <c r="I37" s="658"/>
      <c r="J37" s="658"/>
      <c r="K37" s="658"/>
      <c r="L37" s="658"/>
      <c r="M37" s="658"/>
      <c r="N37" s="658"/>
      <c r="O37" s="385"/>
    </row>
    <row r="38" spans="1:15" ht="21.75" customHeight="1">
      <c r="A38" s="345"/>
      <c r="B38" s="399" t="s">
        <v>22</v>
      </c>
      <c r="C38" s="400"/>
      <c r="D38" s="656" t="str">
        <f>IF(ISBLANK(Programatico!L26),"",(Programatico!L26))</f>
        <v>Al momento se encuentra en proceso de estudio de talla poblacional, comportamiento actitudes y prácticas y prevalencia de VIH en esta población</v>
      </c>
      <c r="E38" s="656"/>
      <c r="F38" s="656"/>
      <c r="G38" s="656"/>
      <c r="H38" s="382"/>
      <c r="I38" s="658"/>
      <c r="J38" s="658"/>
      <c r="K38" s="658"/>
      <c r="L38" s="658"/>
      <c r="M38" s="658"/>
      <c r="N38" s="658"/>
      <c r="O38" s="385"/>
    </row>
    <row r="39" spans="1:15" ht="21.75" customHeight="1">
      <c r="A39" s="345"/>
      <c r="B39" s="399" t="s">
        <v>23</v>
      </c>
      <c r="C39" s="400"/>
      <c r="D39" s="656" t="e">
        <f>IF(ISBLANK(Programatico!#REF!),"",(Programatico!#REF!))</f>
        <v>#REF!</v>
      </c>
      <c r="E39" s="656"/>
      <c r="F39" s="656"/>
      <c r="G39" s="656"/>
      <c r="H39" s="382"/>
      <c r="I39" s="658"/>
      <c r="J39" s="658"/>
      <c r="K39" s="658"/>
      <c r="L39" s="658"/>
      <c r="M39" s="658"/>
      <c r="N39" s="658"/>
      <c r="O39" s="385"/>
    </row>
    <row r="40" spans="1:15" ht="21.75" customHeight="1">
      <c r="A40" s="345"/>
      <c r="B40" s="399" t="s">
        <v>209</v>
      </c>
      <c r="C40" s="400"/>
      <c r="D40" s="656" t="e">
        <f>IF(ISBLANK(Programatico!#REF!),"",(Programatico!#REF!))</f>
        <v>#REF!</v>
      </c>
      <c r="E40" s="656"/>
      <c r="F40" s="656"/>
      <c r="G40" s="656"/>
      <c r="H40" s="382"/>
      <c r="I40" s="658"/>
      <c r="J40" s="658"/>
      <c r="K40" s="658"/>
      <c r="L40" s="658"/>
      <c r="M40" s="658"/>
      <c r="N40" s="658"/>
      <c r="O40" s="385"/>
    </row>
    <row r="41" spans="1:15" ht="21.75" customHeight="1">
      <c r="A41" s="345"/>
      <c r="B41" s="399" t="s">
        <v>210</v>
      </c>
      <c r="C41" s="401"/>
      <c r="D41" s="656" t="e">
        <f>IF(ISBLANK(Programatico!#REF!),"",(Programatico!#REF!))</f>
        <v>#REF!</v>
      </c>
      <c r="E41" s="656"/>
      <c r="F41" s="656"/>
      <c r="G41" s="656"/>
      <c r="H41" s="382"/>
      <c r="I41" s="657"/>
      <c r="J41" s="657"/>
      <c r="K41" s="657"/>
      <c r="L41" s="657"/>
      <c r="M41" s="657"/>
      <c r="N41" s="657"/>
      <c r="O41" s="385"/>
    </row>
  </sheetData>
  <sheetProtection password="CFC9" sheet="1" objects="1" scenarios="1"/>
  <mergeCells count="65">
    <mergeCell ref="B2:N2"/>
    <mergeCell ref="C3:D3"/>
    <mergeCell ref="E3:K3"/>
    <mergeCell ref="C4:D4"/>
    <mergeCell ref="E4:K4"/>
    <mergeCell ref="E5:K5"/>
    <mergeCell ref="E6:K6"/>
    <mergeCell ref="B8:N8"/>
    <mergeCell ref="B10:C10"/>
    <mergeCell ref="D10:G10"/>
    <mergeCell ref="I10:N10"/>
    <mergeCell ref="D13:G13"/>
    <mergeCell ref="I13:N13"/>
    <mergeCell ref="D14:G14"/>
    <mergeCell ref="I14:N14"/>
    <mergeCell ref="D11:G11"/>
    <mergeCell ref="I11:N11"/>
    <mergeCell ref="D12:G12"/>
    <mergeCell ref="I12:N12"/>
    <mergeCell ref="D19:G19"/>
    <mergeCell ref="I19:N19"/>
    <mergeCell ref="D20:G20"/>
    <mergeCell ref="I20:N20"/>
    <mergeCell ref="B16:N16"/>
    <mergeCell ref="B18:C18"/>
    <mergeCell ref="D18:G18"/>
    <mergeCell ref="I18:N18"/>
    <mergeCell ref="D23:G23"/>
    <mergeCell ref="I23:N23"/>
    <mergeCell ref="D24:G24"/>
    <mergeCell ref="I24:N24"/>
    <mergeCell ref="D21:G21"/>
    <mergeCell ref="I21:N21"/>
    <mergeCell ref="D22:G22"/>
    <mergeCell ref="I22:N22"/>
    <mergeCell ref="D29:G29"/>
    <mergeCell ref="I29:N29"/>
    <mergeCell ref="D30:G30"/>
    <mergeCell ref="I30:N30"/>
    <mergeCell ref="B26:N26"/>
    <mergeCell ref="B28:C28"/>
    <mergeCell ref="D28:G28"/>
    <mergeCell ref="I28:N28"/>
    <mergeCell ref="D33:G33"/>
    <mergeCell ref="I33:N33"/>
    <mergeCell ref="D34:G34"/>
    <mergeCell ref="I34:N34"/>
    <mergeCell ref="D31:G31"/>
    <mergeCell ref="I31:N31"/>
    <mergeCell ref="D32:G32"/>
    <mergeCell ref="I32:N32"/>
    <mergeCell ref="D37:G37"/>
    <mergeCell ref="I37:N37"/>
    <mergeCell ref="D38:G38"/>
    <mergeCell ref="I38:N38"/>
    <mergeCell ref="D35:G35"/>
    <mergeCell ref="I35:N35"/>
    <mergeCell ref="D36:G36"/>
    <mergeCell ref="I36:N36"/>
    <mergeCell ref="D41:G41"/>
    <mergeCell ref="I41:N41"/>
    <mergeCell ref="D39:G39"/>
    <mergeCell ref="I39:N39"/>
    <mergeCell ref="D40:G40"/>
    <mergeCell ref="I40:N40"/>
  </mergeCells>
  <conditionalFormatting sqref="C4:D4">
    <cfRule type="cellIs" priority="1" dxfId="51" operator="equal" stopIfTrue="1">
      <formula>"C"</formula>
    </cfRule>
    <cfRule type="cellIs" priority="2" dxfId="46" operator="equal" stopIfTrue="1">
      <formula>"B2"</formula>
    </cfRule>
    <cfRule type="cellIs" priority="3" dxfId="47"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Maria Leydies Portillo</cp:lastModifiedBy>
  <cp:lastPrinted>2011-01-31T13:36:40Z</cp:lastPrinted>
  <dcterms:created xsi:type="dcterms:W3CDTF">2008-11-20T16:06:13Z</dcterms:created>
  <dcterms:modified xsi:type="dcterms:W3CDTF">2014-10-03T16:52:52Z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