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6765" tabRatio="646" firstSheet="2" activeTab="3"/>
  </bookViews>
  <sheets>
    <sheet name="Cover Sheet" sheetId="1" r:id="rId1"/>
    <sheet name="PR_Programmatic Progress_1A" sheetId="2" r:id="rId2"/>
    <sheet name="PR_Programmatic Progress_1B" sheetId="3" r:id="rId3"/>
    <sheet name="PR_Grant Management_2" sheetId="4" r:id="rId4"/>
    <sheet name="PR_Total PR Cash Outflow_3A" sheetId="5" r:id="rId5"/>
    <sheet name="EFR TB Financial Data_3B" sheetId="6" r:id="rId6"/>
    <sheet name="PR_Procurement Info_4" sheetId="7" r:id="rId7"/>
    <sheet name="PR_Cash Reconciliation_5A" sheetId="8" r:id="rId8"/>
    <sheet name="PR_Disbursement Request_5B" sheetId="9" r:id="rId9"/>
    <sheet name="PR_Overall Performance_6" sheetId="10" r:id="rId10"/>
    <sheet name="PR_Cash Request_7A&amp;B" sheetId="11" r:id="rId11"/>
    <sheet name="PR_Bank Details_7C" sheetId="12" r:id="rId12"/>
    <sheet name="PR_Annex_SR-Financials" sheetId="13" r:id="rId13"/>
    <sheet name="Checklist" sheetId="14" r:id="rId14"/>
    <sheet name="LFA_Programmatic Progress_1A" sheetId="15" r:id="rId15"/>
    <sheet name="LFA_Programmatic Progress_1B" sheetId="16" r:id="rId16"/>
    <sheet name="LFA_Grant Management_2" sheetId="17" r:id="rId17"/>
    <sheet name="LFA_Total PR Cash Outflow_3A" sheetId="18" r:id="rId18"/>
    <sheet name="LFA_EFR Review_3B" sheetId="19" r:id="rId19"/>
    <sheet name="LFA_Procurement Info_4" sheetId="20" r:id="rId20"/>
    <sheet name="LFA_Findings&amp;Recommendations" sheetId="21" r:id="rId21"/>
    <sheet name="LFA_Cash Reconciliation_5A" sheetId="22" r:id="rId22"/>
    <sheet name="LFA_Disbursement Recommend_5B" sheetId="23" r:id="rId23"/>
    <sheet name="Sheet1" sheetId="24" state="hidden" r:id="rId24"/>
    <sheet name="LFA_Overall Performance_6" sheetId="25" r:id="rId25"/>
    <sheet name="LFA_DisbursementRecommendation7" sheetId="26" r:id="rId26"/>
    <sheet name="LFA_Bank Details_7C" sheetId="27" r:id="rId27"/>
    <sheet name="LFA_Annex-SR Financials" sheetId="28" r:id="rId28"/>
    <sheet name="annex 1 for additional info1" sheetId="29" r:id="rId29"/>
    <sheet name="Annex 2 for additional info" sheetId="30" r:id="rId30"/>
    <sheet name="Memo HIV" sheetId="31" state="hidden" r:id="rId31"/>
    <sheet name="Memo TB" sheetId="32" state="hidden" r:id="rId32"/>
    <sheet name="Memo Malaria" sheetId="33" state="hidden" r:id="rId33"/>
    <sheet name="Definitions-lists-EFR" sheetId="34" state="hidden" r:id="rId34"/>
    <sheet name="Sheet2" sheetId="35" state="hidden" r:id="rId35"/>
    <sheet name="Hoja2" sheetId="36" r:id="rId36"/>
  </sheets>
  <externalReferences>
    <externalReference r:id="rId39"/>
    <externalReference r:id="rId40"/>
    <externalReference r:id="rId41"/>
    <externalReference r:id="rId42"/>
    <externalReference r:id="rId43"/>
  </externalReferences>
  <definedNames>
    <definedName name="_xlnm.Print_Area" localSheetId="13">'Checklist'!$A$1:$E$33</definedName>
    <definedName name="_xlnm.Print_Area" localSheetId="0">'Cover Sheet'!$A$1:$D$19</definedName>
    <definedName name="_xlnm.Print_Area" localSheetId="5">'EFR TB Financial Data_3B'!$A$1:$M$92</definedName>
    <definedName name="_xlnm.Print_Area" localSheetId="27">'LFA_Annex-SR Financials'!$A$1:$R$40</definedName>
    <definedName name="_xlnm.Print_Area" localSheetId="26">'LFA_Bank Details_7C'!$A$1:$F$81</definedName>
    <definedName name="_xlnm.Print_Area" localSheetId="21">'LFA_Cash Reconciliation_5A'!$A$1:$K$25</definedName>
    <definedName name="_xlnm.Print_Area" localSheetId="22">'LFA_Disbursement Recommend_5B'!$A$1:$S$56</definedName>
    <definedName name="_xlnm.Print_Area" localSheetId="25">'LFA_DisbursementRecommendation7'!$A$1:$P$65</definedName>
    <definedName name="_xlnm.Print_Area" localSheetId="18">'LFA_EFR Review_3B'!$A$1:$K$52</definedName>
    <definedName name="_xlnm.Print_Area" localSheetId="20">'LFA_Findings&amp;Recommendations'!$A$1:$K$41</definedName>
    <definedName name="_xlnm.Print_Area" localSheetId="16">'LFA_Grant Management_2'!$A$1:$L$59</definedName>
    <definedName name="_xlnm.Print_Area" localSheetId="24">'LFA_Overall Performance_6'!$A$1:$K$26</definedName>
    <definedName name="_xlnm.Print_Area" localSheetId="19">'LFA_Procurement Info_4'!$A$1:$K$33</definedName>
    <definedName name="_xlnm.Print_Area" localSheetId="14">'LFA_Programmatic Progress_1A'!$A$1:$S$37</definedName>
    <definedName name="_xlnm.Print_Area" localSheetId="15">'LFA_Programmatic Progress_1B'!$A$1:$U$47</definedName>
    <definedName name="_xlnm.Print_Area" localSheetId="17">'LFA_Total PR Cash Outflow_3A'!$A$1:$K$26</definedName>
    <definedName name="_xlnm.Print_Area" localSheetId="30">'Memo HIV'!$A$1:$J$32</definedName>
    <definedName name="_xlnm.Print_Area" localSheetId="32">'Memo Malaria'!$A$1:$F$25</definedName>
    <definedName name="_xlnm.Print_Area" localSheetId="31">'Memo TB'!$A$1:$F$17</definedName>
    <definedName name="_xlnm.Print_Area" localSheetId="12">'PR_Annex_SR-Financials'!$A$1:$Q$40</definedName>
    <definedName name="_xlnm.Print_Area" localSheetId="11">'PR_Bank Details_7C'!$A$1:$G$82</definedName>
    <definedName name="_xlnm.Print_Area" localSheetId="7">'PR_Cash Reconciliation_5A'!$A$1:$M$32</definedName>
    <definedName name="_xlnm.Print_Area" localSheetId="10">'PR_Cash Request_7A&amp;B'!$A$1:$M$40</definedName>
    <definedName name="_xlnm.Print_Area" localSheetId="8">'PR_Disbursement Request_5B'!$A$1:$T$46</definedName>
    <definedName name="_xlnm.Print_Area" localSheetId="3">'PR_Grant Management_2'!$A$1:$L$60</definedName>
    <definedName name="_xlnm.Print_Area" localSheetId="9">'PR_Overall Performance_6'!$A$1:$O$30</definedName>
    <definedName name="_xlnm.Print_Area" localSheetId="6">'PR_Procurement Info_4'!$A$1:$L$16</definedName>
    <definedName name="_xlnm.Print_Area" localSheetId="1">'PR_Programmatic Progress_1A'!$A$1:$R$36</definedName>
    <definedName name="_xlnm.Print_Area" localSheetId="2">'PR_Programmatic Progress_1B'!$A$1:$R$43</definedName>
    <definedName name="_xlnm.Print_Area" localSheetId="4">'PR_Total PR Cash Outflow_3A'!$A$1:$K$19</definedName>
    <definedName name="E">'Memo HIV'!$F$3</definedName>
    <definedName name="ES">'Memo HIV'!$F$4</definedName>
    <definedName name="HIVII">'Memo HIV'!$B$2:$B$8</definedName>
    <definedName name="HIVOI">'Memo HIV'!$D$2:$D$15</definedName>
    <definedName name="HIVSDA">'Memo HIV'!$A$2:$A$26</definedName>
    <definedName name="HIVSource">'Memo HIV'!$E$2:$E$22</definedName>
    <definedName name="IndicatorTypesList">#REF!</definedName>
    <definedName name="LFA_SDA" localSheetId="18">#REF!</definedName>
    <definedName name="LFA_SDA" localSheetId="11">'[3]LFA_Programmatic Progress_1B'!#REF!</definedName>
    <definedName name="LFA_SDA" localSheetId="4">#REF!</definedName>
    <definedName name="LFA_SDA">'LFA_Programmatic Progress_1B'!#REF!</definedName>
    <definedName name="LFASig" localSheetId="18">#REF!</definedName>
    <definedName name="LFASig" localSheetId="11">'[3]LFA_Signature (image)'!$B$2</definedName>
    <definedName name="LFASig" localSheetId="4">#REF!</definedName>
    <definedName name="LFASig">#REF!</definedName>
    <definedName name="list">#REF!</definedName>
    <definedName name="List_IE">'Definitions-lists-EFR'!$A$58:$A$65</definedName>
    <definedName name="list1">#REF!</definedName>
    <definedName name="list2">#REF!</definedName>
    <definedName name="listH" localSheetId="29">#REF!</definedName>
    <definedName name="listH">#REF!</definedName>
    <definedName name="ListHIV">'Definitions-lists-EFR'!$A$1:$A$7</definedName>
    <definedName name="listie">#REF!</definedName>
    <definedName name="listmac">#REF!</definedName>
    <definedName name="ListMal">'Definitions-lists-EFR'!$A$21:$A$25</definedName>
    <definedName name="listnew">#REF!</definedName>
    <definedName name="listS">#REF!</definedName>
    <definedName name="listsda">#REF!</definedName>
    <definedName name="listsdah">#REF!</definedName>
    <definedName name="listsdahiv">#REF!</definedName>
    <definedName name="listsdahiv1">#REF!</definedName>
    <definedName name="listsdam">'[1]Definitions'!$C$28:$C$50</definedName>
    <definedName name="listsdat">#REF!</definedName>
    <definedName name="listsdat1">'[2]Definitions'!$C$39:$C$54</definedName>
    <definedName name="listserv">#REF!</definedName>
    <definedName name="ListTB">'Definitions-lists-EFR'!$A$39:$A$44</definedName>
    <definedName name="MalariaII">'Memo Malaria'!$B$2:$B$10</definedName>
    <definedName name="MalariaOI">'Memo Malaria'!$D$2:$D$10</definedName>
    <definedName name="MalariaSDA">'Memo Malaria'!$A$2:$A$24</definedName>
    <definedName name="MalariaSource">'Memo Malaria'!$E$2:$E$25</definedName>
    <definedName name="Please_Select">'Memo Malaria'!$A$3:$A$14</definedName>
    <definedName name="PR_SDA" localSheetId="18">#REF!</definedName>
    <definedName name="PR_SDA" localSheetId="11">'[3]LFA_Programmatic Progress_1A'!#REF!</definedName>
    <definedName name="PR_SDA" localSheetId="2">'PR_Programmatic Progress_1B'!$C$12:$C$38</definedName>
    <definedName name="PR_SDA" localSheetId="4">#REF!</definedName>
    <definedName name="PR_SDA">'LFA_Programmatic Progress_1A'!#REF!</definedName>
    <definedName name="PS">'Memo HIV'!$F$5</definedName>
    <definedName name="SD" localSheetId="29">#REF!</definedName>
    <definedName name="SD">#REF!</definedName>
    <definedName name="SDA" localSheetId="29">#REF!</definedName>
    <definedName name="SDA">#REF!</definedName>
    <definedName name="SDAList">'Memo Malaria'!$A$3:$A$21</definedName>
    <definedName name="Select">'Memo HIV'!$J$2:$J$3</definedName>
    <definedName name="Sources" localSheetId="11">#REF!</definedName>
    <definedName name="Sources">#REF!</definedName>
    <definedName name="TBII">'Memo TB'!$B$2:$B$5</definedName>
    <definedName name="TBOI">'Memo TB'!$D$2:$D$5</definedName>
    <definedName name="TBSDA">'Memo TB'!$A$2:$A$17</definedName>
    <definedName name="TBSource">'Memo TB'!$E$2:$E$27</definedName>
    <definedName name="TEST" localSheetId="18">#REF!</definedName>
    <definedName name="TEST" localSheetId="11">'[3]LFA_Programmatic Progress_1A'!#REF!</definedName>
    <definedName name="TEST" localSheetId="2">'PR_Programmatic Progress_1B'!$C$12:$C$38</definedName>
    <definedName name="TEST" localSheetId="4">#REF!</definedName>
    <definedName name="TEST">'LFA_Programmatic Progress_1A'!#REF!</definedName>
    <definedName name="Timeframe" localSheetId="11">#REF!</definedName>
    <definedName name="Timeframe">#REF!</definedName>
    <definedName name="_xlnm.Print_Titles" localSheetId="27">'LFA_Annex-SR Financials'!$14:$14</definedName>
    <definedName name="_xlnm.Print_Titles" localSheetId="21">'LFA_Cash Reconciliation_5A'!$8:$13</definedName>
    <definedName name="_xlnm.Print_Titles" localSheetId="22">'LFA_Disbursement Recommend_5B'!$9:$9</definedName>
    <definedName name="_xlnm.Print_Titles" localSheetId="25">'LFA_DisbursementRecommendation7'!$16:$16</definedName>
    <definedName name="_xlnm.Print_Titles" localSheetId="20">'LFA_Findings&amp;Recommendations'!$9:$13</definedName>
    <definedName name="_xlnm.Print_Titles" localSheetId="16">'LFA_Grant Management_2'!$8:$8</definedName>
    <definedName name="_xlnm.Print_Titles" localSheetId="24">'LFA_Overall Performance_6'!$8:$8</definedName>
    <definedName name="_xlnm.Print_Titles" localSheetId="19">'LFA_Procurement Info_4'!$8:$8</definedName>
    <definedName name="_xlnm.Print_Titles" localSheetId="14">'LFA_Programmatic Progress_1A'!$22:$26</definedName>
    <definedName name="_xlnm.Print_Titles" localSheetId="12">'PR_Annex_SR-Financials'!$14:$14</definedName>
    <definedName name="_xlnm.Print_Titles" localSheetId="3">'PR_Grant Management_2'!$32:$32</definedName>
    <definedName name="_xlnm.Print_Titles" localSheetId="1">'PR_Programmatic Progress_1A'!$22:$26</definedName>
    <definedName name="_xlnm.Print_Titles" localSheetId="2">'PR_Programmatic Progress_1B'!$9:$11</definedName>
    <definedName name="_xlnm.Print_Titles" localSheetId="4">'PR_Total PR Cash Outflow_3A'!$9:$10</definedName>
    <definedName name="Z_E26F941C_F347_432D_B4B3_73B25F002075__wvu_Cols" localSheetId="25">'LFA_DisbursementRecommendation7'!#REF!</definedName>
    <definedName name="Z_E26F941C_F347_432D_B4B3_73B25F002075__wvu_Cols" localSheetId="16">('LFA_Grant Management_2'!$G:$H,'LFA_Grant Management_2'!#REF!)</definedName>
    <definedName name="Z_E26F941C_F347_432D_B4B3_73B25F002075__wvu_Cols" localSheetId="14">'LFA_Programmatic Progress_1A'!#REF!</definedName>
    <definedName name="Z_E26F941C_F347_432D_B4B3_73B25F002075__wvu_Cols" localSheetId="15">'LFA_Programmatic Progress_1B'!#REF!</definedName>
    <definedName name="Z_E26F941C_F347_432D_B4B3_73B25F002075__wvu_Cols" localSheetId="17">'LFA_Total PR Cash Outflow_3A'!#REF!</definedName>
    <definedName name="Z_E26F941C_F347_432D_B4B3_73B25F002075__wvu_Cols" localSheetId="30">('Memo HIV'!$C:$C,'Memo HIV'!$F:$F)</definedName>
    <definedName name="Z_E26F941C_F347_432D_B4B3_73B25F002075__wvu_Cols" localSheetId="32">'Memo Malaria'!$C:$C</definedName>
    <definedName name="Z_E26F941C_F347_432D_B4B3_73B25F002075__wvu_Cols" localSheetId="31">'Memo TB'!$C:$C</definedName>
    <definedName name="Z_E26F941C_F347_432D_B4B3_73B25F002075__wvu_PrintArea" localSheetId="0">'Cover Sheet'!$A$1:$A$17</definedName>
    <definedName name="Z_E26F941C_F347_432D_B4B3_73B25F002075__wvu_PrintArea" localSheetId="25">'LFA_DisbursementRecommendation7'!$A$1:$J$61</definedName>
    <definedName name="Z_E26F941C_F347_432D_B4B3_73B25F002075__wvu_PrintArea" localSheetId="16">'LFA_Grant Management_2'!$A$1:$L$50</definedName>
    <definedName name="Z_E26F941C_F347_432D_B4B3_73B25F002075__wvu_PrintArea" localSheetId="24">'LFA_Overall Performance_6'!$A$1:$K$22</definedName>
    <definedName name="Z_E26F941C_F347_432D_B4B3_73B25F002075__wvu_PrintArea" localSheetId="14">'LFA_Programmatic Progress_1A'!$A$1:$R$36</definedName>
    <definedName name="Z_E26F941C_F347_432D_B4B3_73B25F002075__wvu_PrintArea" localSheetId="15">'LFA_Programmatic Progress_1B'!$A$1:$O$37</definedName>
    <definedName name="Z_E26F941C_F347_432D_B4B3_73B25F002075__wvu_PrintArea" localSheetId="17">'LFA_Total PR Cash Outflow_3A'!$A$1:$L$23</definedName>
    <definedName name="Z_E26F941C_F347_432D_B4B3_73B25F002075__wvu_PrintArea" localSheetId="30">'Memo HIV'!$A$1:$J$32</definedName>
    <definedName name="Z_E26F941C_F347_432D_B4B3_73B25F002075__wvu_PrintArea" localSheetId="32">'Memo Malaria'!$A$1:$F$25</definedName>
    <definedName name="Z_E26F941C_F347_432D_B4B3_73B25F002075__wvu_PrintArea" localSheetId="31">'Memo TB'!$A$1:$F$17</definedName>
    <definedName name="Z_E26F941C_F347_432D_B4B3_73B25F002075__wvu_PrintArea" localSheetId="10">'PR_Cash Request_7A&amp;B'!$A$1:$M$36</definedName>
    <definedName name="Z_E26F941C_F347_432D_B4B3_73B25F002075__wvu_PrintArea" localSheetId="1">'PR_Programmatic Progress_1A'!$A$1:$P$36</definedName>
    <definedName name="Z_E26F941C_F347_432D_B4B3_73B25F002075__wvu_PrintArea" localSheetId="2">'PR_Programmatic Progress_1B'!$A$1:$Q$37</definedName>
    <definedName name="Z_E26F941C_F347_432D_B4B3_73B25F002075__wvu_PrintArea" localSheetId="4">'PR_Total PR Cash Outflow_3A'!$A$1:$J$20</definedName>
    <definedName name="Z_E26F941C_F347_432D_B4B3_73B25F002075__wvu_Rows" localSheetId="32">'Memo Malaria'!$2:$2</definedName>
    <definedName name="Z_E26F941C_F347_432D_B4B3_73B25F002075__wvu_Rows" localSheetId="31">'Memo TB'!$2:$2</definedName>
    <definedName name="Z_E26F941C_F347_432D_B4B3_73B25F002075__wvu_Rows" localSheetId="1">'PR_Programmatic Progress_1A'!$2:$3</definedName>
  </definedNames>
  <calcPr fullCalcOnLoad="1"/>
</workbook>
</file>

<file path=xl/comments6.xml><?xml version="1.0" encoding="utf-8"?>
<comments xmlns="http://schemas.openxmlformats.org/spreadsheetml/2006/main">
  <authors>
    <author/>
  </authors>
  <commentList>
    <comment ref="A34" authorId="0">
      <text>
        <r>
          <rPr>
            <b/>
            <sz val="8"/>
            <color indexed="58"/>
            <rFont val="Tahoma"/>
            <family val="2"/>
          </rPr>
          <t xml:space="preserve">Insert Number
</t>
        </r>
      </text>
    </comment>
    <comment ref="A63" authorId="0">
      <text>
        <r>
          <rPr>
            <b/>
            <sz val="8"/>
            <color indexed="58"/>
            <rFont val="Tahoma"/>
            <family val="2"/>
          </rPr>
          <t xml:space="preserve">Insert Number
</t>
        </r>
      </text>
    </comment>
    <comment ref="A86" authorId="0">
      <text>
        <r>
          <rPr>
            <b/>
            <sz val="8"/>
            <color indexed="58"/>
            <rFont val="Tahoma"/>
            <family val="2"/>
          </rPr>
          <t xml:space="preserve">Insert Number
</t>
        </r>
      </text>
    </comment>
    <comment ref="B29" authorId="0">
      <text>
        <r>
          <rPr>
            <b/>
            <sz val="8"/>
            <color indexed="58"/>
            <rFont val="Tahoma"/>
            <family val="2"/>
          </rPr>
          <t xml:space="preserve">This category should only be used as a last resort if there is a type of cost that absolutely cannot be allocated to another cost category
</t>
        </r>
      </text>
    </comment>
    <comment ref="C34" authorId="0">
      <text>
        <r>
          <rPr>
            <sz val="8"/>
            <color indexed="58"/>
            <rFont val="Tahoma"/>
            <family val="2"/>
          </rPr>
          <t>Please Remember to include the full name of the Objective. If an objective has more than 1 SDA, repeat the Objective Name on each row for the relevant SDA</t>
        </r>
      </text>
    </comment>
    <comment ref="C86" authorId="0">
      <text>
        <r>
          <rPr>
            <sz val="10"/>
            <color indexed="10"/>
            <rFont val="Tahoma"/>
            <family val="2"/>
          </rPr>
          <t xml:space="preserve">If a Faith Based Organization is also a NGO or CBO. It should be selected as an FBO!
</t>
        </r>
      </text>
    </comment>
    <comment ref="D63" authorId="0">
      <text>
        <r>
          <rPr>
            <sz val="10"/>
            <color indexed="10"/>
            <rFont val="Tahoma"/>
            <family val="2"/>
          </rPr>
          <t xml:space="preserve">If a Faith Based Organization is also a NGO or CBO. It should be selected as an FBO!
</t>
        </r>
      </text>
    </comment>
    <comment ref="D92" authorId="0">
      <text>
        <r>
          <rPr>
            <b/>
            <sz val="8"/>
            <color indexed="58"/>
            <rFont val="Tahoma"/>
            <family val="2"/>
          </rPr>
          <t xml:space="preserve">Please ensure that the figure here agrees with the figure in the corresponding cells in Tables A and B. If they do not the background color will be RED
</t>
        </r>
      </text>
    </comment>
    <comment ref="E30" authorId="0">
      <text>
        <r>
          <rPr>
            <b/>
            <sz val="8"/>
            <color indexed="58"/>
            <rFont val="Tahoma"/>
            <family val="2"/>
          </rPr>
          <t xml:space="preserve">Please ensure that the figure here agrees with the figure in the corresponding cells in Tables B and C. If they do not the background color will be RED
</t>
        </r>
      </text>
    </comment>
    <comment ref="E57" authorId="0">
      <text>
        <r>
          <rPr>
            <b/>
            <sz val="8"/>
            <color indexed="58"/>
            <rFont val="Tahoma"/>
            <family val="2"/>
          </rPr>
          <t xml:space="preserve">Please ensure that the figure here agrees with the figure in the corresponding cells in Tables A and C. If they do not the background color will be RED
</t>
        </r>
      </text>
    </comment>
    <comment ref="E69" authorId="0">
      <text>
        <r>
          <rPr>
            <b/>
            <sz val="8"/>
            <color indexed="58"/>
            <rFont val="Tahoma"/>
            <family val="2"/>
          </rPr>
          <t xml:space="preserve">Please ensure that the figure here agrees with the figure in the corresponding cells in Tables A and B. If they do not the background color will be RED
</t>
        </r>
      </text>
    </comment>
    <comment ref="E85" authorId="0">
      <text>
        <r>
          <rPr>
            <b/>
            <sz val="8"/>
            <color indexed="58"/>
            <rFont val="Tahoma"/>
            <family val="2"/>
          </rPr>
          <t xml:space="preserve">The Cumulative Period should be from the beginning of the grant up to the end of the current reporting period.
</t>
        </r>
        <r>
          <rPr>
            <sz val="8"/>
            <color indexed="58"/>
            <rFont val="Tahoma"/>
            <family val="2"/>
          </rPr>
          <t xml:space="preserve">
</t>
        </r>
      </text>
    </comment>
    <comment ref="E86" authorId="0">
      <text>
        <r>
          <rPr>
            <b/>
            <sz val="8"/>
            <color indexed="58"/>
            <rFont val="Tahoma"/>
            <family val="2"/>
          </rPr>
          <t xml:space="preserve">Please be as specific as possible when describing the Reason for the Variances. Refer to the Guidance Document for additional information.
</t>
        </r>
        <r>
          <rPr>
            <sz val="8"/>
            <color indexed="58"/>
            <rFont val="Tahoma"/>
            <family val="2"/>
          </rPr>
          <t xml:space="preserve">
</t>
        </r>
      </text>
    </comment>
    <comment ref="F30" authorId="0">
      <text>
        <r>
          <rPr>
            <b/>
            <sz val="8"/>
            <color indexed="58"/>
            <rFont val="Tahoma"/>
            <family val="2"/>
          </rPr>
          <t xml:space="preserve">Please ensure that the figure here agrees with the figure in the corresponding cells in Tables B and C. If they do not the background color will be RED
</t>
        </r>
      </text>
    </comment>
    <comment ref="F57" authorId="0">
      <text>
        <r>
          <rPr>
            <b/>
            <sz val="8"/>
            <color indexed="58"/>
            <rFont val="Tahoma"/>
            <family val="2"/>
          </rPr>
          <t xml:space="preserve">Please ensure that the figure here agrees with the figure in the corresponding cells in Tables A and C. If they do not the background color will be RED
</t>
        </r>
      </text>
    </comment>
    <comment ref="F69" authorId="0">
      <text>
        <r>
          <rPr>
            <b/>
            <sz val="8"/>
            <color indexed="58"/>
            <rFont val="Tahoma"/>
            <family val="2"/>
          </rPr>
          <t xml:space="preserve">Please ensure that the figure here agrees with the figure in the corresponding cells in Tables A and B. If they do not the background color will be RED
</t>
        </r>
      </text>
    </comment>
    <comment ref="G8" authorId="0">
      <text>
        <r>
          <rPr>
            <b/>
            <sz val="8"/>
            <color indexed="58"/>
            <rFont val="Tahoma"/>
            <family val="2"/>
          </rPr>
          <t xml:space="preserve">Start date for current period cannot be earlier than cumulative period
</t>
        </r>
      </text>
    </comment>
    <comment ref="G30" authorId="0">
      <text>
        <r>
          <rPr>
            <b/>
            <sz val="8"/>
            <color indexed="58"/>
            <rFont val="Tahoma"/>
            <family val="2"/>
          </rPr>
          <t xml:space="preserve">Please ensure that the figure here agrees with the figure in the corresponding cells in Tables B and C. If they do not the background color will be RED
</t>
        </r>
      </text>
    </comment>
    <comment ref="G57" authorId="0">
      <text>
        <r>
          <rPr>
            <b/>
            <sz val="8"/>
            <color indexed="58"/>
            <rFont val="Tahoma"/>
            <family val="2"/>
          </rPr>
          <t xml:space="preserve">Please ensure that the figure here agrees with the figure in the corresponding cells in Tables A and C. If they do not the background color will be RED
</t>
        </r>
      </text>
    </comment>
    <comment ref="G69" authorId="0">
      <text>
        <r>
          <rPr>
            <b/>
            <sz val="8"/>
            <color indexed="58"/>
            <rFont val="Tahoma"/>
            <family val="2"/>
          </rPr>
          <t xml:space="preserve">Please ensure that the figure here agrees with the figure in the corresponding cells in Tables A and B. If they do not the background color will be RED
</t>
        </r>
      </text>
    </comment>
    <comment ref="H16" authorId="0">
      <text>
        <r>
          <rPr>
            <b/>
            <sz val="8"/>
            <color indexed="58"/>
            <rFont val="Tahoma"/>
            <family val="2"/>
          </rPr>
          <t xml:space="preserve">Please be as specific as possible when describing the Reason for the Variances. Refer to the Guidance Document for additional information.
</t>
        </r>
      </text>
    </comment>
    <comment ref="H34" authorId="0">
      <text>
        <r>
          <rPr>
            <b/>
            <sz val="8"/>
            <color indexed="58"/>
            <rFont val="Tahoma"/>
            <family val="2"/>
          </rPr>
          <t xml:space="preserve">Please be as specific as possible when describing the Reason for the Variances. Refer to the Guidance Document for additional information.
</t>
        </r>
        <r>
          <rPr>
            <sz val="8"/>
            <color indexed="58"/>
            <rFont val="Tahoma"/>
            <family val="2"/>
          </rPr>
          <t xml:space="preserve">
</t>
        </r>
      </text>
    </comment>
    <comment ref="H63" authorId="0">
      <text>
        <r>
          <rPr>
            <b/>
            <sz val="8"/>
            <color indexed="58"/>
            <rFont val="Tahoma"/>
            <family val="2"/>
          </rPr>
          <t xml:space="preserve">Please be as specific as possible when describing the Reason for the Variances. Refer to the Guidance Document for additional information.
</t>
        </r>
        <r>
          <rPr>
            <sz val="8"/>
            <color indexed="58"/>
            <rFont val="Tahoma"/>
            <family val="2"/>
          </rPr>
          <t xml:space="preserve">
</t>
        </r>
      </text>
    </comment>
    <comment ref="I15" authorId="0">
      <text>
        <r>
          <rPr>
            <b/>
            <sz val="8"/>
            <color indexed="58"/>
            <rFont val="Tahoma"/>
            <family val="2"/>
          </rPr>
          <t xml:space="preserve">The Cumulative Period should be from the beginning of the grant up to the end of the current reporting period.
</t>
        </r>
      </text>
    </comment>
    <comment ref="I30" authorId="0">
      <text>
        <r>
          <rPr>
            <b/>
            <sz val="9"/>
            <color indexed="58"/>
            <rFont val="Tahoma"/>
            <family val="2"/>
          </rPr>
          <t xml:space="preserve">Please ensure that:
-the figure here agrees with the figure in the corresponding cells in Tables B and C (in this tab). If they do not the background color will be RED; </t>
        </r>
        <r>
          <rPr>
            <b/>
            <i/>
            <sz val="9"/>
            <color indexed="58"/>
            <rFont val="Tahoma"/>
            <family val="2"/>
          </rPr>
          <t xml:space="preserve">and
</t>
        </r>
        <r>
          <rPr>
            <b/>
            <sz val="9"/>
            <color indexed="58"/>
            <rFont val="Tahoma"/>
            <family val="2"/>
          </rPr>
          <t xml:space="preserve">-the figure also agrees with the cumulative budget figure in the corresponding cell (H11) in section "PR_Total PR Cash Outflow_3A). If they do not the background color will be ORANGE. </t>
        </r>
      </text>
    </comment>
    <comment ref="I33" authorId="0">
      <text>
        <r>
          <rPr>
            <b/>
            <sz val="8"/>
            <color indexed="58"/>
            <rFont val="Tahoma"/>
            <family val="2"/>
          </rPr>
          <t xml:space="preserve">The Cumulative Period should be from the beginning of the grant up to the end of the current reporting period.
</t>
        </r>
        <r>
          <rPr>
            <sz val="8"/>
            <color indexed="58"/>
            <rFont val="Tahoma"/>
            <family val="2"/>
          </rPr>
          <t xml:space="preserve">
</t>
        </r>
      </text>
    </comment>
    <comment ref="I57" authorId="0">
      <text>
        <r>
          <rPr>
            <b/>
            <sz val="8"/>
            <color indexed="58"/>
            <rFont val="Tahoma"/>
            <family val="2"/>
          </rPr>
          <t xml:space="preserve">Please ensure that the figure here agrees with the figure in the corresponding cells in Tables A and C. If they do not the background color will be RED
</t>
        </r>
      </text>
    </comment>
    <comment ref="I62" authorId="0">
      <text>
        <r>
          <rPr>
            <b/>
            <sz val="8"/>
            <color indexed="58"/>
            <rFont val="Tahoma"/>
            <family val="2"/>
          </rPr>
          <t xml:space="preserve">The Cumulative Period should be from the beginning of the grant up to the end of the current reporting period.
</t>
        </r>
        <r>
          <rPr>
            <sz val="8"/>
            <color indexed="58"/>
            <rFont val="Tahoma"/>
            <family val="2"/>
          </rPr>
          <t xml:space="preserve">
</t>
        </r>
      </text>
    </comment>
    <comment ref="I69" authorId="0">
      <text>
        <r>
          <rPr>
            <b/>
            <sz val="8"/>
            <color indexed="58"/>
            <rFont val="Tahoma"/>
            <family val="2"/>
          </rPr>
          <t xml:space="preserve">Please ensure that the figure here agrees with the figure in the corresponding cells in Tables A and B. If they do not the background color will be RED
</t>
        </r>
      </text>
    </comment>
    <comment ref="J30" authorId="0">
      <text>
        <r>
          <rPr>
            <b/>
            <sz val="8"/>
            <color indexed="58"/>
            <rFont val="Tahoma"/>
            <family val="2"/>
          </rPr>
          <t xml:space="preserve">Please ensure that the figure here agrees with the figure in the corresponding cells in Tables B and C. If they do not the background color will be RED
</t>
        </r>
      </text>
    </comment>
    <comment ref="J57" authorId="0">
      <text>
        <r>
          <rPr>
            <b/>
            <sz val="8"/>
            <color indexed="58"/>
            <rFont val="Tahoma"/>
            <family val="2"/>
          </rPr>
          <t xml:space="preserve">Please ensure that the figure here agrees with the figure in the corresponding cells in Tables A and C. If they do not the background color will be RED
</t>
        </r>
      </text>
    </comment>
    <comment ref="J69" authorId="0">
      <text>
        <r>
          <rPr>
            <b/>
            <sz val="8"/>
            <color indexed="58"/>
            <rFont val="Tahoma"/>
            <family val="2"/>
          </rPr>
          <t xml:space="preserve">Please ensure that the figure here agrees with the figure in the corresponding cells in Tables A and B. If they do not the background color will be RED
</t>
        </r>
      </text>
    </comment>
    <comment ref="K8" authorId="0">
      <text>
        <r>
          <rPr>
            <b/>
            <sz val="8"/>
            <color indexed="58"/>
            <rFont val="Tahoma"/>
            <family val="2"/>
          </rPr>
          <t xml:space="preserve">Start date for current period cannot be earlier than cumulative period
</t>
        </r>
      </text>
    </comment>
    <comment ref="K30" authorId="0">
      <text>
        <r>
          <rPr>
            <b/>
            <sz val="8"/>
            <color indexed="58"/>
            <rFont val="Tahoma"/>
            <family val="2"/>
          </rPr>
          <t xml:space="preserve">Please ensure that the figure here agrees with the figure in the corresponding cells in Tables B and C. If they do not the background color will be RED
</t>
        </r>
      </text>
    </comment>
    <comment ref="K57" authorId="0">
      <text>
        <r>
          <rPr>
            <b/>
            <sz val="8"/>
            <color indexed="58"/>
            <rFont val="Tahoma"/>
            <family val="2"/>
          </rPr>
          <t xml:space="preserve">Please ensure that the figure here agrees with the figure in the corresponding cells in Tables A and C. If they do not the background color will be RED
</t>
        </r>
      </text>
    </comment>
    <comment ref="K69" authorId="0">
      <text>
        <r>
          <rPr>
            <b/>
            <sz val="8"/>
            <color indexed="58"/>
            <rFont val="Tahoma"/>
            <family val="2"/>
          </rPr>
          <t xml:space="preserve">Please ensure that the figure here agrees with the figure in the corresponding cells in Tables A and B. If they do not the background color will be RED
</t>
        </r>
      </text>
    </comment>
    <comment ref="L16" authorId="0">
      <text>
        <r>
          <rPr>
            <b/>
            <sz val="8"/>
            <color indexed="58"/>
            <rFont val="Tahoma"/>
            <family val="2"/>
          </rPr>
          <t xml:space="preserve">Please be as specific as possible when describing the Reason for the Variances. Refer to the Guidance Document for additional information.
</t>
        </r>
      </text>
    </comment>
    <comment ref="L34" authorId="0">
      <text>
        <r>
          <rPr>
            <b/>
            <sz val="8"/>
            <color indexed="58"/>
            <rFont val="Tahoma"/>
            <family val="2"/>
          </rPr>
          <t xml:space="preserve">Please be as specific as possible when describing the Reason for the Variances. Refer to the Guidance Document for additional information.
</t>
        </r>
        <r>
          <rPr>
            <sz val="8"/>
            <color indexed="58"/>
            <rFont val="Tahoma"/>
            <family val="2"/>
          </rPr>
          <t xml:space="preserve">
</t>
        </r>
      </text>
    </comment>
    <comment ref="L63" authorId="0">
      <text>
        <r>
          <rPr>
            <b/>
            <sz val="8"/>
            <color indexed="58"/>
            <rFont val="Tahoma"/>
            <family val="2"/>
          </rPr>
          <t xml:space="preserve">Please be as specific as possible when describing the Reason for the Variances. Refer to the Guidance Document for additional information.
</t>
        </r>
        <r>
          <rPr>
            <sz val="8"/>
            <color indexed="58"/>
            <rFont val="Tahoma"/>
            <family val="2"/>
          </rPr>
          <t xml:space="preserve">
</t>
        </r>
      </text>
    </comment>
  </commentList>
</comments>
</file>

<file path=xl/sharedStrings.xml><?xml version="1.0" encoding="utf-8"?>
<sst xmlns="http://schemas.openxmlformats.org/spreadsheetml/2006/main" count="2721" uniqueCount="1276">
  <si>
    <t>Informe Actualizado sobre los progresos y la solicitud de desembolso y Revisión de los progresos en curso y recomendación sobre el desembolso del Agente Local del Fondo</t>
  </si>
  <si>
    <t xml:space="preserve">Para completar este informe, véanse las "Directrices detalladas para completar el Informe Actualizado sobre los progresos y la solicitud de desembolso del Receptor Principal" y la "Revisión de los progresos en curso y recomendación sobre el desembolso" del Agente Local del Fondo. 
</t>
  </si>
  <si>
    <t>pagos del S9</t>
  </si>
  <si>
    <t>Reprogramacion del S6 para ejecutarce en el S7</t>
  </si>
  <si>
    <t>Reprogramacion del S8 a ejecutarce en el S9</t>
  </si>
  <si>
    <t>Compromisos del S8 a ejecutarce en el S9</t>
  </si>
  <si>
    <t>reprogramacion dentro del S7</t>
  </si>
  <si>
    <t>reprogramacion dentro del S8</t>
  </si>
  <si>
    <t>compromisos del S6 a ejecutarce en el s7</t>
  </si>
  <si>
    <t>Reprogramaciones del S7</t>
  </si>
  <si>
    <t>Reprogramacione dentro del S8</t>
  </si>
  <si>
    <t>reprogramacion del S8 a ejecutarce en el S9</t>
  </si>
  <si>
    <t>compromisos del S8 a ejecutarce en el S9</t>
  </si>
  <si>
    <t>Reprogramaciones dentro del S7</t>
  </si>
  <si>
    <t>monto del S6 pagado por anticipado en el s7</t>
  </si>
  <si>
    <t>Reprogramaciones del S8 para ejecutarce en el S9</t>
  </si>
  <si>
    <t>pagos anticipados del S9</t>
  </si>
  <si>
    <t>Diferencia</t>
  </si>
  <si>
    <t>Recalendarizacion del S8 a ejecutarce en el S9</t>
  </si>
  <si>
    <t>Economia del S7</t>
  </si>
  <si>
    <t>Reprogramacion dentro del S7</t>
  </si>
  <si>
    <t>reprogramaciones del S7</t>
  </si>
  <si>
    <t>recalendarizacion del S8 a ejecutarce en el S9</t>
  </si>
  <si>
    <t>reprogramaciones del S8</t>
  </si>
  <si>
    <t>Economias del S8</t>
  </si>
  <si>
    <t>Reprogramacion del S7</t>
  </si>
  <si>
    <t>Reprogramaciones dentro del S8</t>
  </si>
  <si>
    <t>monto descontado en el desembolso del S7 a PNUD</t>
  </si>
  <si>
    <t>reprogramaciones dentro del S8</t>
  </si>
  <si>
    <t>economia del S8</t>
  </si>
  <si>
    <t>compromisos del S7 a ejecutarce en el S8</t>
  </si>
  <si>
    <t>la diferencia en EFR, se debe a pagos anticipado del S9</t>
  </si>
  <si>
    <t>Economia del S8</t>
  </si>
  <si>
    <t>reprogramacioes del S2</t>
  </si>
  <si>
    <t>reprogramaciones del S3</t>
  </si>
  <si>
    <t>economia del S7</t>
  </si>
  <si>
    <t>M&amp;M</t>
  </si>
  <si>
    <t>reprogramacion del S4</t>
  </si>
  <si>
    <t>compromisos del s8 a ejecutarce en el S9</t>
  </si>
  <si>
    <t xml:space="preserve">diferencia en aproximaciones </t>
  </si>
  <si>
    <t>Reprogramacion del S6 ejecutados en el S7</t>
  </si>
  <si>
    <t xml:space="preserve">Reprogramaciones dentro del S8 </t>
  </si>
  <si>
    <t>reprogramaciones dentro del S7</t>
  </si>
  <si>
    <t>recalendarizacion del S8 para el s9</t>
  </si>
  <si>
    <t>Reprogramaciones del S6 a ejecutarce en l S7</t>
  </si>
  <si>
    <t>reprogramacion del S7</t>
  </si>
  <si>
    <t>reprogramaciones dentro del periodo del S8</t>
  </si>
  <si>
    <t>recalendarizacion del S8 para ejecutarce en el s9</t>
  </si>
  <si>
    <t>reprogramacion del periodo anterior del S7</t>
  </si>
  <si>
    <t>Reprogramacion dentro del periodo</t>
  </si>
  <si>
    <t>pago por anticipado del S9</t>
  </si>
  <si>
    <t>reprogramaciones del s8 a ejecutarce en el s9</t>
  </si>
  <si>
    <t>economias del S7</t>
  </si>
  <si>
    <t>12. Living Support to Clients-Target Population (LSCTP)</t>
  </si>
  <si>
    <t>Diferencia en EFR pago anticipado del S9</t>
  </si>
  <si>
    <t>pagos por anticipados del S9</t>
  </si>
  <si>
    <t>reprogramacion del S3 para ejecutarce en S4</t>
  </si>
  <si>
    <t>reprogramacion del S3 para ejecutarce en otras categoria de costos</t>
  </si>
  <si>
    <t>recalendarizacion del s8 a ejecutarce en el s9</t>
  </si>
  <si>
    <t xml:space="preserve">Dra.Elvia Violeta Menjivar </t>
  </si>
  <si>
    <t xml:space="preserve">A lo largo del ciclo de vida de una subvención, el Fondo Mundial efectúa desembolsos periódicos al Receptor Principal (RP) en función del desempeño demostrable del programa y de las necesidades financieras para el siguiente período de ejecución. 
El Informe actualizado sobre los progresos y la solicitud de desembolso del Receptor Principal (en adelante "el Informe Actualizado") es a la vez un informe sobre los progresos realizados durante el último período de la ejecución del programa y una solicitud de fondos para el siguiente período de ejecución. Su objetivo es proporcionar información actualizada sobre los progresos programáticos y financieros de una subvención del Fondo Mundial, así como sobre el cumplimiento de las condiciones previas, medidas de gestión y otros requisitos. El Informe Actualizado constituye, junto a la revisión del mismo a cargo del Agente Local del Fondo (ALF) y la recomendación sobre el desembolso (formulario abreviado: Informe Actualizado verificado por el ALF), la base de la decisión de desembolso del Fondo Mundial, ya que establece una conexión entre el desempeño histórico y previsto de un programa, y el nivel de financiamiento otorgado al Receptor Principal.   
Existe un documento Excel que contiene tanto el Informe Actualizado como ese mismo informe debidamente verificado por el ALF. Los receptores principales (RP) deben completar únicamente las planillas del archivo relativas a este informe (las pestañas de color verde), mientras que los ALF deben completar únicamente las planillas correspondientes al informe verificado por el ALF (las pestañas de color azul). Este archivo Excel también incluye una lista de comprobación como referencia de los documentos justificativos para la revisión del Informe Actualizado (la pestaña de color amarillo). Esta lista figura con fines informativos y no debe ser rellenada. El Receptor Principal de una subvención del Fondo Mundial debe completar el Informe Actualizado correspondiente a cada período que requiere la presentación de tal informe, por lo general con frecuencia trimestral, semestral o anual, con independencia de que esté solicitando o no un desembolso. Se espera del Receptor Principal que presente una vez por año el informe financiero detallado (EFR), en el marco del Informe Actualizado (el archivo Excel incluye una pestaña especial para los informes financieros detallados). 
El Receptor Principal debe presentar al Agente Local del Fondo el Informe Actualizado dentro de los 45 días naturales posteriores a la fecha de conclusión del período que abarca el informe si éste no incluye un informe financiero detallado (como se indica en el Marco de Desempeño del anexo A del acuerdo de subvención) y dentro de los 60 días naturales cuando el informe en cuestión sí contenga un informe financiero detallado (una vez por año).
El ALF debe cumplimentar y presentar una copia firmada del Informe Actualizado verificado por él mismo al Fondo Mundial dentro de los 10 días hábiles de haber recibido del RP la versión final firmada del Informe Actualizado y dentro de los 13 días hábiles en caso de que el Informe Actualizado incluya un informe financiero detallado (EFR), una vez por año, salvo que haya acordado de otro modo con el gerente de portafolio (no es necesario que el ALF presente un original y copias en papel de cada Informe Actualizado. Sin embargo, estos documentos deben estar disponibles en las oficinas del ALF para ser sometidos a auditoría o revisión. El ALF debe asimismo estar preparado en todo momento para presentar estos originales a la Secretaría, a su requerimiento). En este informe, el ALF debe presentar un análisis y observaciones basados en la verificación de la información comunicada por el Receptor Principal, documentar los riesgos detectados en la subvención y formular recomendaciones sobre posibles mejoras en la ejecución de la subvención. Por último, el ALF debe incluir en su informe una calificación del desempeño de la subvención e indicar la suma de desembolso que él recomienda para que el Fondo Mundial la considere. Para definir la calificación del desempeño y recomendar una suma de desembolso, el ALF debe utilizar la Metodología de Calificación de Subvenciones del Fondo Mundial (tal como se describe en el anexo 2 y ha sido comunicada en diversas reuniones regionales y cursos de formación de ALF) junto con la versión Excel de la Herramienta de Calificación de Subvenciones (que se proporcionará a los ALF) para facilitar el cálculo de la calificación por indicador.
</t>
  </si>
  <si>
    <t xml:space="preserve">Una vez cumplimentado este formulario, debe ser presentado (junto con la documentación justificativa) al Agente Local del Fondo, con copia al Fondo Mundial. </t>
  </si>
  <si>
    <t>Informe Actualizado sobre los progresos y solicitud de desembolso</t>
  </si>
  <si>
    <t>Seleccionar</t>
  </si>
  <si>
    <t>AIS (Encuesta indicadores SIDA)</t>
  </si>
  <si>
    <t>BSS (E.comportamental y de vigilancia)</t>
  </si>
  <si>
    <t>INFORMACIÓN GENERAL SOBRE LA SUBVENCIÓN</t>
  </si>
  <si>
    <t>Census</t>
  </si>
  <si>
    <t xml:space="preserve">País: </t>
  </si>
  <si>
    <t>El Salvador</t>
  </si>
  <si>
    <t>Estudios seguimiento clínico cohortes</t>
  </si>
  <si>
    <t>Enfermedad:</t>
  </si>
  <si>
    <t>Tuberculosis</t>
  </si>
  <si>
    <t>DHS/DHS+ (E. demográfica y sanitaria)</t>
  </si>
  <si>
    <t>Número de subvención:</t>
  </si>
  <si>
    <t>SLV-910-G08-T</t>
  </si>
  <si>
    <t>MICS (E. de indicadores múltiples)</t>
  </si>
  <si>
    <t xml:space="preserve">Receptor Principal: </t>
  </si>
  <si>
    <t xml:space="preserve">Ministerio de Salud </t>
  </si>
  <si>
    <t>MIS (E. de indicadores de malaria),</t>
  </si>
  <si>
    <t>Fecha de inicio del programa:</t>
  </si>
  <si>
    <t>WHO Global report/estimates</t>
  </si>
  <si>
    <t>Moneda:</t>
  </si>
  <si>
    <t>USD</t>
  </si>
  <si>
    <t>OMS - Inf. Mundial</t>
  </si>
  <si>
    <t>INFORME ACTUALIZADO SOBRE LOS PROGRESOS</t>
  </si>
  <si>
    <t>other</t>
  </si>
  <si>
    <t>Informe Actualizado sobre los progresos - Período de informe:</t>
  </si>
  <si>
    <t>Ciclo:</t>
  </si>
  <si>
    <t>Semestral</t>
  </si>
  <si>
    <t>Número:</t>
  </si>
  <si>
    <t>Informe Actualizado sobre los progresos - Período cubierto:</t>
  </si>
  <si>
    <t>Fecha de comienzo:</t>
  </si>
  <si>
    <t>Fecha de finalización:</t>
  </si>
  <si>
    <t>Informe Actualizado sobre los progresos - Número</t>
  </si>
  <si>
    <t xml:space="preserve">SOLICITUD DE DESEMBOLSO </t>
  </si>
  <si>
    <t xml:space="preserve">Solicitud de desembolso - Período de desembolso: </t>
  </si>
  <si>
    <t>Solicitud de desembolso - Período cubierto</t>
  </si>
  <si>
    <t>Solicitud de desembolso - Número</t>
  </si>
  <si>
    <t>Sección 1: Progresos programáticos</t>
  </si>
  <si>
    <t xml:space="preserve">Nota: el siguiente cuadro debe contener los indicadores de repercusión/resultados que (1) se deben utilizar en los informes a presentar durante el año en curso de una subvención y (2) en los informes pendientes de años anteriores.  </t>
  </si>
  <si>
    <t>A.  Indicadores de repercusión/resultados</t>
  </si>
  <si>
    <t>Repercusión/resultados</t>
  </si>
  <si>
    <t>Descripción de los indicadores</t>
  </si>
  <si>
    <t>Bases de referencia
(si procede)</t>
  </si>
  <si>
    <t>Año de la meta</t>
  </si>
  <si>
    <t>Meta prevista</t>
  </si>
  <si>
    <t>Fecha de entrega del informe</t>
  </si>
  <si>
    <t>Fuentes de datos sobre resultados</t>
  </si>
  <si>
    <t>Comentarios sobre los resultados de los indicadores de repercusión/resultados y fuentes de datos y cualquier otro comentario</t>
  </si>
  <si>
    <t xml:space="preserve">Valor </t>
  </si>
  <si>
    <t>Año</t>
  </si>
  <si>
    <t>Repercusión</t>
  </si>
  <si>
    <t>Mortalidad de Casos notificados por TB/VIH en 30 Municipios Priorizados.</t>
  </si>
  <si>
    <t>2007</t>
  </si>
  <si>
    <t>Dic 2013</t>
  </si>
  <si>
    <t>Sistema de registro e informes sobre tuberculosis, informes de gestión anuales.</t>
  </si>
  <si>
    <t xml:space="preserve">Tasa de Tuberculosis notificada ( todas las formas) en 30 Municipios Priorizados. </t>
  </si>
  <si>
    <t>36X100,000</t>
  </si>
  <si>
    <t>Sistema de registro e informes sobre tuberculosis, informes trimestrales</t>
  </si>
  <si>
    <t>Tasa de notificación de tuberculosis baciloscopía positiva en 30 Municipios Priorizados</t>
  </si>
  <si>
    <t>17.9X100,000</t>
  </si>
  <si>
    <t>2011</t>
  </si>
  <si>
    <t>Sistema de registro e informes sobre tuberculosis, informes trimestrales.</t>
  </si>
  <si>
    <t>Oct 2013</t>
  </si>
  <si>
    <t>&lt;1%</t>
  </si>
  <si>
    <t>Informe de Registros Nacionales de MDR TB</t>
  </si>
  <si>
    <t xml:space="preserve">Éxito del tratamiento: nuevos casos de tuberculosis con frotis positivo de los 30 Municipios Priorizados. </t>
  </si>
  <si>
    <t>Éxito del tratamiento: Casos de MDR-tuberculosis confirmados bacteriologicamente de los 30 Municipios Priorizados.</t>
  </si>
  <si>
    <t xml:space="preserve">Informe Actualizado sobre los progresos y solicitud de desembolso </t>
  </si>
  <si>
    <t>PERÍODO DEL INFORME Actualizado SOBRE LOS PROGRESOS</t>
  </si>
  <si>
    <t xml:space="preserve">Número de subvención: </t>
  </si>
  <si>
    <t>Ciclo</t>
  </si>
  <si>
    <t xml:space="preserve">Informe Actualizado sobre los progresos - Período cubierto: </t>
  </si>
  <si>
    <t xml:space="preserve">Fecha de finalización: </t>
  </si>
  <si>
    <t xml:space="preserve">Nota: todos los indicadores incluidos en el presente Marco de Desempeño deben ser enumerados, independientemente de que se trate de metas/resultados correspondientes al período cubierto por el Informe Actualizado sobre los progresos o de metas que hayan sido alcanzadas en períodos anteriores.  </t>
  </si>
  <si>
    <t>B.  Indicadores programáticos</t>
  </si>
  <si>
    <t xml:space="preserve">Número de objetivo </t>
  </si>
  <si>
    <t xml:space="preserve">* Número de indicador </t>
  </si>
  <si>
    <t xml:space="preserve"> Vinculado a</t>
  </si>
  <si>
    <t>¿Metas acumulativas?</t>
  </si>
  <si>
    <t>¿10 Indicadores Principales?</t>
  </si>
  <si>
    <t>Meta prevista a la fecha</t>
  </si>
  <si>
    <t>% de logros (calcular cuando corresponda)</t>
  </si>
  <si>
    <t>Motivo de las desviaciones programáticas en relación a las metas previstas y de las desviaciones de las actividades del plan de trabajo relacionadas</t>
  </si>
  <si>
    <t>Valor</t>
  </si>
  <si>
    <t>Casos nuevos de tuberculosis Bk (+) captados directamente y/o referidos por la comunidad de los 30 Municipios Priorizados a servicios de diagnostico (número y porcentaje)</t>
  </si>
  <si>
    <t>Subvención actual</t>
  </si>
  <si>
    <t>Sí acumuladas anualmente</t>
  </si>
  <si>
    <t xml:space="preserve">No </t>
  </si>
  <si>
    <t>31/477 (6.5%)</t>
  </si>
  <si>
    <t>Pacientes gestionados (atendidos) por la comunidad de los 30 Municipios Priorizados durante el tratamiento (número y porcentaje)</t>
  </si>
  <si>
    <t xml:space="preserve">Sí - 10 más importantes </t>
  </si>
  <si>
    <t>123/826 (14.9%)</t>
  </si>
  <si>
    <t>Centros privados/públicos externos al programa PNT y que participan en actividades del sistema DOTS siguiendo las normas internacionales para la atención a los enfermos de tuberculosis (ISTC) entre todos los previstos en los 30 Municipios (número y porcentaje)</t>
  </si>
  <si>
    <t>228/770 (29.6%)</t>
  </si>
  <si>
    <t>Programa Nacional</t>
  </si>
  <si>
    <t>Numero de casos de tuberculosis (Baciloscopias positivas) notificados a las autoridades nacionales</t>
  </si>
  <si>
    <t>Nuevos casos de tuberculosis con frotis positivo tratados con éxito (curados y completado tratamiento) entre todos los nuevos casos de tuberculosis con frotis positivo notificados a las autoridades nacionales (numero)</t>
  </si>
  <si>
    <t>434/477 (91.0%)</t>
  </si>
  <si>
    <t>Número de casos nuevos de TB (todas las formas) notificados en prisiones al PNT</t>
  </si>
  <si>
    <t xml:space="preserve">Tasa de éxito del tratamiento para casos de tuberculosis con BK+ recientemente diagnosticados detectados en cárceles </t>
  </si>
  <si>
    <t>120/125 (96.0%)</t>
  </si>
  <si>
    <t>Pacientes con TB registrados que se han realizado pruebas del VIH (antes y durante el tratamiento para la TB) expresados en proporción del número total de todos los casos de TB registrados (número y porcentaje)</t>
  </si>
  <si>
    <t>813/834 (97.5%)</t>
  </si>
  <si>
    <t>Numero y Porcentaje de adultos y niños inscritos en el Programa del VIH, que se sometieron a pruebas de la TB y se registro dicha información durante su ultima visita durante el periodo de reporte, de entre todos los adultos y niños inscritos en el programa VIH y atendidos durante el periodo de notificación.</t>
  </si>
  <si>
    <t>1058/1188 (89.1%)</t>
  </si>
  <si>
    <t>Numero y porcentaje de PVS que a los que se les descarto tuberculosis e inician quimioprofilaxis con INH.</t>
  </si>
  <si>
    <t>983/1058 (92.9%)</t>
  </si>
  <si>
    <t>Numero y Porcentaje de PVS con tuberculosis que iniciaron o continúan TAR durante o al final del tratamiento de la tuberculosis entre todos las PVS con tuberculosis registrados durante el periodo que se examina.</t>
  </si>
  <si>
    <t>No -no acumuladas</t>
  </si>
  <si>
    <t>117/180 (65.0%)</t>
  </si>
  <si>
    <t>2010</t>
  </si>
  <si>
    <t xml:space="preserve">Porcentaje de contactos examinados de los contactos registrados.  </t>
  </si>
  <si>
    <t>3279/3534 (92.8%)</t>
  </si>
  <si>
    <t>Porcentaje de pacientes con sospecha de resistencia examinados</t>
  </si>
  <si>
    <t>11/11 (100%)</t>
  </si>
  <si>
    <t>Numero y Porcentaje de casos de TB-MR que han iniciado un tratamiento contra la tuberculosis de segunda línea y que tienen un cultivo negativo al final de los seis meses de tratamiento durante el periodo de valoración especificado.</t>
  </si>
  <si>
    <t>3/3  (100%)</t>
  </si>
  <si>
    <t>Tasa de éxito del tratamiento para casos de MDR-confirmados bacteriológicamente entre todos los casos de MDR-TB registrados en tratamiento durante un período de tiempo específico</t>
  </si>
  <si>
    <t>1 / 2  (50%)</t>
  </si>
  <si>
    <r>
      <t xml:space="preserve">C. Análisis de las cuestiones relacionadas con la calidad de los datos y la presentación de informes. 
</t>
    </r>
    <r>
      <rPr>
        <b/>
        <sz val="13"/>
        <color indexed="12"/>
        <rFont val="Arial"/>
        <family val="2"/>
      </rPr>
      <t>(!)</t>
    </r>
    <r>
      <rPr>
        <sz val="13"/>
        <color indexed="12"/>
        <rFont val="Arial"/>
        <family val="2"/>
      </rPr>
      <t xml:space="preserve"> </t>
    </r>
    <r>
      <rPr>
        <sz val="13"/>
        <rFont val="Arial"/>
        <family val="2"/>
      </rPr>
      <t xml:space="preserve">Esta sección debe contener: 1) un resumen de las cuestiones relacionadas con la calidad de los datos y la presentación de informes sobre indicadores programáticos y cualquier otro asunto de importancia que no se mencione en "Motivos de las desviaciones programáticas"; y 2) las medidas correctivas que se están llevando a cabo o que se han previsto para remediar estas cuestiones. </t>
    </r>
  </si>
  <si>
    <t>PERÍODO DE INFORME ACTUALIZADO SOBRE LOS PROGRESOS</t>
  </si>
  <si>
    <t>Informe Actualizado sobre los progresos - Número:</t>
  </si>
  <si>
    <t>Sección 2: Gestión de la Subvención</t>
  </si>
  <si>
    <t>A. COMENTARIOS DEL RP SOBRE EL CUMPLIMENTO DE LAS CONDICIONES PREVIAS Y/O CONDICIONES ESPECIALES EN EL MARCO DEL ACUERDO DE SUBVENCIÓN</t>
  </si>
  <si>
    <r>
      <t xml:space="preserve">! </t>
    </r>
    <r>
      <rPr>
        <sz val="12"/>
        <rFont val="Arial"/>
        <family val="2"/>
      </rPr>
      <t xml:space="preserve">Sírvase incluir en este cuadro el número de condición previa según el Acuerdo de Subvención y el texto completo de las condiciones previas y/u otras condiciones especiales a cumplir durante este período o pendientes de períodos anteriores.    </t>
    </r>
    <r>
      <rPr>
        <sz val="12"/>
        <color indexed="12"/>
        <rFont val="Arial"/>
        <family val="2"/>
      </rPr>
      <t xml:space="preserve">                                                                                                                                                                                                                                                            
! </t>
    </r>
    <r>
      <rPr>
        <sz val="12"/>
        <rFont val="Arial"/>
        <family val="2"/>
      </rPr>
      <t xml:space="preserve">Algunas condiciones especiales pueden ser aplicadas en más de un período de ejecución de la subvención. Su cumplimiento durante un período no implica automáticamente el cumplimiento en períodos posteriores. El ALF debe verificar que el RP informe sobre el estado de dichas condiciones en cada período considerado.  </t>
    </r>
  </si>
  <si>
    <t>Estado</t>
  </si>
  <si>
    <t>Comentarios del RP sobre los progresos en la ejecución</t>
  </si>
  <si>
    <t xml:space="preserve">a. El  Receptor Principal facilitará al Fondo Mundial,  un documento confirmando  la cuenta bancaria en la que los fondos de subvención se  desembolsarán según se indica en la casilla 10 de la hoja o caratula del acuerdo de subvención. </t>
  </si>
  <si>
    <t>Cumplidas</t>
  </si>
  <si>
    <t xml:space="preserve">Cumplido y se  adjunto Grant Performance Report en  reporte anterior, página 4. </t>
  </si>
  <si>
    <t>b. El Receptor Principal entregará al Fondo Mundial un documento en el que constan los nombres, títulos y firmas de las personas delegadas y autorizadas  por el Representante del Beneficiario Principal para firmar las solicitudes de  desembolso, según el artículo 10 de la Norma Términos y condiciones del presente en el Acuerdo de Subvención y, en el caso de una solicitud de desembolso puede ser firmada por más de una persona, en las condiciones en las que cada uno puede firmar.</t>
  </si>
  <si>
    <t xml:space="preserve">Cumplido y adjunto Grant Performance Report, página 4. </t>
  </si>
  <si>
    <t>No más tarde del 31 de octubre de 2010, el Beneficiario Principal proporcionará al Mundial Fondo la actualización Manual de Operaciones para Proyectos del Fondo Mundial ("Manual de Gestión Administrativa-Financiera Proyecto Fondo Global "), en forma y contenido satisfactorios para el Fondo Mundial (el "Manual de Operaciones"). El Manual de Operaciones será aplicable a todas las subvenciones del Fondo Mundial para el cual el Ministerio de Salud del Gobierno de la República de El  Salvador.En el Manual de Operaciones deberá reflejar con precisión los actuales procedimientos del Fondo Mundial y especificar que para las compras por arriba de US $ 500 (Quinientos Dólares de Estados Unidos) se deberá solicitar y evaluar con un mínimo de tres cotizaciones.</t>
  </si>
  <si>
    <t xml:space="preserve">Aprobado en correo de Pílar Velásquez el 8 de Febrero 2011. Adjunto correo de respaldo. </t>
  </si>
  <si>
    <t>CP1: a) Plan detallado de Tuberculosis Resistente a Múltiples Fármacos (MDR-TB).</t>
  </si>
  <si>
    <t>CP1: b) Para cada desembolso que incluya fondos destinados a la compra de MDR-TB, entregar cotización (pro - forma invoice) emitida por un Agente procurador delegado por el Comité de Luz Verde.</t>
  </si>
  <si>
    <t>Select</t>
  </si>
  <si>
    <t>CS2: b) No se utilizaran reprogramaciones para financiar la absorción de recursos humanos por parte del RP.</t>
  </si>
  <si>
    <t>Se sigue lineamiento por parte del FM.</t>
  </si>
  <si>
    <t>B. REVISIÓN DEL RP SOBRE LOS PROGRESOS EN LA EJECUCIÓN DE MEDIDAS DE GESTIÓN PENDIENTES DE DESEMBOLSOS ANTERIORES</t>
  </si>
  <si>
    <t>Presupuesto acumulativo durante el período del Informe sobre los progresos</t>
  </si>
  <si>
    <t xml:space="preserve">Salida real acumulativa de efectivo durante el período del Informe sobre los progresos </t>
  </si>
  <si>
    <t>1. Salida total de efectivo del RP frente al presupuesto</t>
  </si>
  <si>
    <t xml:space="preserve">    1a. Gastos totales del RP</t>
  </si>
  <si>
    <t>LFA has debriefed the Principal Recipient on the key findings (comment on the format of this debriefing)</t>
  </si>
  <si>
    <t>NB: Please ensure that section 7C Bank Details on the following page is completed  if (1) this is a split disbursement (i.e. disbursement going to more than one recipient) or (2) if there have been changes to the bank details since the previous disbursement.</t>
  </si>
  <si>
    <t>D.  Summary of the LFA's approach used for verification of financial, programmatic and procurement data and Quality Assurance undertaken by the LFA</t>
  </si>
  <si>
    <t>In this section the LFA should indicate, as applicable, what percentage of expenditures was verified at PR level, if any expenditures were verified at SR level, how many site visits were made, what tender documentation was verified, and any other material parts of verification procedures in line with the verification approach agreed upfront between the LFA and GF Secretariat based on country/grant risks.  As a good practice, the verification approach needs to be reviewed jointly by the LFA and the Secretariat annually.</t>
  </si>
  <si>
    <t>NB: The LFA should sign a printed version of the verified PU/DR and send it to the Secretariat as a pdf file by email, or include an electronic signature in the Excel file to be submitted to the Global Fund.</t>
  </si>
  <si>
    <t>Note for LFAs: This page should be completed by the PR if (1) this is a split disbursement (i.e. disbursement going to more than one recipient) or (2) if there have been changes to the bank details since the previous disbursement.  The amounts and bank details below are displayed as entered by the PR.  If any of this information is incorrect, please correct them by overwriting with correct information.</t>
  </si>
  <si>
    <t xml:space="preserve">7C:  LFA-verified Bank Account Details </t>
  </si>
  <si>
    <t>Disbursement Request Period</t>
  </si>
  <si>
    <t>Summary</t>
  </si>
  <si>
    <t>Beneficiary Name</t>
  </si>
  <si>
    <t>Amount in grant currency</t>
  </si>
  <si>
    <t>Payee 1 - Principal Recipient:</t>
  </si>
  <si>
    <t>Payee 2:</t>
  </si>
  <si>
    <t>Payee 3:</t>
  </si>
  <si>
    <t>Payee 4:</t>
  </si>
  <si>
    <t>Payee 1:</t>
  </si>
  <si>
    <t>Beneficiary Name:</t>
  </si>
  <si>
    <t>Owner of Bank Account:</t>
  </si>
  <si>
    <r>
      <t xml:space="preserve">Currency
</t>
    </r>
    <r>
      <rPr>
        <sz val="10"/>
        <rFont val="Arial"/>
        <family val="2"/>
      </rPr>
      <t>in which beneficiary should receive the funds</t>
    </r>
  </si>
  <si>
    <t>Amount in currency in which beneficiary
should receive the funds:</t>
  </si>
  <si>
    <t>Bank Account Number:</t>
  </si>
  <si>
    <t>Amount in Words:</t>
  </si>
  <si>
    <t>Bank Address</t>
  </si>
  <si>
    <r>
      <t xml:space="preserve">Exchange rate, date and source
</t>
    </r>
    <r>
      <rPr>
        <sz val="10"/>
        <rFont val="Arial"/>
        <family val="2"/>
      </rPr>
      <t>(Complete only if currency in which beneficiary should receive the funds is different from the grant currency)</t>
    </r>
  </si>
  <si>
    <t>Bank SWIFT Code:</t>
  </si>
  <si>
    <r>
      <t xml:space="preserve">Equivalent in grant currency 
</t>
    </r>
    <r>
      <rPr>
        <sz val="10"/>
        <rFont val="Arial"/>
        <family val="2"/>
      </rPr>
      <t>(Calculated based on the indicated exchange rate)</t>
    </r>
  </si>
  <si>
    <t>Bank Code (Other):</t>
  </si>
  <si>
    <t>Routing Instructions:</t>
  </si>
  <si>
    <r>
      <t xml:space="preserve">Annex to PU/DR - LFA-reviewed Sub-recipient financial information 
</t>
    </r>
    <r>
      <rPr>
        <b/>
        <sz val="14"/>
        <color indexed="12"/>
        <rFont val="Arial"/>
        <family val="2"/>
      </rPr>
      <t xml:space="preserve">! Completion of this table by the PR and verification by the LFA are </t>
    </r>
    <r>
      <rPr>
        <b/>
        <u val="single"/>
        <sz val="14"/>
        <color indexed="12"/>
        <rFont val="Arial"/>
        <family val="2"/>
      </rPr>
      <t>discretionary</t>
    </r>
    <r>
      <rPr>
        <b/>
        <sz val="14"/>
        <color indexed="12"/>
        <rFont val="Arial"/>
        <family val="2"/>
      </rPr>
      <t>, and should be done upon the Secretariat's request.</t>
    </r>
  </si>
  <si>
    <t>Note for LFAs: The information below is displayed as entered by the PR.  If any of this information is incorrect, please correct them by overwriting with correct information.</t>
  </si>
  <si>
    <t>Name of Entity</t>
  </si>
  <si>
    <t>Date of Most Recent Disbursement to SR</t>
  </si>
  <si>
    <t>Disbursed during Reporting Period*</t>
  </si>
  <si>
    <t>Cumulative Budget through period of Progress Update*</t>
  </si>
  <si>
    <t>Cumulative Disbursed through period of Progress Update*</t>
  </si>
  <si>
    <t>Cumulative Actual Expenditure through period covered by this Progress Update</t>
  </si>
  <si>
    <t>Cash balance at the end of the period covered by this Progress Update</t>
  </si>
  <si>
    <t xml:space="preserve">Variance between Latest Cumulative Expenditure Reported and Cumulative Budget </t>
  </si>
  <si>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</si>
  <si>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LFA Comments on the PR's overall verification efforts of SR expenditure and the explanations of variance provided</t>
  </si>
  <si>
    <t>Latest Cumulative Actual Expenditure (as per most recent SR reports available at PR level)</t>
  </si>
  <si>
    <t>End date of period covered in most recent SR report</t>
  </si>
  <si>
    <t>PR's explanation of variance (mandatory for amounts above $50,000 and with more than 10% variance)</t>
  </si>
  <si>
    <t>*TOTAL amount for these columns should reconcile with relevant amounts under "1b Disbursed to Sub Recipients" in Section 3A"</t>
  </si>
  <si>
    <t>El monto de (+) $ 5,748.80 corresponde al complemento de medicamento de segunda linea aprobado por el FG
(+) $ 8,169.06 corresponde a complemento de medicamento 2da lineas del S7
(-) $ 1.00 diferencia en aproximaciones</t>
  </si>
  <si>
    <t>La diferencia se detalla asi:
(+) $ 10,748.50 monto que corresponde al reintegro del PNUD del  y que se utiliso en el S7 para complementar la compra de PPD
(-)$ 19,600.00 monot total que se resto del tercer desembolso al PNUD en el tercer desembolso para compras de PPD a traves de OPS.
(+) $ 40.00 Compromisos del S7 ejecutado en el S7
(-) $ 8.00 economia del S7
(+) $ 1.50 difererncia en aproximaciones</t>
  </si>
  <si>
    <t>** Where the number of SRs is significant (over 10), SRs with small budgets (less than $50,000 or EUR equivalent cumulative each) do not need to be reported separately and the figures can be aggregated in a group called "Other Minor SRs"</t>
  </si>
  <si>
    <t>Annex 1</t>
  </si>
  <si>
    <t>Use these worksheets to provide more detailed information on EFR variances if necessary</t>
  </si>
  <si>
    <t>Recursos humanos</t>
  </si>
  <si>
    <t>Economia del S6</t>
  </si>
  <si>
    <t>Diferencia en EFR</t>
  </si>
  <si>
    <t>Capacitación</t>
  </si>
  <si>
    <t>Costos de la gestión de adquisiciones y suministros</t>
  </si>
  <si>
    <t>diferencia en EFR</t>
  </si>
  <si>
    <t>Infraestructura y otros equipos</t>
  </si>
  <si>
    <t>recalendarizacion</t>
  </si>
  <si>
    <t>Materiales de comunicación</t>
  </si>
  <si>
    <t>Diferencia en aproximaciones</t>
  </si>
  <si>
    <t>Monitoreo y evaluación</t>
  </si>
  <si>
    <t>Planificación y administración</t>
  </si>
  <si>
    <t>compromisos del S5 para ejecutarce en S6</t>
  </si>
  <si>
    <t>Total variacion en EFR</t>
  </si>
  <si>
    <t>ACUMULADO</t>
  </si>
  <si>
    <t>compromisos del S3</t>
  </si>
  <si>
    <t>Reprogramaciones el S2</t>
  </si>
  <si>
    <t>ecomomias del S3</t>
  </si>
  <si>
    <t>Reprogramaciones el S3</t>
  </si>
  <si>
    <t>Economia del S4</t>
  </si>
  <si>
    <t>Reprogramacion del S5</t>
  </si>
  <si>
    <t>Economia del S5</t>
  </si>
  <si>
    <t>compromisos del S4</t>
  </si>
  <si>
    <t>Asistencia técnica</t>
  </si>
  <si>
    <t>Compromisos del S3</t>
  </si>
  <si>
    <t>Reprogramaciones del S2</t>
  </si>
  <si>
    <t>Reprogramaciones del S3 para ser ejecutados en S4</t>
  </si>
  <si>
    <t>Monto que a sido cargado para se utilizados en otras actividades</t>
  </si>
  <si>
    <t>Corresponde a los compromisos del S3 que fueron ejecutados en S4</t>
  </si>
  <si>
    <t>economia del S1</t>
  </si>
  <si>
    <t>economia del S3</t>
  </si>
  <si>
    <t>economia del S4</t>
  </si>
  <si>
    <t>reprogramaciones dentro del S4</t>
  </si>
  <si>
    <t>economia del S5</t>
  </si>
  <si>
    <t>reprogramaciones dentro del S5</t>
  </si>
  <si>
    <t>economia del S6</t>
  </si>
  <si>
    <t>monto que fue aprobado por el FG. Para año 3 compra de medicamentos de segunda linea</t>
  </si>
  <si>
    <t>Reprogramaciones del S3 para Ejecutarce en S4</t>
  </si>
  <si>
    <t>reprogramacion del S6 a ejecutarce en el S7</t>
  </si>
  <si>
    <t>Diferencia por Aproximaciones</t>
  </si>
  <si>
    <t xml:space="preserve">recalendarizacion del S3 </t>
  </si>
  <si>
    <t>recalendarizacion del S4</t>
  </si>
  <si>
    <t>Economias S1</t>
  </si>
  <si>
    <t>Economias S3</t>
  </si>
  <si>
    <t>Economias S4</t>
  </si>
  <si>
    <t>reprogramaciones dentro del S4 para ser utilizado en otra categoria de gastos</t>
  </si>
  <si>
    <t>Diferencia en aproximacion</t>
  </si>
  <si>
    <t>reprogramaciones del S4</t>
  </si>
  <si>
    <t>Compromisos del S4</t>
  </si>
  <si>
    <t>economias del S1</t>
  </si>
  <si>
    <t>economias del S3</t>
  </si>
  <si>
    <t>economias del S4</t>
  </si>
  <si>
    <t>reprogramacion del s2</t>
  </si>
  <si>
    <t>reprogramacion del S5</t>
  </si>
  <si>
    <t>Diferencia EFR</t>
  </si>
  <si>
    <t>economias del s1</t>
  </si>
  <si>
    <t>economias del s3</t>
  </si>
  <si>
    <t>economias del s4</t>
  </si>
  <si>
    <t>reprogramaciones del s2</t>
  </si>
  <si>
    <t>PPM</t>
  </si>
  <si>
    <t>reprogramacion del periodo</t>
  </si>
  <si>
    <t>pago anticipado del S7</t>
  </si>
  <si>
    <t>M &amp; E</t>
  </si>
  <si>
    <t>reprogramaciones dentro del S6</t>
  </si>
  <si>
    <t>reprogramaciones del S5 a ejecutarce en el S6</t>
  </si>
  <si>
    <t>reprogramacion dentro del S6</t>
  </si>
  <si>
    <t>recalendarizacion del S5 para el S6</t>
  </si>
  <si>
    <t>Economias del S5</t>
  </si>
  <si>
    <t>compromisos del S3 ejecutados en el s4</t>
  </si>
  <si>
    <t>Monto del S2 reprogramado para el S3</t>
  </si>
  <si>
    <t>M &amp; M</t>
  </si>
  <si>
    <t>Economias del S4</t>
  </si>
  <si>
    <t>Economias del S1</t>
  </si>
  <si>
    <t>Reprogramaciones del S1</t>
  </si>
  <si>
    <t>Reprogramaciones del S4</t>
  </si>
  <si>
    <t>compromsiso del S4 para se rejecutado en el S5</t>
  </si>
  <si>
    <t>reprogramaciones  S4</t>
  </si>
  <si>
    <t>reprogramacion del S3</t>
  </si>
  <si>
    <t>compromisos del S4 a ejecutarce en el S5</t>
  </si>
  <si>
    <t>Compromisos S3</t>
  </si>
  <si>
    <t>Monto que ha sido cargado para ser utilizado en otras actividades</t>
  </si>
  <si>
    <t>Reprogramacion del S3 para ser Ejecutado en S4</t>
  </si>
  <si>
    <t>Economias del S3</t>
  </si>
  <si>
    <t>Reprogramaciones del S2 para ser Ejecutados en el S3</t>
  </si>
  <si>
    <t>compromisos del S3 que fueron ejecutados en el S4</t>
  </si>
  <si>
    <t>Total Variacion En EFR</t>
  </si>
  <si>
    <t>Compromisos S4</t>
  </si>
  <si>
    <t>Economia S1</t>
  </si>
  <si>
    <t>Reprogramaciones del S2 para ser Ejecutado en S3</t>
  </si>
  <si>
    <t>Economia S3</t>
  </si>
  <si>
    <t>Reprogramacion del S2</t>
  </si>
  <si>
    <t>Economia del S3</t>
  </si>
  <si>
    <t>reprogramacion del S1</t>
  </si>
  <si>
    <t>reprogramacion del S2</t>
  </si>
  <si>
    <t>Reprogramacion del S2 para ser ejecutado en el S3</t>
  </si>
  <si>
    <t>Reprogramacion del S3 para ser ejecutado en S4</t>
  </si>
  <si>
    <t>Monto que ha sido cargado para ser utilizado en otra actividad</t>
  </si>
  <si>
    <t>Reprogramaciones del S2 para ser ejecutado en S3</t>
  </si>
  <si>
    <t>Reprogramaciones del S3 para ser ejecutado en S4</t>
  </si>
  <si>
    <t>Economia del S1</t>
  </si>
  <si>
    <t>economias del S5</t>
  </si>
  <si>
    <t>Reprogramaciones del S3 para ser ejecutado en el S4</t>
  </si>
  <si>
    <t>Reprogramacion del S3 para ser ejecutado en el S4</t>
  </si>
  <si>
    <t>Monto no desembolsado por el Fondo Global en el S2</t>
  </si>
  <si>
    <t>Economia del s4</t>
  </si>
  <si>
    <t>Economia S4</t>
  </si>
  <si>
    <t>Reprogramacion del S2 para ser ejecutado en S3</t>
  </si>
  <si>
    <t>compromisos del S4 àra ser ejecutado en S5</t>
  </si>
  <si>
    <t>Reprogramaciones del S3 para ser ejecutada en otra APS</t>
  </si>
  <si>
    <t xml:space="preserve">Reprogramacion del S2 </t>
  </si>
  <si>
    <t>monto que a sido cargado para ser utilizado en otras actividades del S2</t>
  </si>
  <si>
    <t>monto que a sido cargado para ser utilizado en otras actividades del S1</t>
  </si>
  <si>
    <t>corresponde a compromisos del S3 ejecutados en el S4</t>
  </si>
  <si>
    <t>Difererncia en Aproximaciones</t>
  </si>
  <si>
    <t>Service Delivery Areas</t>
  </si>
  <si>
    <t>Impact Indicators</t>
  </si>
  <si>
    <t>IndicatorTypes</t>
  </si>
  <si>
    <t>Outcome Indicators</t>
  </si>
  <si>
    <t>DataSources</t>
  </si>
  <si>
    <t>Please select…</t>
  </si>
  <si>
    <t>Prevention: Behavioral Change Communication - Mass media</t>
  </si>
  <si>
    <t xml:space="preserve">% of young women and men aged 15-24 who are HIV infected </t>
  </si>
  <si>
    <t>impact</t>
  </si>
  <si>
    <t xml:space="preserve">% of young people aged 15-24 who had sex with more than one partner in the last year </t>
  </si>
  <si>
    <t>National Health Accounts</t>
  </si>
  <si>
    <t>Please enter a corresponding indicator here…</t>
  </si>
  <si>
    <t>Please select disease and Impact/Outcome first</t>
  </si>
  <si>
    <t>Prevention: Behavioral Change Communication - community outreach</t>
  </si>
  <si>
    <t xml:space="preserve">% of adults aged 15-49 who are HIV infected </t>
  </si>
  <si>
    <t>outcome</t>
  </si>
  <si>
    <t xml:space="preserve">% of young people aged 15-19 who have never had sex </t>
  </si>
  <si>
    <t>DHS/DHS+ (Demographic and Health Survey)</t>
  </si>
  <si>
    <t>Please enter a data source here…</t>
  </si>
  <si>
    <t>Prevention: Condom distribution</t>
  </si>
  <si>
    <t xml:space="preserve">% of adults and children with HIV still alive 12 months after initiation of antiretroviral therapy (extend to 2, 3, 5 years as program matures) </t>
  </si>
  <si>
    <t>% of young people aged 15-24 who never had sex in the last year of those who ever had sex</t>
  </si>
  <si>
    <t>MICS (Multiple Indicator Cluster Survey)</t>
  </si>
  <si>
    <t>Please enter a SDA here…</t>
  </si>
  <si>
    <t xml:space="preserve">Prevention: Counseling and Testing </t>
  </si>
  <si>
    <t xml:space="preserve">% of infants born to HIV infected mothers who are infected </t>
  </si>
  <si>
    <t xml:space="preserve">% of young people aged 15-24 reporting the consistent use of a condom with non-regular sexual partners in the last year </t>
  </si>
  <si>
    <t>AIS (AIDS Indicator Survey)</t>
  </si>
  <si>
    <t>Prevention: PMTCT</t>
  </si>
  <si>
    <t xml:space="preserve">% of most-at-risk population(s) (sex workers, clients of sex workers, men who have sex with men, injecting drug users) who are HIV infected </t>
  </si>
  <si>
    <t xml:space="preserve">% of young women and men who had sex before the age of 15 </t>
  </si>
  <si>
    <t>SAMS (Service Availibility Mapping Survey)</t>
  </si>
  <si>
    <t>Prevention: Post-exposure prophylaxis (PEP)</t>
  </si>
  <si>
    <t>% of HIV seroprevalence among all newly registered TB patients</t>
  </si>
  <si>
    <t xml:space="preserve">% of adults and children who are still on treatment after 6 months, 1, 2, 3, 5 years from the initiation of treatment </t>
  </si>
  <si>
    <t>BSS (Behavioral and Surveillance Survey)</t>
  </si>
  <si>
    <t>Prevention: STI diagnosis and treatment</t>
  </si>
  <si>
    <t xml:space="preserve">% of injecting drug users who have adopted behaviors that reduce transmission of HIV. </t>
  </si>
  <si>
    <t>Sentinel surveillance</t>
  </si>
  <si>
    <t>Prevention: Blood safety and universal precaution</t>
  </si>
  <si>
    <t xml:space="preserve">% of orphaned children compared to non-orphaned children aged 10-14 who are currently attending school </t>
  </si>
  <si>
    <t>Serological surveys</t>
  </si>
  <si>
    <t>Treatment: Antiretroviral treatment (ARV) and monitoring</t>
  </si>
  <si>
    <t xml:space="preserve">% of young people aged 15-24 reporting the use of a condom the last time they had sex with a non-regular sexual partner </t>
  </si>
  <si>
    <t>Prevalence surveys</t>
  </si>
  <si>
    <t>Treatment: Prophylaxis and treatment for opportunistic infections</t>
  </si>
  <si>
    <t xml:space="preserve">% of people expressing accepting attitudes towards PLWHA, of all people surveyed aged 15-49 </t>
  </si>
  <si>
    <t xml:space="preserve">Facility-based survey </t>
  </si>
  <si>
    <t>Care and support: Care and support for the chronically ill</t>
  </si>
  <si>
    <t xml:space="preserve">% of female sex workers reporting the use of a condom with every client in the last month </t>
  </si>
  <si>
    <t>Key informant survey</t>
  </si>
  <si>
    <t>Care and support: Support for orphans and vulnerable children</t>
  </si>
  <si>
    <t xml:space="preserve">% of men who have had sex with a female sex worker in the last year </t>
  </si>
  <si>
    <t>Specific surveys (to be defined)</t>
  </si>
  <si>
    <t xml:space="preserve">TB/HIV collaborative activities: HIV care and support for HIV-positive TB patients </t>
  </si>
  <si>
    <t>TB/HIV collaborative activities: Intensified case-finding among PLWHA</t>
  </si>
  <si>
    <t xml:space="preserve">% of men reporting the use of condom the last time they had anal sex with a male partner in the last 6 months </t>
  </si>
  <si>
    <t xml:space="preserve">Civil registration systems (vital/disease specific registration) </t>
  </si>
  <si>
    <t>Supportive environment: Policy development including workplace policy</t>
  </si>
  <si>
    <t>TB/HIV collaborative activities: Prevention of TB disease in PLWHA</t>
  </si>
  <si>
    <t xml:space="preserve">Supportive environment: Strengthening of civil society and institutional capacity building </t>
  </si>
  <si>
    <t>TB/HIV collaborative activities: Prevention of HIV in TB patients</t>
  </si>
  <si>
    <t>Health service statistics</t>
  </si>
  <si>
    <t>Supportive environment: Stigma reduction in all settings</t>
  </si>
  <si>
    <t>TB/HIV collaborative activities: Prevention of opportunistic infections in PLWHA with TB</t>
  </si>
  <si>
    <t>Patient register</t>
  </si>
  <si>
    <t xml:space="preserve">Clinical cohort follow-up studies </t>
  </si>
  <si>
    <t>HSS: Service delivery</t>
  </si>
  <si>
    <t>TB/HIV collaborative activities: Provision of antiretroviral treatment for TB patients during TB treatment</t>
  </si>
  <si>
    <t>Community services assessment</t>
  </si>
  <si>
    <t>HSS: Human resources</t>
  </si>
  <si>
    <t>HSS: PAL (Practical Approach to Lung Health)</t>
  </si>
  <si>
    <t>Records: laboratory, patient (e.g. treatment cards), training, certification, other (to be specified)</t>
  </si>
  <si>
    <t>HSS: Community Systems Strengthening</t>
  </si>
  <si>
    <t>Operational research</t>
  </si>
  <si>
    <t>HSS: Information system &amp; Operational research</t>
  </si>
  <si>
    <t>HSS: Infrastructure</t>
  </si>
  <si>
    <t>HSS: Procurement and Supply management</t>
  </si>
  <si>
    <t>HSS: Other, specify</t>
  </si>
  <si>
    <t>please select…</t>
  </si>
  <si>
    <t>TB prevalence rate</t>
  </si>
  <si>
    <t>Case detection</t>
  </si>
  <si>
    <t>TB incidence rate</t>
  </si>
  <si>
    <t>Treatment success rate</t>
  </si>
  <si>
    <t>TB mortality rate</t>
  </si>
  <si>
    <t>Smear conversion rate</t>
  </si>
  <si>
    <t>HSS (beyond TB)</t>
  </si>
  <si>
    <t>PAL (Practical Approach to Lung Health)</t>
  </si>
  <si>
    <t>Programme-based operational research</t>
  </si>
  <si>
    <t>Other:Specify</t>
  </si>
  <si>
    <t>R&amp;R TB system, quarterly report</t>
  </si>
  <si>
    <t xml:space="preserve">R&amp;R TB system, yearly management report </t>
  </si>
  <si>
    <t>Other Surveillance reports, specify</t>
  </si>
  <si>
    <t>Prevention:  Behavioral Change Communication - Mass media</t>
  </si>
  <si>
    <t xml:space="preserve">Death rates associated with Malaria: all-cause under-5 mortality rate in highly endemic areas </t>
  </si>
  <si>
    <t>% of U5 children (and other target groups) with malaria/fever receiving appropriate treatment within 24 hours (community/health facility)</t>
  </si>
  <si>
    <t>Prevention:  Behavioral Change Communication - community outreach</t>
  </si>
  <si>
    <t xml:space="preserve">Incidence of clinical malaria cases (estimated and/or reported) </t>
  </si>
  <si>
    <t>% of U5 children (and other target group) with uncomplicated malaria correctly managed at health facilities</t>
  </si>
  <si>
    <t>Prevention: Insecticide-treated nets (ITNs)</t>
  </si>
  <si>
    <t>Anaemia prevalence in children under 5 years of age</t>
  </si>
  <si>
    <t>% of U5 children (and other target groups) admitted with severe malaria and correctly managed at health facilities</t>
  </si>
  <si>
    <t>Prevention: Malaria prevention during pregnancy</t>
  </si>
  <si>
    <t xml:space="preserve">Prevalence of malaria parasite infection </t>
  </si>
  <si>
    <t>% of children U5 sleeping under an ITN the previous night</t>
  </si>
  <si>
    <t>MIS (Malaria Indicator Survey)</t>
  </si>
  <si>
    <t>Prevention: Vector control (other than ITNs)</t>
  </si>
  <si>
    <t>Laboratory-confirmed malaria cases seen in heath facilities</t>
  </si>
  <si>
    <t>% of households with at least one ITN</t>
  </si>
  <si>
    <t>Prevention: other - specify</t>
  </si>
  <si>
    <t>Laboratory-confirmed malaria deaths seen in health facilities</t>
  </si>
  <si>
    <t>% of pregnant women (and other target groups) sleeping under an ITN the previous night</t>
  </si>
  <si>
    <t>Treatment: Prompt, effective anti-malarial treatment</t>
  </si>
  <si>
    <t>Malaria-attributed deaths in sentinel demographic surveillance sites</t>
  </si>
  <si>
    <t>% of pregnant women on Intermittent preventive treatment (IPT) according to national policy (specific to Sub-Saharian Africa)</t>
  </si>
  <si>
    <t>Treatment: Home based management of malaria</t>
  </si>
  <si>
    <t>API (Annual Parasite Index) (specific to Latin America and Asia)</t>
  </si>
  <si>
    <t>% of households in malaria areas protected by IRS</t>
  </si>
  <si>
    <t>MOH (routine HIS or HMIS)</t>
  </si>
  <si>
    <t>Treatment: Diagnosis</t>
  </si>
  <si>
    <t>RBM (Roll Back Malaria)</t>
  </si>
  <si>
    <t>Treatment: other - specify</t>
  </si>
  <si>
    <t>Supportive environment: Monitoring drug resistance</t>
  </si>
  <si>
    <t>Supportive environment: Monitoring insecticide resistance</t>
  </si>
  <si>
    <t>Supportive environment: Coordination and partnership development (national, community, public-private)</t>
  </si>
  <si>
    <t>Supportive environment: other - specify</t>
  </si>
  <si>
    <t>HSS: other - specify</t>
  </si>
  <si>
    <t>Questionnaire</t>
  </si>
  <si>
    <t>Prevention</t>
  </si>
  <si>
    <t>Treatment</t>
  </si>
  <si>
    <t>Care and Support</t>
  </si>
  <si>
    <t>Health System Strengthening (HSS)</t>
  </si>
  <si>
    <t>Prevention: Behavioral Change Communication - Mass Media</t>
  </si>
  <si>
    <t>Prevention: Behavioral Change Communication - Community Outreach</t>
  </si>
  <si>
    <t>Prevention: Insecticite-treated nets (ITNs)</t>
  </si>
  <si>
    <t>Prevention: Malaria in pregnancy</t>
  </si>
  <si>
    <t>Prevention: Other - specify</t>
  </si>
  <si>
    <t>Treatment: Prompt, effective antimalatial treatment</t>
  </si>
  <si>
    <t>Standardized treatment, pation support and patient charter</t>
  </si>
  <si>
    <t>Procurement and Supply management</t>
  </si>
  <si>
    <t>High-risk groups</t>
  </si>
  <si>
    <t>FBO</t>
  </si>
  <si>
    <t>NGO/CBO/Academic</t>
  </si>
  <si>
    <t>Private Sector</t>
  </si>
  <si>
    <t>Other Government</t>
  </si>
  <si>
    <t>UNDP</t>
  </si>
  <si>
    <t>Other Multilateral Organization</t>
  </si>
  <si>
    <t xml:space="preserve">B.  Cambios previstos en el programa, si los hubiera. </t>
  </si>
  <si>
    <t xml:space="preserve">C.  Factores externos fuera del control del Receptor Principal que han tenido o pueden tener repercusión en el Programa. </t>
  </si>
  <si>
    <t>País:</t>
  </si>
  <si>
    <t>Receptor Principal:</t>
  </si>
  <si>
    <t>Fecha de comienzo del programa:</t>
  </si>
  <si>
    <t xml:space="preserve">Moneda: </t>
  </si>
  <si>
    <t xml:space="preserve">PERÍODO DE INFORME Actualizado SOBRE LOS PROGRESOS </t>
  </si>
  <si>
    <t>Fecha de finalización;</t>
  </si>
  <si>
    <t xml:space="preserve">Informe Actualizado sobre los progresos -  Número: </t>
  </si>
  <si>
    <t xml:space="preserve">    1b. Desembolsos a subreceptores</t>
  </si>
  <si>
    <t>El  RP Ministerio de Salud no cuenta con Sub receptores.</t>
  </si>
  <si>
    <t xml:space="preserve">2. Gastos totales en productos farmacéuticos y sanitarios frente al presupuesto </t>
  </si>
  <si>
    <t xml:space="preserve">    2a. Medicamentos y productos farmacéuticos</t>
  </si>
  <si>
    <t xml:space="preserve">    2b.  Productos sanitarios y equipamiento sanitario</t>
  </si>
  <si>
    <t>diferencia en aproximaciones</t>
  </si>
  <si>
    <t>SECTION 3B: TB FINANCIAL REPORTING FORM</t>
  </si>
  <si>
    <t>Country</t>
  </si>
  <si>
    <t>PLEASE REFER TO THE "GUIDANCE FOR COMPLETION OF THE ENHANCED FINANCIAL REPORTING TEMPLATE" DOCUMENT TO ASSIST YOU IN COMPLETING THE TEMPLATE</t>
  </si>
  <si>
    <t>Grant No.</t>
  </si>
  <si>
    <t>PR</t>
  </si>
  <si>
    <r>
      <t>TO BE COMPLETED ONLY</t>
    </r>
    <r>
      <rPr>
        <b/>
        <i/>
        <u val="single"/>
        <sz val="10"/>
        <rFont val="Arial"/>
        <family val="2"/>
      </rPr>
      <t xml:space="preserve"> ONCE</t>
    </r>
    <r>
      <rPr>
        <b/>
        <i/>
        <sz val="10"/>
        <rFont val="Arial"/>
        <family val="2"/>
      </rPr>
      <t xml:space="preserve"> A YEAR EXCEPT AT MONTH 18 FOR PURPOSES OF PHASE 2 REVIEW</t>
    </r>
  </si>
  <si>
    <t>Currency</t>
  </si>
  <si>
    <t>dd-mm-yyyy</t>
  </si>
  <si>
    <t>Current Reporting Period</t>
  </si>
  <si>
    <t>Start Date:</t>
  </si>
  <si>
    <t>Cumulative Reporting Period</t>
  </si>
  <si>
    <t>End Date:</t>
  </si>
  <si>
    <t>The end date for the current reporting period and cumulative reporting period must be the same</t>
  </si>
  <si>
    <t xml:space="preserve">The "TOTAL" rows in Table A, B and C will have a RED background if the amounts in each table do not agree. If the Totals for each Table agrees, these rows will have a YELLOW background. </t>
  </si>
  <si>
    <t>A- BREAKDOWN* BY  EXPENDITURE CATEGORY</t>
  </si>
  <si>
    <t>Budget for Reporting Period</t>
  </si>
  <si>
    <t>Actual Cash Outflow for Reporting Period</t>
  </si>
  <si>
    <t>Variance</t>
  </si>
  <si>
    <t>Reason for Variance</t>
  </si>
  <si>
    <t>Cumulative Budget through period of Progress Update</t>
  </si>
  <si>
    <t>Cumulative Actual Cash Outflow through period of Progress Update</t>
  </si>
  <si>
    <t>#</t>
  </si>
  <si>
    <t>Category</t>
  </si>
  <si>
    <t xml:space="preserve"> 
Budget</t>
  </si>
  <si>
    <t xml:space="preserve">
Expenditures</t>
  </si>
  <si>
    <t>Cumulative Budget</t>
  </si>
  <si>
    <t>Cumulative Expenditure</t>
  </si>
  <si>
    <t>1. Total PR cash outflow vs. budget</t>
  </si>
  <si>
    <t>Human Resources</t>
  </si>
  <si>
    <t>VER ANEXO 1 VARIA_CATEGO_GASTO</t>
  </si>
  <si>
    <t xml:space="preserve">    1a. PR's total expenditures</t>
  </si>
  <si>
    <t>Technical Assistance</t>
  </si>
  <si>
    <t xml:space="preserve">    1b. Disbursements to sub-recipients</t>
  </si>
  <si>
    <t>Training</t>
  </si>
  <si>
    <t>Health Products and Health Equipment</t>
  </si>
  <si>
    <t>Budget for Reporting Period*</t>
  </si>
  <si>
    <t>Medicines and Pharmaceutical Products</t>
  </si>
  <si>
    <t>2. Total pharmaceutical &amp; health product expenditures vs. budget</t>
  </si>
  <si>
    <t>Procurement and Supply Management Costs</t>
  </si>
  <si>
    <t xml:space="preserve">    2a.  Medicines and pharmaceutical products</t>
  </si>
  <si>
    <t>Infrastructure and Other Equipment</t>
  </si>
  <si>
    <t xml:space="preserve">    2b.  Health products and health equipment</t>
  </si>
  <si>
    <t>Communication Materials</t>
  </si>
  <si>
    <t>Monitoring &amp; Evaluation</t>
  </si>
  <si>
    <t>Living Support to Clients/Target Populations</t>
  </si>
  <si>
    <t>Planning and Administration</t>
  </si>
  <si>
    <t>Overheads</t>
  </si>
  <si>
    <t>Other</t>
  </si>
  <si>
    <t>TOTAL</t>
  </si>
  <si>
    <t>B- BREAKDOWN* BY PROGRAM ACTIVITY</t>
  </si>
  <si>
    <t>Macro-category</t>
  </si>
  <si>
    <t>Objectives</t>
  </si>
  <si>
    <t>Service Delivery Area</t>
  </si>
  <si>
    <t>TB Detection</t>
  </si>
  <si>
    <t>PPM / ISTC (Public-Public, Public-Private Mix (PPM) approaches and International standards for TB care)</t>
  </si>
  <si>
    <t>VER ANEXO 2 VARIA_CATEGO_GASTO</t>
  </si>
  <si>
    <t>Supportive Environment</t>
  </si>
  <si>
    <t xml:space="preserve">ACSM (Advocacy, communication and social mobilization) </t>
  </si>
  <si>
    <t>Procurement and supply management</t>
  </si>
  <si>
    <t>M&amp;E</t>
  </si>
  <si>
    <t>TB: Supportive Environment</t>
  </si>
  <si>
    <t>Community TB care</t>
  </si>
  <si>
    <t>Health System Strengthening</t>
  </si>
  <si>
    <t xml:space="preserve">High-risk groups </t>
  </si>
  <si>
    <t>Improving diagnosis</t>
  </si>
  <si>
    <t>TB/HIV Collaborative Activities</t>
  </si>
  <si>
    <t>TB/HIV</t>
  </si>
  <si>
    <t>MDR-TB</t>
  </si>
  <si>
    <t>TB Treatment</t>
  </si>
  <si>
    <t>Standardized treatment, patient support and patient charter</t>
  </si>
  <si>
    <t>Gastos Administrativos</t>
  </si>
  <si>
    <t>Supportive environment: Program management and administration</t>
  </si>
  <si>
    <r>
      <t xml:space="preserve">To add additional rows, right click the row number (Row 39 in a blank template) to the left of the row above the row for TOTAL and select copy, then over the same number, right click again and select Insert Copied Cells. </t>
    </r>
    <r>
      <rPr>
        <b/>
        <sz val="10"/>
        <rFont val="Arial"/>
        <family val="2"/>
      </rPr>
      <t>WARNING</t>
    </r>
    <r>
      <rPr>
        <sz val="10"/>
        <rFont val="Arial"/>
        <family val="2"/>
      </rPr>
      <t>: Inserting Rows without copying a row as described above will cause the formula in the variance column to become invalid and will mean the overall information will be inaccurate.</t>
    </r>
  </si>
  <si>
    <t>C- BREAKDOWN* BY IMPLEMENTING ENTITY</t>
  </si>
  <si>
    <t>PR/SR</t>
  </si>
  <si>
    <t>Name</t>
  </si>
  <si>
    <t>Type of
Implementing Entity</t>
  </si>
  <si>
    <t>Ministerio de Salud</t>
  </si>
  <si>
    <t>Ministry Health (MoH)</t>
  </si>
  <si>
    <t>Please Select …</t>
  </si>
  <si>
    <t>Please Select…</t>
  </si>
  <si>
    <r>
      <t xml:space="preserve">To add additional rows, right click the row number (Row 51 in a blank template) to the left of the row above the row for TOTAL and select copy, then over the same number, right click again and select Insert Copied Cells. </t>
    </r>
    <r>
      <rPr>
        <b/>
        <sz val="10"/>
        <rFont val="Arial"/>
        <family val="2"/>
      </rPr>
      <t>WARNING</t>
    </r>
    <r>
      <rPr>
        <sz val="10"/>
        <rFont val="Arial"/>
        <family val="2"/>
      </rPr>
      <t>: Inserting Rows without copying a row as described above will cause the formula in the variance column to become invalid and will mean the overall information will be inaccurate.</t>
    </r>
  </si>
  <si>
    <r>
      <t>* The sum of all three breakdowns should be equal (</t>
    </r>
    <r>
      <rPr>
        <i/>
        <sz val="10"/>
        <rFont val="Arial"/>
        <family val="2"/>
      </rPr>
      <t>A-</t>
    </r>
    <r>
      <rPr>
        <sz val="10"/>
        <rFont val="Arial"/>
        <family val="2"/>
      </rPr>
      <t xml:space="preserve"> Budget Line-item, </t>
    </r>
    <r>
      <rPr>
        <i/>
        <sz val="10"/>
        <rFont val="Arial"/>
        <family val="2"/>
      </rPr>
      <t>B-</t>
    </r>
    <r>
      <rPr>
        <sz val="10"/>
        <rFont val="Arial"/>
        <family val="2"/>
      </rPr>
      <t xml:space="preserve"> Program Activity, </t>
    </r>
    <r>
      <rPr>
        <i/>
        <sz val="10"/>
        <rFont val="Arial"/>
        <family val="2"/>
      </rPr>
      <t>C-</t>
    </r>
    <r>
      <rPr>
        <sz val="10"/>
        <rFont val="Arial"/>
        <family val="2"/>
      </rPr>
      <t xml:space="preserve"> Implementing Entity).</t>
    </r>
  </si>
  <si>
    <t>** For the purposes of this report, the SDA Program management and administration should be included in the Supportive Environment Macro Category.</t>
  </si>
  <si>
    <t>D- ADDITIONAL INFORMATION</t>
  </si>
  <si>
    <r>
      <t>Please disclose any relevant information concerning the information in the above tables.</t>
    </r>
    <r>
      <rPr>
        <b/>
        <i/>
        <sz val="11"/>
        <rFont val="Arial"/>
        <family val="2"/>
      </rPr>
      <t xml:space="preserve"> Refer to the Guidelines for Completing the Template if required.</t>
    </r>
  </si>
  <si>
    <t>E- DISBURSEMENTS BREAKDOWN BY IMPLEMENTING ENTITY</t>
  </si>
  <si>
    <t>Cumulative Disbursements</t>
  </si>
  <si>
    <t>Comments</t>
  </si>
  <si>
    <t xml:space="preserve">PERÍODO DEL INFORME ACTUALIZADO SOBRE LOS PROGRESOS  </t>
  </si>
  <si>
    <t>Ciclo;</t>
  </si>
  <si>
    <t xml:space="preserve">Sección 4: Gestión de Adquisiciones y Suministros </t>
  </si>
  <si>
    <r>
      <t xml:space="preserve">1a.  ¿Ha actualizado el sistema de Información sobre el Precio y la Calidad (PQR) con la información requerida sobre los productos farmacéuticos y sanitarios recibidos durante el período cubierto por el presente Informe Actualizado (si procede)? (Si no introdujo información sobre la adquisición de productos sanitarios en el PQR, explique el motivo en  la casilla de comentarios).  
     </t>
    </r>
    <r>
      <rPr>
        <b/>
        <sz val="11"/>
        <color indexed="12"/>
        <rFont val="Arial"/>
        <family val="2"/>
      </rPr>
      <t>!</t>
    </r>
    <r>
      <rPr>
        <sz val="11"/>
        <rFont val="Arial"/>
        <family val="2"/>
      </rPr>
      <t xml:space="preserve">  Para mayor orientación sobre la introducción de datos en el PQR, véanse las directrices.  </t>
    </r>
  </si>
  <si>
    <t>Sí</t>
  </si>
  <si>
    <t>2. Basándose en la información más actualizada sobre la situación de las existencias, ¿existe algún riesgo de desabastecimiento de productos farmacéuticos y sanitarios esenciales a nivel central  en el próximo período de ejecución? (En caso afirmativo, comente los motivos)</t>
  </si>
  <si>
    <t xml:space="preserve">3. Comentarios sobre otras cuestiones relacionadas con la gestión de adquisiciones y suministros de productos farmacéuticos y sanitarios </t>
  </si>
  <si>
    <t>El RP (MINSAL)  realiza la adquisición de Medicamentos de Segunda Linea a traves del fondo estrategico de OPS.</t>
  </si>
  <si>
    <t xml:space="preserve"> Informe Actualizado sobre los progresos y solicitud de devolución      </t>
  </si>
  <si>
    <t xml:space="preserve">PERÍODO DE SOLICITUD DE DESEMBOLSO </t>
  </si>
  <si>
    <t>! El RP debe presentar una declaración de las fuentes y usos de los fondos (SSUF) junto con el formulario del Informe actualizado</t>
  </si>
  <si>
    <t>Informe Actualizado sobre los progresos - Período de informe</t>
  </si>
  <si>
    <t>Informe Actualizado sobre los progresos - Período cubierto</t>
  </si>
  <si>
    <t xml:space="preserve">Sección 5: Conciliación de saldos y recomendación sobre el desembolso </t>
  </si>
  <si>
    <t xml:space="preserve">A: CONCILIACIÓN DE SALDOS PARA EL PERÍODO CUBIERTO POR EL INFORME ACTUALIZADO SOBRE LOS PROGRESOS </t>
  </si>
  <si>
    <t xml:space="preserve">1.  Saldo de caja: inicio del período cubierto por el Informe Actualizado (fila 10 de la sección Conciliación de Saldos del período cubierto por el anterior Informe Actualizado): </t>
  </si>
  <si>
    <t>Añadir:</t>
  </si>
  <si>
    <t xml:space="preserve">2.  Fondos en efectivo recibidos por el RP del Fondo Mundial durante el período cubierto por el presente Informe Actualizado: </t>
  </si>
  <si>
    <t xml:space="preserve">3.  Fondos en efectivo desembolsados a terceros por el Fondo Mundial en nombre del RP durante el período cubierto por el presente Informe Actualizado. </t>
  </si>
  <si>
    <t xml:space="preserve">4.  Intereses acreditados en la cuenta bancaria: </t>
  </si>
  <si>
    <t xml:space="preserve">5.  Ingresos provenientes de actividades generadoras de ingresos (si procede): </t>
  </si>
  <si>
    <t xml:space="preserve">6.  Otros ingresos, si procede (por ejemplo, los provenientes de la liquidación de activos fijos, devolución de impuestos): </t>
  </si>
  <si>
    <t>Menos:</t>
  </si>
  <si>
    <t xml:space="preserve">7.  Salida total de efectivo durante el período cubierto por el Informe Actualizado (valor ingresado en la sección 3A "Salida total de efectivo"): </t>
  </si>
  <si>
    <r>
      <t xml:space="preserve">8.  Ganancias/pérdidas netas en el tipo de cambio </t>
    </r>
    <r>
      <rPr>
        <i/>
        <sz val="11"/>
        <rFont val="Arial"/>
        <family val="2"/>
      </rPr>
      <t xml:space="preserve">(las ganancias deben mostrarse con un signo menos; las pérdidas deben mostrarse con un signo más): </t>
    </r>
  </si>
  <si>
    <r>
      <t xml:space="preserve">9. Ajustes de conciliación </t>
    </r>
    <r>
      <rPr>
        <i/>
        <sz val="11"/>
        <rFont val="Arial"/>
        <family val="2"/>
      </rPr>
      <t xml:space="preserve">(las ganancias deben mostrarse con un signo menos; las pérdidas deben mostrarse con un signo más): </t>
    </r>
  </si>
  <si>
    <t>10.  Saldo de caja: al finalizar el período cubierto por el Informe Actualizado:</t>
  </si>
  <si>
    <t>Explicación sobre los ajustes de conciliación (fila 9)</t>
  </si>
  <si>
    <r>
      <t>!</t>
    </r>
    <r>
      <rPr>
        <sz val="11"/>
        <rFont val="Arial"/>
        <family val="2"/>
      </rPr>
      <t xml:space="preserve"> Se debe dar una explicación cuando se haya hecho algún ajuste.  </t>
    </r>
  </si>
  <si>
    <t>DISBURSEMENT REQUEST PERIOD</t>
  </si>
  <si>
    <t xml:space="preserve"> Fecha de finalización:</t>
  </si>
  <si>
    <t>Sección 5: Conciliación de saldos y solicitud de desembolso</t>
  </si>
  <si>
    <t>B: SOLICITUD DE DESEMBOLSO</t>
  </si>
  <si>
    <t xml:space="preserve">Gasto total de efectivo neto previsto por el Receptor Principal para el período inmediatamente posterior al período cubierto por el Informe Actualizado </t>
  </si>
  <si>
    <t>1.  Fecha de comienzo del período:</t>
  </si>
  <si>
    <t>fecha de finalización:</t>
  </si>
  <si>
    <t>importe del presupuesto aprobado</t>
  </si>
  <si>
    <t>importe previsto</t>
  </si>
  <si>
    <t>2a.  Período de efectivo"de estabilización" (por defecto)</t>
  </si>
  <si>
    <t xml:space="preserve">    Fecha de comienzo del efectivo "de estabilización"</t>
  </si>
  <si>
    <t>Previsión total del RP</t>
  </si>
  <si>
    <t>2b.Adicional "de estabilización" (discrecionario, seleccione solo si existe un acuerdo previo con el FPM (1)</t>
  </si>
  <si>
    <t xml:space="preserve">   Efectivo "de estabilización" acordado con el FPM (2)</t>
  </si>
  <si>
    <t xml:space="preserve">  Fecha de comienzo del efectivo "de estabilización"</t>
  </si>
  <si>
    <t xml:space="preserve">(1) Se puede solicitar efectivo "de estabilización" adicional si el Informe Actualizado contiene un EFR completo  o un anexo cumplimentado sobre las finanzas del SR, solicitado por la Secretaría, o si hay algún requisito adicional del Fondo Mundial que no puede ser cumplido dentro de los 45 días. En principio se debe obtener un acuerdo del FPM antes de solicitar efectivo adicional "de estabilización".  </t>
  </si>
  <si>
    <t xml:space="preserve">(2) Cuando el período adicional (de efectivo de "estabilización") es de 4 meses, el presupuesto aprobado y los importes previstos deben calcularse como la suma del presupuesto aprobado y de los importes previstos para el período posterior al período de desembolso y un tercio (1/3) del presupuesto aprobado y de los importes previstos para el período siguiente. </t>
  </si>
  <si>
    <t xml:space="preserve">Sírvase explicar cualquier variación significativa (a su juicio) entre los importes previstos y los importes de los presupuestos aprobados. Especifique los principales factores, con sus respectivos importes, que más contribuyen a la variación. 
Nota: tenga en cuenta los siguientes puntos al efectuar el análisis. 
  - Cronología prevista de los pagos para cualquier partida significativa del presupuesto 
  - Efectos de los saldos de caja existentes a nivel de SR 
  - Compromisos actuales confirmados a pagar durante el período de solicitud de desembolso 
  - Precios por unidad actuales/previstos en comparación con los del presupuesto 
  - Cambio en las cantidades con respecto al presupuesto 
  - Tipos de cambio e inflación
  - Relación entre el presupuesto consumido y el desempeño de los programas a la fecha 
La previsión debe incluir los compromisos existentes (que cumplen con los requisitos de la subvención) a la fecha de finalización del período de informe y que probablemente sean pagados durante el período de desembolso. </t>
  </si>
  <si>
    <t xml:space="preserve">3. Saldo de caja: al final del período cubierto por el Informe Actualizado (número 10 de la planilla de conciliación de saldos del RP): </t>
  </si>
  <si>
    <t>4.  Fondos en efectivo "en tránsito" desembolsados al RP:</t>
  </si>
  <si>
    <t xml:space="preserve">5. Fondos en efectivo "en tránsito" desembolsados a terceros por el Fondo Mundial en nombre del RP </t>
  </si>
  <si>
    <t xml:space="preserve">6.  Solicitud de desembolso del RP al Fondo Mundial por el período inmediatamente posterior al período cubierto por el Informe Actualizado más el período adicional (efectivo "de estabilización"): </t>
  </si>
  <si>
    <t xml:space="preserve">7.  ¿Incluye la solicitud de desembolso del RP fondos para la adquisición de productos sanitarios? </t>
  </si>
  <si>
    <t>No</t>
  </si>
  <si>
    <t xml:space="preserve">8. Tipo de cambio (utilizado para convertir la moneda local en la moneda de la subvención)   </t>
  </si>
  <si>
    <t xml:space="preserve">Nombre de la moneda local, fecha y fuente del tipo de cambio y otros comentarios (si procede) </t>
  </si>
  <si>
    <t>- utilizado para convertir el Saldo de Caja de Apertura</t>
  </si>
  <si>
    <t>N/A</t>
  </si>
  <si>
    <t>LA MONEDA DE USO OFICIAL ES EL DOLLAR  AMERICANO</t>
  </si>
  <si>
    <t xml:space="preserve">- utilizado para convertir el Saldo de Caja de Cierre </t>
  </si>
  <si>
    <t xml:space="preserve">- utilizado para convertir la Salida total de efectivo para el período del Informe Actualizado </t>
  </si>
  <si>
    <t xml:space="preserve">Informe Actualizado sobre los progresos - Período de informe: </t>
  </si>
  <si>
    <t>Fecha de  comienzo:</t>
  </si>
  <si>
    <t>Sección 6:  Desempeño general</t>
  </si>
  <si>
    <t xml:space="preserve">A.  Autoevaluación general del RP sobre el desempeño de la subvención (incluido un resumen de la relación entre el desempeño financiero y los logros programáticos). </t>
  </si>
  <si>
    <r>
      <t xml:space="preserve">! </t>
    </r>
    <r>
      <rPr>
        <sz val="11"/>
        <color indexed="53"/>
        <rFont val="Arial"/>
        <family val="2"/>
      </rPr>
      <t xml:space="preserve"> </t>
    </r>
    <r>
      <rPr>
        <sz val="11"/>
        <rFont val="Arial"/>
        <family val="2"/>
      </rPr>
      <t xml:space="preserve">La autoevaluación debe realizarse tomando en cuenta los logros programáticos, el desempeño financiero y cuestiones relativas a diversas áreas funcionales del programa (Seguimiento y Evaluación, Finanzas, Adquisiciones y Gestión de Programas, incluida la gestión de los subreceptores). Véanse las directrices para una orientación más detallada. </t>
    </r>
  </si>
  <si>
    <t xml:space="preserve">C. COMENTARIOS DEL RP SOBRE LOS REQUISITOS PARA LA PRESENTACIÓN DE INFORMES ANUALES </t>
  </si>
  <si>
    <r>
      <t xml:space="preserve">! </t>
    </r>
    <r>
      <rPr>
        <sz val="13"/>
        <rFont val="Arial"/>
        <family val="2"/>
      </rPr>
      <t xml:space="preserve">Sírvase indicar una fecha para el informe que se debe presentar. Si la fecha de presentación ha vencido, indique la fecha de presentación original y explique los motivos del retraso. </t>
    </r>
  </si>
  <si>
    <t>Documentos requeridos</t>
  </si>
  <si>
    <t>Fecha de entrega 
(día-mes-año)</t>
  </si>
  <si>
    <t>Comentarios</t>
  </si>
  <si>
    <t>Informe de Auditoría del RP</t>
  </si>
  <si>
    <t>Presentado al FM</t>
  </si>
  <si>
    <t>Presentación de Informes Financieros Detallados (EFR)</t>
  </si>
  <si>
    <t>PERÍODO DEL INFORME ACTUALIZADO SOBRE LOS PROGRESOS</t>
  </si>
  <si>
    <t>Número</t>
  </si>
  <si>
    <t xml:space="preserve">lizado sobre los progresos - Número: </t>
  </si>
  <si>
    <t>Sección 3A: Salida total de efectivo del RP</t>
  </si>
  <si>
    <r>
      <t>!</t>
    </r>
    <r>
      <rPr>
        <sz val="14"/>
        <rFont val="Arial"/>
        <family val="2"/>
      </rPr>
      <t xml:space="preserve"> Para las subvenciones del Mecanismo de Continuación del Financiamiento (RCC),  la sección de acumulativos del siguiente cuadro debe contener el importe acumulativo desde el comienzo del RCC y no desde el comienzo de la Fase 1 del programa.  </t>
    </r>
  </si>
  <si>
    <t xml:space="preserve">Todos los importes están en: </t>
  </si>
  <si>
    <t>Presupuesto para el período de informe</t>
  </si>
  <si>
    <t xml:space="preserve">Salida real de efectivo para el período de informe </t>
  </si>
  <si>
    <t>Variación</t>
  </si>
  <si>
    <t>compromisos del S8 ejecutados en el S9</t>
  </si>
  <si>
    <t>reprogramaciones internas S9</t>
  </si>
  <si>
    <t>Economias del S9</t>
  </si>
  <si>
    <t>Compromisos del S8 a ejecutarce en elS9</t>
  </si>
  <si>
    <t>Reprogramaciones del S8 a ejecutarce en el S9</t>
  </si>
  <si>
    <t xml:space="preserve">Reprogramaciones internas dentro del S9 </t>
  </si>
  <si>
    <t>recalendarizacion del S10 al S11</t>
  </si>
  <si>
    <t>Reprogramacion del S10 al S11</t>
  </si>
  <si>
    <t>Economia del S10</t>
  </si>
  <si>
    <t xml:space="preserve">Reprogramaciones internas dentro del S10 </t>
  </si>
  <si>
    <t>Pagos ejecutados en el S8 Correspondientes al S9</t>
  </si>
  <si>
    <t>Economia del S9</t>
  </si>
  <si>
    <t>Pagos del S9 ejecutados en el S8</t>
  </si>
  <si>
    <t>Reprogramacion dentro del S10</t>
  </si>
  <si>
    <t>Recalendarizacion del S10 a ejecutarce en el S11</t>
  </si>
  <si>
    <t>Difererncia en EFR</t>
  </si>
  <si>
    <t>Compromisos del S8 ejecutados en el S9</t>
  </si>
  <si>
    <t>reprogramaciones del S8 a ejecutarce en el S9</t>
  </si>
  <si>
    <t>Recalendarizaciones del S9 a ejecutarce en el S10</t>
  </si>
  <si>
    <t>Reprogramaciones dentro del S9</t>
  </si>
  <si>
    <t>Reprogramaciones dentro del S10</t>
  </si>
  <si>
    <t>Gastos pagados por anticipados en el S8</t>
  </si>
  <si>
    <t>Compromisos del S10 a ejecutarce en el S11</t>
  </si>
  <si>
    <t>Recalendarizaciones del S10 a ejecutarce en el S11</t>
  </si>
  <si>
    <t>pagos anticipados del S9 en S8</t>
  </si>
  <si>
    <t>Recalendarizaciones del S8 a ejecutarce en el S9</t>
  </si>
  <si>
    <t>Economias del S10</t>
  </si>
  <si>
    <t xml:space="preserve">Recalendarizacion del S10 a ejecutarce en el S11 </t>
  </si>
  <si>
    <t>Reprogramacion del S10 a ejecutarce en el S11</t>
  </si>
  <si>
    <t>Reprogramacuion del S10 a ejecutarce en el S11</t>
  </si>
  <si>
    <t>Reprogramaciones dentro del periodo S9</t>
  </si>
  <si>
    <t>Pagos anticipado del S9 en el S8</t>
  </si>
  <si>
    <t>Diferenacia en EFR</t>
  </si>
  <si>
    <t>Economias S10</t>
  </si>
  <si>
    <t xml:space="preserve">Ecomomias del S1 devido a que el FG realizo otro desembolso de $ 720 envio cepas </t>
  </si>
  <si>
    <t>reprogramaciones dentro del S9</t>
  </si>
  <si>
    <t>recalendarizacion del S10 a ejecutarce en el S11</t>
  </si>
  <si>
    <t>compromisos del S8  ejecutados en el S9</t>
  </si>
  <si>
    <t>Reprogramaciones del S10 a ejecutarce en el S11</t>
  </si>
  <si>
    <t>Gastos del S9 eejecutados en el S8</t>
  </si>
  <si>
    <t>Reprogramaciones del S9 a ejecutarce en el S10</t>
  </si>
  <si>
    <t>Recalendarizacion del S9 a ejecutarce en el S10</t>
  </si>
  <si>
    <t>Reprogramaciones dentro del periodo S10</t>
  </si>
  <si>
    <t>Reprogramacion dentro del  S9</t>
  </si>
  <si>
    <t>Recalendarizaciones del S10  a ejecutarce en el S11</t>
  </si>
  <si>
    <t>Reprogramacione dentro del S10</t>
  </si>
  <si>
    <t>Comrpomisos del S10 a ejecutarce en el S11</t>
  </si>
  <si>
    <t>Compromisos del S8 a ejecutados  en el S9</t>
  </si>
  <si>
    <t xml:space="preserve">PERÍODO DE SOLICITUD DE DESEMBOLSO  </t>
  </si>
  <si>
    <t>Solicitud de desembolso - Período de desembolso:</t>
  </si>
  <si>
    <t>Nùmero:</t>
  </si>
  <si>
    <t>Solicitud de desembolso - Período cubierto:</t>
  </si>
  <si>
    <t>Fecha de finalizaciòn:</t>
  </si>
  <si>
    <t xml:space="preserve">Solicitud de desembolso - Número: </t>
  </si>
  <si>
    <t>Sección 7: Solicitud y autorización de efectivo</t>
  </si>
  <si>
    <t>A: SOLICITUD DE FONDOS EN EFECTIVO</t>
  </si>
  <si>
    <t xml:space="preserve">En nombre del RP, el abajo firmante solicita al Fondo Mundial el desembolso de fondos en el marco del Acuerdo de Subvención arriba referenciado, del siguiente modo:  </t>
  </si>
  <si>
    <t>1.  El importe en efectivo solicitado al Fondo Mundial (de la fila 14 - “Solicitud de Desembolso del RP” en la pestaña “Solicitud de Desembolso del RP 4B”), en la moneda de la subvención</t>
  </si>
  <si>
    <t>B: AUTORIZACIÓN</t>
  </si>
  <si>
    <t xml:space="preserve">El abajo firmante reconoce que: i) toda la información (programática, financiera o de otra índole) consignada en este Informe Actualizado es completa y correcta; ii) los fondos desembolsados de conformidad con esta solicitud deben ser depositados en la cuenta bancaria especificada en la casilla 9 de la hoja de datos básicos del Acuerdo de Subvención a menos que se especifique lo contrario; y iii) los fondos desembolsados en el marco del Acuerdo de Subvención serán utilizados de conformidad con lo establecido en el Acuerdo de Subvención. </t>
  </si>
  <si>
    <t xml:space="preserve">Firmado en nombre del Receptor Principal
(firma del representante designado autorizado) </t>
  </si>
  <si>
    <t>Nombre:</t>
  </si>
  <si>
    <t>Cargo:</t>
  </si>
  <si>
    <t xml:space="preserve">Ministra de Salud </t>
  </si>
  <si>
    <t>Lugar y fecha:</t>
  </si>
  <si>
    <t xml:space="preserve">Nota: asegúrese de rellenar la sección 7C Datos bancarios de la página siguiente si: 1) se trata de un desembolso dividido (por ejemplo, un desembolso con más de un receptor); o 2) si se han producido cambios en los datos bancarios desde el desembolso anterior. </t>
  </si>
  <si>
    <t>Informe Actualizado sobre los progresos y la solicitud de desembolso</t>
  </si>
  <si>
    <t xml:space="preserve">Nota: esta página debe ser rellenada si: 1) se trata de un desembolso dividido (por ejemplo un desembolso con más de un receptor); o 2) si se han producido cambios en los datos bancarios desde el desembolso anterior. </t>
  </si>
  <si>
    <t>7C:  Datos de la cuenta bancaria</t>
  </si>
  <si>
    <t xml:space="preserve">Período de solicitud de desembolso </t>
  </si>
  <si>
    <t>Resumen</t>
  </si>
  <si>
    <t>Nombre del beneficiario</t>
  </si>
  <si>
    <t>Importe en la moneda de la subvención</t>
  </si>
  <si>
    <t xml:space="preserve">Beneficiario 1 - Receptor Principal </t>
  </si>
  <si>
    <t>Beneficiario 2:</t>
  </si>
  <si>
    <t>Beneficiario 3:</t>
  </si>
  <si>
    <t>Beneficiario 4:</t>
  </si>
  <si>
    <t>Total</t>
  </si>
  <si>
    <t>Beneficiario 1:</t>
  </si>
  <si>
    <t>Nombre del beneficiario:</t>
  </si>
  <si>
    <t>Titular de la cuenta bancaria</t>
  </si>
  <si>
    <r>
      <t xml:space="preserve">Moneda
</t>
    </r>
    <r>
      <rPr>
        <sz val="10"/>
        <rFont val="Arial"/>
        <family val="2"/>
      </rPr>
      <t>en la cual el beneficiario debe recibir los fondos:</t>
    </r>
  </si>
  <si>
    <t>Importe en la moneda en la cual el beneficiario debe recibir los fondos</t>
  </si>
  <si>
    <t>Número de cuenta bancaria</t>
  </si>
  <si>
    <t>Importe en letras:</t>
  </si>
  <si>
    <t>Dirección del banco</t>
  </si>
  <si>
    <r>
      <t xml:space="preserve">Tipo de cambio, fecha y fuente
</t>
    </r>
    <r>
      <rPr>
        <sz val="10"/>
        <rFont val="Arial"/>
        <family val="2"/>
      </rPr>
      <t xml:space="preserve">(Rellenar únicamente si la moneda en la cual el beneficiario debe recibir los fondos es distinta de la moneda de la subvención) </t>
    </r>
  </si>
  <si>
    <t>Código bancario SWIFT</t>
  </si>
  <si>
    <r>
      <t xml:space="preserve">Equivalente en la moneda de la subvención
</t>
    </r>
    <r>
      <rPr>
        <sz val="10"/>
        <rFont val="Arial"/>
        <family val="2"/>
      </rPr>
      <t xml:space="preserve">(Calculado sobre la base del tipo de cambio indicado) </t>
    </r>
  </si>
  <si>
    <t>Código bancario (otros)</t>
  </si>
  <si>
    <t>Instrucciones para proceder al pago</t>
  </si>
  <si>
    <t>Adjunto como anexo al presente Informe - Información financiera del Subreceptor- DE CUMPLIMENTACIÓN DISCRECIONAL, A PETICIÓN DE LA SECRETARÍA</t>
  </si>
  <si>
    <t>¿Solicitó la Secretaría al RP cumplimentar este anexo para el el presente período de informe? 3</t>
  </si>
  <si>
    <t>Nombre de la entidad</t>
  </si>
  <si>
    <t>Type of Implementing Entity</t>
  </si>
  <si>
    <t>Fecha del desembolso más reciente al SR</t>
  </si>
  <si>
    <t>Presupuesto para el período de informe*</t>
  </si>
  <si>
    <t>Desembolsado durante el período de informe*</t>
  </si>
  <si>
    <t>Presupuesto acumulativo durante el período de este Informe Actualizado*</t>
  </si>
  <si>
    <t>Acumulativo desembolsado durante el período de este Informe Actualizado*</t>
  </si>
  <si>
    <t>Últimos gastos  acumulativos reales durante el período cubierto por este Informe Actualizado</t>
  </si>
  <si>
    <t>Saldo de caja a la finalización del período cubierto por este Informe Actualizado</t>
  </si>
  <si>
    <t>Variación entre los últimos gastos acumulativos notificados y el presupuesto acumulativo</t>
  </si>
  <si>
    <t>Expenditure Verified by PR (YES/NO)</t>
  </si>
  <si>
    <r>
      <t>Explicación del RP sobre la variación: 1) entre el presupuesto acumulativo y el gasto acumulativo; y 2) entre el desembolso acumulativo y el gasto acumulativo</t>
    </r>
    <r>
      <rPr>
        <sz val="11"/>
        <rFont val="Arial"/>
        <family val="2"/>
      </rPr>
      <t xml:space="preserve"> (obligatoria para los importes superiores a US$ 50.000 o su equivalente y con una diferencia superior al 10%)</t>
    </r>
  </si>
  <si>
    <t>Yes</t>
  </si>
  <si>
    <t xml:space="preserve"> </t>
  </si>
  <si>
    <t xml:space="preserve">* El importe TOTAL de estas tres columnas debe conciliarse con los importes correspondientes en "1b Desembolso a los Subreceptores" de la sección 3A </t>
  </si>
  <si>
    <t xml:space="preserve">** Cuando el número de SR es significativo (más de 10), los SR con presupuestos reducidos (menos de $ 50.000 acumulado cada uno) no deben ser comunicados </t>
  </si>
  <si>
    <t xml:space="preserve">Lista de documentos justificativos para la revisión del Informe Actualizado sobre los progresos y solicitud de desembolso </t>
  </si>
  <si>
    <t>Esta lista de verificación se incluye a título informativo y no para ser rellenada.</t>
  </si>
  <si>
    <r>
      <t xml:space="preserve">Lista de </t>
    </r>
    <r>
      <rPr>
        <b/>
        <u val="single"/>
        <sz val="10"/>
        <color indexed="8"/>
        <rFont val="Calibri"/>
        <family val="2"/>
      </rPr>
      <t>los últimos documentos aprobados</t>
    </r>
    <r>
      <rPr>
        <b/>
        <sz val="10"/>
        <color indexed="8"/>
        <rFont val="Calibri"/>
        <family val="2"/>
      </rPr>
      <t xml:space="preserve"> por área funcional  </t>
    </r>
  </si>
  <si>
    <t xml:space="preserve">El RP debe facilitar al ALF </t>
  </si>
  <si>
    <t xml:space="preserve">El ALF debe presentar a la Secretaría  </t>
  </si>
  <si>
    <t>EyS</t>
  </si>
  <si>
    <t>Marco de Desempeño</t>
  </si>
  <si>
    <t>x</t>
  </si>
  <si>
    <t>Plan de Seguimiento y Evaluación (SyE)</t>
  </si>
  <si>
    <t>Resultados de las encuestas</t>
  </si>
  <si>
    <t xml:space="preserve">Para los indicadores de repercusión/resultados. </t>
  </si>
  <si>
    <t xml:space="preserve">Evaluación del fortalecimiento de los sistemas de SyE </t>
  </si>
  <si>
    <t xml:space="preserve">Decir si estuvo disponible por primera vez durante el período de informe. </t>
  </si>
  <si>
    <t xml:space="preserve">Otras evaluaciones de SyE efectuadas por asociados para evaluar las cuestiones relacionadas con la calidad de los datos y los sistemas de SyE </t>
  </si>
  <si>
    <t>Adquisiciones</t>
  </si>
  <si>
    <t xml:space="preserve">Informes sobre el consumo de productos sanitarios y farmacéuticos </t>
  </si>
  <si>
    <t>Facturas de proveedores</t>
  </si>
  <si>
    <t>Plan de GAS</t>
  </si>
  <si>
    <t xml:space="preserve">Informes sobre el nivel de existencias </t>
  </si>
  <si>
    <t>Finanzas</t>
  </si>
  <si>
    <t>Presupuestos aprobados</t>
  </si>
  <si>
    <t>Para los períodos cubiertos por el Informe Actualizado sobre los progresos y solicitud de desembolso, incluido el período de transición.</t>
  </si>
  <si>
    <t xml:space="preserve">Declaración de fuentes y usos de fondos (estado del flujo de caja) </t>
  </si>
  <si>
    <t xml:space="preserve">Véase la orientación sobre el contenido y formato de la Declaración de fuentes y usos de fondos en las directrices. </t>
  </si>
  <si>
    <t>Libros de caja</t>
  </si>
  <si>
    <t>Libros de contabilidad general</t>
  </si>
  <si>
    <t>Previsiones de efectivo</t>
  </si>
  <si>
    <t>Extractos de cuentas bancarias</t>
  </si>
  <si>
    <t>Conciliaciones bancarias</t>
  </si>
  <si>
    <t>Informe EFR (si está pendiente de presentación)</t>
  </si>
  <si>
    <t xml:space="preserve">Informe anual de auditoría del RP, estados financieros, cartas y respuestas de los órganos de dirección (si están pendientes de presentación)  </t>
  </si>
  <si>
    <t xml:space="preserve">Informe anual de auditoría de los SR, estados financieros, cartas y respuestas de los órganos de dirección (si están pendientes de presentación)  </t>
  </si>
  <si>
    <t>Administración general</t>
  </si>
  <si>
    <t xml:space="preserve">Acuerdo de subvención (incluido el anexo A y las cartas de ejecución posteriores). </t>
  </si>
  <si>
    <t>Plan de trabajo</t>
  </si>
  <si>
    <t>LFA On-going Progress Review and Disbursement Recommendation</t>
  </si>
  <si>
    <t>LFA Organization / Responsible office:</t>
  </si>
  <si>
    <t>GENERAL GRANT INFORMATION</t>
  </si>
  <si>
    <t>Country:</t>
  </si>
  <si>
    <t>Disease:</t>
  </si>
  <si>
    <t>Grant Number:</t>
  </si>
  <si>
    <t>Principal Recipient:</t>
  </si>
  <si>
    <t>Program Start Date:</t>
  </si>
  <si>
    <t>Currency:</t>
  </si>
  <si>
    <t>PROGRESS UPDATE PERIOD</t>
  </si>
  <si>
    <t>Progress Update - Reporting Period:</t>
  </si>
  <si>
    <t>Cycle:</t>
  </si>
  <si>
    <t>Number:</t>
  </si>
  <si>
    <t>Progress Update - Period Covered:</t>
  </si>
  <si>
    <t>Beginning Date:</t>
  </si>
  <si>
    <t>Progress Update - Number:</t>
  </si>
  <si>
    <t>Disbursement Request  - Disbursement Period:</t>
  </si>
  <si>
    <t>Disbursement Request  - Period Covered:</t>
  </si>
  <si>
    <t>Disbursement Request  - Number:</t>
  </si>
  <si>
    <t>TERMS AND ACRONYMS USED IN THIS PROGRESS REVIEW AND DISBURSEMENT RECOMMENDATION HAVE THE MEANING GIVEN TO THEM IN THE GRANT AGREEMENT RELATING TO THE ABOVE GRANT</t>
  </si>
  <si>
    <t>Section 1:   LFA Review and Verification of the Principal Recipient's Programmatic Progress</t>
  </si>
  <si>
    <t>Note: The table below should contain those Impact/Outcome indicators that are (1) due for reporting during the current year of a grant and (2) those reporting on which is overdue from the previous periods.</t>
  </si>
  <si>
    <t>A. Impact / Outcome Indicators</t>
  </si>
  <si>
    <t xml:space="preserve">Impact / Outcome </t>
  </si>
  <si>
    <t>Indicator Description</t>
  </si>
  <si>
    <t>Year of Target</t>
  </si>
  <si>
    <r>
      <t xml:space="preserve">Intended Target
 </t>
    </r>
    <r>
      <rPr>
        <sz val="11"/>
        <rFont val="Arial"/>
        <family val="2"/>
      </rPr>
      <t>(from Attachment)</t>
    </r>
  </si>
  <si>
    <t>Report Due Date</t>
  </si>
  <si>
    <r>
      <t xml:space="preserve">Actual Result
</t>
    </r>
    <r>
      <rPr>
        <sz val="11"/>
        <rFont val="Arial"/>
        <family val="2"/>
      </rPr>
      <t>(as reported by PR)</t>
    </r>
  </si>
  <si>
    <t>Data Source of Results</t>
  </si>
  <si>
    <t>Verification Method</t>
  </si>
  <si>
    <t>Verified Result</t>
  </si>
  <si>
    <t xml:space="preserve">LFA comments on (a) verified result, (b) source of information used by the PR to report results, including the status of completion of surveys and other methods to measure Impact/Outcome, as applicable,  </t>
  </si>
  <si>
    <t>Grant number:</t>
  </si>
  <si>
    <t xml:space="preserve">Note: All programmatic indicators contained in the current Performance Framework should be listed, regardless of whether there are targets/results for the period covered by the Progress Update or whether the targets have been met in previous periods.  </t>
  </si>
  <si>
    <t>B. Programmatic Indicators</t>
  </si>
  <si>
    <t>Objective No.</t>
  </si>
  <si>
    <t>Indicator No.</t>
  </si>
  <si>
    <t>Tied to</t>
  </si>
  <si>
    <t xml:space="preserve">Targets cumulative?
</t>
  </si>
  <si>
    <t>Top 10 indicator?</t>
  </si>
  <si>
    <r>
      <t xml:space="preserve">Intended Target
to date
 </t>
    </r>
    <r>
      <rPr>
        <sz val="11"/>
        <rFont val="Arial"/>
        <family val="2"/>
      </rPr>
      <t>(from PF)</t>
    </r>
  </si>
  <si>
    <r>
      <t xml:space="preserve">Actual Result
to date
</t>
    </r>
    <r>
      <rPr>
        <sz val="11"/>
        <rFont val="Arial"/>
        <family val="2"/>
      </rPr>
      <t>(as reported by PR)</t>
    </r>
  </si>
  <si>
    <r>
      <t xml:space="preserve">% achievement
</t>
    </r>
    <r>
      <rPr>
        <u val="single"/>
        <sz val="11"/>
        <rFont val="Arial"/>
        <family val="2"/>
      </rPr>
      <t>(Please calculate as appropriate</t>
    </r>
    <r>
      <rPr>
        <sz val="11"/>
        <rFont val="Arial"/>
        <family val="2"/>
      </rPr>
      <t>)</t>
    </r>
  </si>
  <si>
    <r>
      <t xml:space="preserve">LFA analysis on progress to date and any variance between targets and results, and any other comments
</t>
    </r>
    <r>
      <rPr>
        <sz val="11"/>
        <rFont val="Arial"/>
        <family val="2"/>
      </rPr>
      <t>(</t>
    </r>
    <r>
      <rPr>
        <u val="single"/>
        <sz val="11"/>
        <rFont val="Arial"/>
        <family val="2"/>
      </rPr>
      <t>this should not be a “Copy and Paste” of the reasons provided by the PR</t>
    </r>
    <r>
      <rPr>
        <sz val="11"/>
        <rFont val="Arial"/>
        <family val="2"/>
      </rPr>
      <t>)</t>
    </r>
  </si>
  <si>
    <r>
      <t xml:space="preserve">C LFA comments on data quality and reporting issues
</t>
    </r>
    <r>
      <rPr>
        <b/>
        <sz val="11"/>
        <color indexed="12"/>
        <rFont val="Arial"/>
        <family val="2"/>
      </rPr>
      <t>(!)</t>
    </r>
    <r>
      <rPr>
        <b/>
        <sz val="11"/>
        <rFont val="Arial"/>
        <family val="2"/>
      </rPr>
      <t xml:space="preserve"> </t>
    </r>
    <r>
      <rPr>
        <sz val="11"/>
        <rFont val="Arial"/>
        <family val="2"/>
      </rPr>
      <t xml:space="preserve">This section should contain any common issues and/or additional information related to data quality and reporting on the programmatic indicators which are not covered in 'LFA analysis on progress to date and any variance between targets and results' </t>
    </r>
  </si>
  <si>
    <t>Section 2:  Grant Management</t>
  </si>
  <si>
    <t>A.  PR &amp; LFA COMMENTS ON THE FULFILLMENT OF OUTSTANDING CONDITIONS PRECEDENT AND/OR SPECIAL CONDITIONS UNDER THE GRANT AGREEMENT</t>
  </si>
  <si>
    <r>
      <t>!</t>
    </r>
    <r>
      <rPr>
        <sz val="13"/>
        <rFont val="Arial"/>
        <family val="2"/>
      </rPr>
      <t xml:space="preserve"> This table should contain a full text of the CP and/or other special conditions due for fulfilment during this period or outstanding from previous periods.</t>
    </r>
  </si>
  <si>
    <r>
      <t xml:space="preserve">! </t>
    </r>
    <r>
      <rPr>
        <sz val="13"/>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</si>
  <si>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r>
      <t>!</t>
    </r>
    <r>
      <rPr>
        <sz val="13"/>
        <rFont val="Arial"/>
        <family val="2"/>
      </rPr>
      <t xml:space="preserve"> If a Condition Precedent that was previously fulfilled is re-opened due to new circumstances, and the issue addressed by this condition is considered critical, the issue should be disclosed by the LFA in the Section 4 LFA Findings and Recommendations.  At the discretion of the Fund Portfolio Manager, the issue may be followed up through the management actions assigned by the Global Fund to the PR.</t>
    </r>
  </si>
  <si>
    <t>PR SECTION</t>
  </si>
  <si>
    <t>LFA SECTION</t>
  </si>
  <si>
    <t>Conditions Precedent and/or other special conditions</t>
  </si>
  <si>
    <t>Status</t>
  </si>
  <si>
    <t>Analysis
(this should not be a "Copy and Paste" of the comments provided by the PR)</t>
  </si>
  <si>
    <t>B.  PR &amp; LFA REVIEW OF PROGRESS ON IMPLEMENTATION OF OUTSTANDING MANAGEMENT ACTIONS FROM PREVIOUS DISBURSEMENTS</t>
  </si>
  <si>
    <r>
      <t>!</t>
    </r>
    <r>
      <rPr>
        <sz val="13"/>
        <rFont val="Arial"/>
        <family val="2"/>
      </rPr>
      <t xml:space="preserve"> This table should contain all issues raised in the last Management Letter from the Global Fund or outstanding from previous Management Letters, and comment on the progress.</t>
    </r>
  </si>
  <si>
    <t>Global Fund Management Actions</t>
  </si>
  <si>
    <t>LFA Review of PR Progress on Global Fund Management Actions</t>
  </si>
  <si>
    <t>C.  PR &amp; LFA COMMENTS ON ANNUAL GRANT REPORTING REQUIREMENTS</t>
  </si>
  <si>
    <t>This table should contain the due date for the report due for submission.  If a report is overdue, indicate the original due date and explain the reason for delay.</t>
  </si>
  <si>
    <t>Required Documentation</t>
  </si>
  <si>
    <t>Due date</t>
  </si>
  <si>
    <t>PR Audit Report</t>
  </si>
  <si>
    <t>Enhanced Financial Reporting (EFR)</t>
  </si>
  <si>
    <t>Section 3A:  Total PR Cash Outflow</t>
  </si>
  <si>
    <t>LFA-VERIFIED TABLES ON TOTAL PR CASH OUTFLOW</t>
  </si>
  <si>
    <r>
      <t>!</t>
    </r>
    <r>
      <rPr>
        <sz val="14"/>
        <rFont val="Arial"/>
        <family val="2"/>
      </rPr>
      <t xml:space="preserve"> For RCC grants the cumulative section of the table below should contain cumulative amount from the start of the RCC and not from the start of Phase 1 of the program.</t>
    </r>
  </si>
  <si>
    <t>LFA-Verified Budget for Reporting Period</t>
  </si>
  <si>
    <t>LFA-Verified Actual for Reporting Period</t>
  </si>
  <si>
    <t>LFA Analysis of Variance</t>
  </si>
  <si>
    <t>LFA-Verified Cumulative Budget through period of Progress Update</t>
  </si>
  <si>
    <t>LFA-Verified Actual through period of Progress Update</t>
  </si>
  <si>
    <t>1. Total cash outflow vs. budget</t>
  </si>
  <si>
    <t>2. Pharmaceuticals &amp; health product expenditures vs. budget</t>
  </si>
  <si>
    <t xml:space="preserve">* If LFA-entered data differs from PR's figures, the respective cells will change colour automatically </t>
  </si>
  <si>
    <t>3.  Indicate any expenditures (incurred or forecasted) that should not be financed by the Global Fund</t>
  </si>
  <si>
    <t>LFA review of Enhanced Financial Reporting template</t>
  </si>
  <si>
    <t>Section 3B: ENHANCED FINANCIAL REPORTING PERIOD</t>
  </si>
  <si>
    <t>Current Period</t>
  </si>
  <si>
    <t>Cumulative Period</t>
  </si>
  <si>
    <t>1.  CHECKLIST</t>
  </si>
  <si>
    <t>The following information provided by the Principal Recipient in its EFR has been checked.</t>
  </si>
  <si>
    <t>Comments if any:</t>
  </si>
  <si>
    <t>The template has been fully completed.</t>
  </si>
  <si>
    <t>The total figures in Tables A, B and C are equal.</t>
  </si>
  <si>
    <t>The reporting dates are correct for both current period and cumulative period.</t>
  </si>
  <si>
    <t>The total budget figure is accurate based on existing approved budgets.</t>
  </si>
  <si>
    <t>The PR expenditure in Table C is consistent with PR expenditure for the same period as provided in the Progress Updates/Disbursements Request (PU/DR).</t>
  </si>
  <si>
    <t xml:space="preserve">The total expenditure is supported by appropriate documentation ( PR expenditure reports, bank reconciliations, SR expenditure reports to PR etc.) or reasonable assumptions. </t>
  </si>
  <si>
    <t>2.  COMPLETION OF THE TEMPLATE</t>
  </si>
  <si>
    <r>
      <t xml:space="preserve">Comments on the process, assumptions and supporting documentation used by the PR to complete the template. </t>
    </r>
    <r>
      <rPr>
        <i/>
        <sz val="11"/>
        <rFont val="Arial"/>
        <family val="2"/>
      </rPr>
      <t>(If space is insufficient, please provide comments in an addendum)</t>
    </r>
  </si>
  <si>
    <t>3. VARIANCE ANALYSIS</t>
  </si>
  <si>
    <t>Comments on the explanations for variances provided by the PR (LFA can also provide comment directly on the EFR template completed by the PR)</t>
  </si>
  <si>
    <t xml:space="preserve">Signed on behalf of the LFA: </t>
  </si>
  <si>
    <t xml:space="preserve">Name: </t>
  </si>
  <si>
    <t xml:space="preserve">Title: </t>
  </si>
  <si>
    <t xml:space="preserve">Date and Place: </t>
  </si>
  <si>
    <t>Section 4: LFA-verified Procurement and Supply Management Information</t>
  </si>
  <si>
    <t>PR's response</t>
  </si>
  <si>
    <t>LFA's response</t>
  </si>
  <si>
    <t xml:space="preserve">LFA Comments/Analysis </t>
  </si>
  <si>
    <t xml:space="preserve">1a.  Has the PR updated the Price Quality Reporting (PQR) with the required information on the pharmaceuticals and health products received during the period covered by this PU/DR’ (if applicable)?  (If health products procurement information has not been entered into the PQR, please explain why in comments box)    </t>
  </si>
  <si>
    <t>1b.  Value of Pharmaceuticals and Health Products in the PQR (6 categories only)</t>
  </si>
  <si>
    <r>
      <t>(!)</t>
    </r>
    <r>
      <rPr>
        <sz val="11"/>
        <rFont val="Arial"/>
        <family val="2"/>
      </rPr>
      <t xml:space="preserve"> This table is included in the PU/DR form with the aim to improve completeness of information in the PQR system and not for comparing PQR amounts vis-à-vis expenditure per se. NB: PQR and expenditure amounts on health products may not be equal due to a timelag between payments and delivery of pharmaceuticals/health products.
</t>
    </r>
    <r>
      <rPr>
        <b/>
        <sz val="11"/>
        <color indexed="12"/>
        <rFont val="Arial"/>
        <family val="2"/>
      </rPr>
      <t>(!)</t>
    </r>
    <r>
      <rPr>
        <sz val="11"/>
        <rFont val="Arial"/>
        <family val="2"/>
      </rPr>
      <t xml:space="preserve">  For further guidance on PQR data entry, please refer to the guidelines.</t>
    </r>
  </si>
  <si>
    <t>Reporting Currency</t>
  </si>
  <si>
    <t>PQR Product Categories</t>
  </si>
  <si>
    <t>Value of  products received during reporting period</t>
  </si>
  <si>
    <t>Value of products entered by the PR and verified as correct by the LFA in the PQR during reporting period</t>
  </si>
  <si>
    <t>Cumulative value of  products received since Jan 2011</t>
  </si>
  <si>
    <t>Cumulative value of products verified as correct by the LFA in the PQR since Jan 2011</t>
  </si>
  <si>
    <t>1. Anti-malaria medicines</t>
  </si>
  <si>
    <t>2. Bed nets</t>
  </si>
  <si>
    <t>3. Rapid Diagnostic Tests</t>
  </si>
  <si>
    <t>4. Condoms</t>
  </si>
  <si>
    <t>5. Anti-retrovirals</t>
  </si>
  <si>
    <t>6. Anti-TB Medicines</t>
  </si>
  <si>
    <r>
      <t xml:space="preserve">2. Based on best information available to the LFA, are there any risks of drug stockout </t>
    </r>
    <r>
      <rPr>
        <b/>
        <u val="single"/>
        <sz val="11"/>
        <rFont val="Arial"/>
        <family val="2"/>
      </rPr>
      <t>at the central level</t>
    </r>
    <r>
      <rPr>
        <b/>
        <sz val="11"/>
        <rFont val="Arial"/>
        <family val="2"/>
      </rPr>
      <t xml:space="preserve"> in the next period of implementation?  (If yes, please explain in comments box)
! </t>
    </r>
    <r>
      <rPr>
        <sz val="11"/>
        <rFont val="Arial"/>
        <family val="2"/>
      </rPr>
      <t xml:space="preserve">This section should be completed by the LFA based on best information on stock levels at the central level available to the LFA and should not require dedicated visits for on-site checks of stocks.
</t>
    </r>
  </si>
  <si>
    <t>3.  PR comments on issues related to the procurement and supply management of pharmaceuticals and health products</t>
  </si>
  <si>
    <t>LFA analysis on issues related to the procurement and supply management of pharmaceuticals and health products</t>
  </si>
  <si>
    <t xml:space="preserve">LFA-specific section:  LFA Findings &amp; Recommendations  </t>
  </si>
  <si>
    <r>
      <t>!</t>
    </r>
    <r>
      <rPr>
        <sz val="14"/>
        <rFont val="Arial"/>
        <family val="2"/>
      </rPr>
      <t xml:space="preserve"> Based on the information provided in the previous sections and your understanding of the grant, please summarise any </t>
    </r>
    <r>
      <rPr>
        <u val="single"/>
        <sz val="14"/>
        <rFont val="Arial"/>
        <family val="2"/>
      </rPr>
      <t>important</t>
    </r>
    <r>
      <rPr>
        <sz val="14"/>
        <rFont val="Arial"/>
        <family val="2"/>
      </rPr>
      <t xml:space="preserve"> management issues, proposing a recommendation for each.
</t>
    </r>
    <r>
      <rPr>
        <b/>
        <sz val="14"/>
        <color indexed="12"/>
        <rFont val="Arial"/>
        <family val="2"/>
      </rPr>
      <t xml:space="preserve">NB: an issue is considered as 'important' if it impacts or is likely to impact program implementation and results.  </t>
    </r>
    <r>
      <rPr>
        <b/>
        <sz val="14"/>
        <rFont val="Arial"/>
        <family val="2"/>
      </rPr>
      <t xml:space="preserve">  </t>
    </r>
    <r>
      <rPr>
        <sz val="14"/>
        <rFont val="Arial"/>
        <family val="2"/>
      </rPr>
      <t xml:space="preserve">                                                                                                                                                                                                      </t>
    </r>
    <r>
      <rPr>
        <sz val="14"/>
        <color indexed="12"/>
        <rFont val="Arial"/>
        <family val="2"/>
      </rPr>
      <t xml:space="preserve">! </t>
    </r>
    <r>
      <rPr>
        <sz val="14"/>
        <rFont val="Arial"/>
        <family val="2"/>
      </rPr>
      <t>Instead of repeating detailed descriptions of issues covered in other sections, it is acceptable to state the issue and reference the section containing the details.</t>
    </r>
  </si>
  <si>
    <t>Functional Areas</t>
  </si>
  <si>
    <t>Description of Identified Issues 
(in order of importance)</t>
  </si>
  <si>
    <t>LFA Recommendations 
(in order of importance)</t>
  </si>
  <si>
    <t>FPM Comments
(to be completed upon receipt of the LFA-verified form)</t>
  </si>
  <si>
    <t>Other management issues, including: PR capacity to develop quality programmatic and financial reports</t>
  </si>
  <si>
    <t>LFA_Findings &amp; Recommendations</t>
  </si>
  <si>
    <t>Program management (including SR management)</t>
  </si>
  <si>
    <t>Financial management and systems</t>
  </si>
  <si>
    <t>Monitoring and evaluation</t>
  </si>
  <si>
    <t>Pharmaceutical &amp; health product management</t>
  </si>
  <si>
    <t>Section 5:  LFA-verified Cash Reconciliation &amp; Disbursement Recommendation</t>
  </si>
  <si>
    <t>A.  LFA-VERIFIED CASH RECONCILIATION FOR PERIOD COVERED BY PROGRESS UPDATE</t>
  </si>
  <si>
    <t>PR-reported amounts</t>
  </si>
  <si>
    <t>LFA-verified amounts</t>
  </si>
  <si>
    <t>LFA Comments on verified amounts (if they are different from those reported by the PR) and PR's explanation of reconciliation adjustments (line 9)</t>
  </si>
  <si>
    <t>1.  Cash Balance: Beginning of period covered by Progress Update (line 10 from Cash Reconciliation section of the period covered by the previous Progress Update):</t>
  </si>
  <si>
    <t>Add:</t>
  </si>
  <si>
    <r>
      <t xml:space="preserve">2.  Cash received by the PR from the Global Fund during the period covered by this progress update: </t>
    </r>
    <r>
      <rPr>
        <vertAlign val="superscript"/>
        <sz val="11"/>
        <rFont val="Arial"/>
        <family val="2"/>
      </rPr>
      <t>(1)</t>
    </r>
  </si>
  <si>
    <r>
      <t xml:space="preserve">3.  Cash disbursed to third parties by the Global Fund on behalf of the PR during the period covered by this progress update: </t>
    </r>
    <r>
      <rPr>
        <vertAlign val="superscript"/>
        <sz val="11"/>
        <rFont val="Arial"/>
        <family val="2"/>
      </rPr>
      <t>(1)</t>
    </r>
  </si>
  <si>
    <t>4.  Interest received on bank account</t>
  </si>
  <si>
    <t>compromisos</t>
  </si>
  <si>
    <t>reprogramacion</t>
  </si>
  <si>
    <t>economia</t>
  </si>
  <si>
    <t>Recalendarizacion del S6 a ejecutarce en el S7</t>
  </si>
  <si>
    <t>Reprogramacion del S6 a ejecutarce en el S7</t>
  </si>
  <si>
    <t>Compromisos del S4 ejecutados en el S5</t>
  </si>
  <si>
    <t>compromisos del S4 ejecutados en el S5</t>
  </si>
  <si>
    <t>compromisos del S6 a ejecutarce en el S7</t>
  </si>
  <si>
    <t>reprogramaciones dentro del s4 ejecutadas en el en el mismo periodo (S4)</t>
  </si>
  <si>
    <t>Reprogramacion dentro del S5 y ejecutadas en el mismo periodo</t>
  </si>
  <si>
    <t>diferenacia en EFR</t>
  </si>
  <si>
    <t>economia S6</t>
  </si>
  <si>
    <t>Economia S5</t>
  </si>
  <si>
    <t xml:space="preserve">ecomomias del S1 devido a que el FG realizo otro desembolso de $ 720 envio cepas </t>
  </si>
  <si>
    <t>monto reprogramando dentre del mismo periodo</t>
  </si>
  <si>
    <t>reprogramaciones dentro del S4 y ejecutarce en el mismo periodo</t>
  </si>
  <si>
    <t>reprogramaciones dentro del periodo S6 y ejecutado en el mismo semestre</t>
  </si>
  <si>
    <t>Reprogramaciones del S3 ejecutado en el S4</t>
  </si>
  <si>
    <t>Economias S1 solicitado al FG S3 y ejecutado</t>
  </si>
  <si>
    <t>reprogramaciones del S5 ejecutado en el S6</t>
  </si>
  <si>
    <t>reprogramaciones del S6  a ejecutrce en el S7</t>
  </si>
  <si>
    <t>reprogramaciones dentro del S6 y ejecutado en el mismo periodo</t>
  </si>
  <si>
    <t>recalendarizacion S6 a ejecutarce en el S7</t>
  </si>
  <si>
    <t>recalendarizacion del S2 ejecutarce en el S3</t>
  </si>
  <si>
    <t>recalendarizacion del S3 ejecutado en el S4</t>
  </si>
  <si>
    <t>recalendarizacion  del S2 ejecutado del S3</t>
  </si>
  <si>
    <t>reprogramaciones del S2 ejecutado en el S3</t>
  </si>
  <si>
    <t>reprogramaciones del S4 ejecutado en el S5</t>
  </si>
  <si>
    <t xml:space="preserve">Reprogramacion dentro del S6 </t>
  </si>
  <si>
    <t>reprogramaciones del S4 ejecutados en el S5</t>
  </si>
  <si>
    <t>recalendarizacion  del S4 a ejecutarce en el S5</t>
  </si>
  <si>
    <t>recalendarizacion del S3 a ejecutarce en el S4</t>
  </si>
  <si>
    <t>reprogramacion del s3 ejecutados en el S</t>
  </si>
  <si>
    <t>reprogramacion del s4 ejecutados en el S5</t>
  </si>
  <si>
    <t>recalendarizacion del S2 ejecutados en el S3</t>
  </si>
  <si>
    <t>recalendarizacio del S3 ejecutado en el S4</t>
  </si>
  <si>
    <t>recalendarizacion del S6 a ejecutarce en el S7</t>
  </si>
  <si>
    <t>reprogramacion dentro del  S6 y ejecutado en el mismo periodo</t>
  </si>
  <si>
    <t>reprogramacion del S5 y ejecutado en el S6</t>
  </si>
  <si>
    <t>reorientacion del s2</t>
  </si>
  <si>
    <t>reorientacion del s3</t>
  </si>
  <si>
    <t>monto reprogramado del s6 a ejecutarce en el S7</t>
  </si>
  <si>
    <t>reclendarizacion del S6 a ejecutarce en el S7</t>
  </si>
  <si>
    <t>reprogramaciones del S6 a ejecutarce en el S7</t>
  </si>
  <si>
    <t>reprogramacion dentro del S6 ejecutados en el mismo periodo</t>
  </si>
  <si>
    <t>reprogramacion del S6 a ejecutarce en  el S7</t>
  </si>
  <si>
    <t>reprogramacion del S5 ejecutado en el S6</t>
  </si>
  <si>
    <t>reprogramacion del S5 ejecutado en el s6</t>
  </si>
  <si>
    <t>reprogramacion dentro del S5 y ejecutado en el mismo periodo</t>
  </si>
  <si>
    <t>compromisos del S4 ejecutado en el S5</t>
  </si>
  <si>
    <t>reprogramaciones dentro del S6 ejecutados en el mismo periodo</t>
  </si>
  <si>
    <t>reprogramaciones dentro del S5 y ejecutados en el mismo perido</t>
  </si>
  <si>
    <t>compromisos del S4  ejecutados en el S5</t>
  </si>
  <si>
    <t>reprogramaciones del S5  ejecutados en el S6</t>
  </si>
  <si>
    <t>reprogramaciones dentro del S6 y ejecutados en el mismo periodo</t>
  </si>
  <si>
    <t>reprogramacion dentro del S6 y ejecutados en el mismo periodo</t>
  </si>
  <si>
    <t>monto no desembolsado en el S5</t>
  </si>
  <si>
    <t>reprogramacion del S6 para ser ejecutado en el S7</t>
  </si>
  <si>
    <t>reprogramacion dentro del S6 y ejecutado en el mismo periodo</t>
  </si>
  <si>
    <t>Compromisos del S4 ejecutado en el S5</t>
  </si>
  <si>
    <t>Reprogramacion del S4 ejecutado en el S5</t>
  </si>
  <si>
    <t>Recalendarizacion  del S4 ejecutado en el S5</t>
  </si>
  <si>
    <t>Recalendarizacion del S2 ejecutado en el S3</t>
  </si>
  <si>
    <t>Recalendarizacion del S3 ejecutado en el S4</t>
  </si>
  <si>
    <t>Recalendarizacion  del S3 ejecutado en el S4</t>
  </si>
  <si>
    <t>Reprogramaciones del S1 ejejcutado en el S2</t>
  </si>
  <si>
    <t>Reprogramaciones del S4 ejecutado en el S5</t>
  </si>
  <si>
    <t>reprogramacion del S3 ejecutado en el S4</t>
  </si>
  <si>
    <t>reprogramacion del S4 ejecutado en el S5</t>
  </si>
  <si>
    <t>reprogramaciones dentro del S5 y ejecutado en el mismo epriodo</t>
  </si>
  <si>
    <t>Reprogramacion del S3 ejecutado en el S4</t>
  </si>
  <si>
    <t>Compromisos S4 ejecutado en S5</t>
  </si>
  <si>
    <t>Economia S1 solicitadas al FG y ejecutadas en S3</t>
  </si>
  <si>
    <t>5.  Revenue from income-generating activities (if applicable)</t>
  </si>
  <si>
    <t>6.  Other income, if applicable (e.g. income from disposal of fixed assets, tax refunds)</t>
  </si>
  <si>
    <t>Less:</t>
  </si>
  <si>
    <t>7.  Total PR cash outflow during period covered by Progress Update (value entered in Section 3A "Total cash outflow"):</t>
  </si>
  <si>
    <t>8.  Net exchange rate gains/losses (gains should be shown with a minus sign; losses should be shown with a plus sign)</t>
  </si>
  <si>
    <t>9. Reconciliation adjustments (gains should be shown with a minus sign; losses should be shown with a plus sign)</t>
  </si>
  <si>
    <t>10.  Cash Balance: End of period covered by Progress Update:</t>
  </si>
  <si>
    <t>B.  LFA-RECOMMENDED DISBURSEMENT AMOUNT AND EXPLANATIONS</t>
  </si>
  <si>
    <t>Total forecasted net cash expenditures by the Principal Recipient for the period immediately following the period covered</t>
  </si>
  <si>
    <t xml:space="preserve"> by the Progress Update:</t>
  </si>
  <si>
    <t>1.  Period beginning date:</t>
  </si>
  <si>
    <t>end date:</t>
  </si>
  <si>
    <t>Approved budget amount (reported by PR):</t>
  </si>
  <si>
    <t>Forecasted amount  (reported by PR):</t>
  </si>
  <si>
    <t>LFA-verified approved budget amount:</t>
  </si>
  <si>
    <t>LFA-adjusted forecasted amount:</t>
  </si>
  <si>
    <t>2a. Cash buffer period (by default)</t>
  </si>
  <si>
    <t xml:space="preserve">  (cash "buffer") beginning date:</t>
  </si>
  <si>
    <t>PR Total Forecast</t>
  </si>
  <si>
    <r>
      <t xml:space="preserve">2b.  Additional "buffer" (discretionary, select only if there is a prior agreement with the FPM) </t>
    </r>
    <r>
      <rPr>
        <b/>
        <sz val="11"/>
        <rFont val="Arial"/>
        <family val="2"/>
      </rPr>
      <t>(1)</t>
    </r>
  </si>
  <si>
    <t>LFA Total Forecast</t>
  </si>
  <si>
    <t>(cash "buffer") beginning date</t>
  </si>
  <si>
    <t>approved budget amount:</t>
  </si>
  <si>
    <t>forecasted amount:</t>
  </si>
  <si>
    <t>(1) Upon agreement with the FPM, additional Cash buffer can be requested if the PU/DR report contains a completed EFR report or a completed Annex on SR financials, requested by the Secretariat, or if there are any additional GF-specific requirements that cannot be delivered within 45 days.  However such requests may or may not be satisfied based on the review of the current PUDR</t>
  </si>
  <si>
    <t>(2) When the additional (cash "buffer" ) period is 1 or 2months, the approved budget and forecasted amounts should be calculated as prorated values for the period following the regular buffer period.</t>
  </si>
  <si>
    <t>PR's explanation of any significant variance between forecasted amounts and amounts as originally budgeted.</t>
  </si>
  <si>
    <r>
      <t xml:space="preserve">LFA's explanation of any significant variance between forecasted amounts and amounts as originally budgeted.
</t>
    </r>
    <r>
      <rPr>
        <sz val="11"/>
        <rFont val="Arial"/>
        <family val="2"/>
      </rPr>
      <t xml:space="preserve">
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i/>
        <sz val="11"/>
        <rFont val="Arial"/>
        <family val="2"/>
      </rPr>
      <t xml:space="preserve">
</t>
    </r>
    <r>
      <rPr>
        <b/>
        <sz val="11"/>
        <rFont val="Arial"/>
        <family val="2"/>
      </rPr>
      <t>!</t>
    </r>
    <r>
      <rPr>
        <sz val="11"/>
        <rFont val="Arial"/>
        <family val="2"/>
      </rPr>
      <t xml:space="preserve"> The forecast should include any existing commitments (eligible under this grant) as of the end of the reporting period and which are likely to be paid during the disbursement period</t>
    </r>
  </si>
  <si>
    <t>3. Cash Balance: End of period covered by Progress Update (number 10 from LFA or PR Cash Reconciliation sheet):</t>
  </si>
  <si>
    <t>LFA Comments</t>
  </si>
  <si>
    <t>4. Cash "in transit" disbursed to the PR:</t>
  </si>
  <si>
    <t>5. Cash "in transit" disbursed to third parties by the Global Fund on behalf of the PR :</t>
  </si>
  <si>
    <t>PR-requested amount</t>
  </si>
  <si>
    <t>LFA-recommended amount</t>
  </si>
  <si>
    <t>6. Disbursement Request to the Global Fund for the period immediately following the period covered by the Progress Update, plus additional period (cash buffer):</t>
  </si>
  <si>
    <t>7.  Does the PR's Disbursement Request include funds for health product procurement?</t>
  </si>
  <si>
    <t>8.  Exchange Rate (used to translate local currency into grant currency)</t>
  </si>
  <si>
    <t>Rates used by the PR</t>
  </si>
  <si>
    <t>LFA-verified rates</t>
  </si>
  <si>
    <t>Name of local currency and LFA comments on the exchange rates used by the PR</t>
  </si>
  <si>
    <t>- used to convert Opening Cash Balance</t>
  </si>
  <si>
    <t>- used to convert Closing Cash Balance</t>
  </si>
  <si>
    <t>- used to convert Total PR Cash Outflow for the Progress Update Period</t>
  </si>
  <si>
    <t>Section 6:  LFA EVALUATION AND COMMENTS ON OVERALL PERFORMANCE</t>
  </si>
  <si>
    <t>A.  Overall Evaluation and Rating of Grant Performance (including a summary of how financial performance is linked to programmatic achievements)</t>
  </si>
  <si>
    <r>
      <t xml:space="preserve">! </t>
    </r>
    <r>
      <rPr>
        <sz val="11"/>
        <rFont val="Arial"/>
        <family val="2"/>
      </rPr>
      <t xml:space="preserve"> The evaluation should be undertaken by taking into account programmatic achievements, financial performance and program issues in various functional areas (M&amp;E, Finance, Procurement, and Program Management, including management of sub-recipients).  See Guidelines for more detailed guidance on the completion of this section.
</t>
    </r>
    <r>
      <rPr>
        <b/>
        <sz val="11"/>
        <color indexed="12"/>
        <rFont val="Arial"/>
        <family val="2"/>
      </rPr>
      <t>!</t>
    </r>
    <r>
      <rPr>
        <sz val="11"/>
        <color indexed="53"/>
        <rFont val="Arial"/>
        <family val="2"/>
      </rPr>
      <t xml:space="preserve"> </t>
    </r>
    <r>
      <rPr>
        <sz val="11"/>
        <rFont val="Arial"/>
        <family val="2"/>
      </rPr>
      <t xml:space="preserve"> For RCC grants, this section should cover the period from the RCC start date through the end date of the current Progress Update period.                                                                                                                                          </t>
    </r>
    <r>
      <rPr>
        <b/>
        <sz val="11"/>
        <color indexed="12"/>
        <rFont val="Arial"/>
        <family val="2"/>
      </rPr>
      <t>!</t>
    </r>
    <r>
      <rPr>
        <b/>
        <sz val="11"/>
        <rFont val="Arial"/>
        <family val="2"/>
      </rPr>
      <t xml:space="preserve"> </t>
    </r>
    <r>
      <rPr>
        <sz val="11"/>
        <rFont val="Arial"/>
        <family val="2"/>
      </rPr>
      <t>For guidance on the methodology for rating overall performance, refer to Annex 2 of Guidelines.</t>
    </r>
  </si>
  <si>
    <t>Indicator rating</t>
  </si>
  <si>
    <t>Any major management issues resulting in downgrade?</t>
  </si>
  <si>
    <t>Overall Grant Rating</t>
  </si>
  <si>
    <t>B.  LFA comments on PR planned changes in the program, if any</t>
  </si>
  <si>
    <t>C.  LFA Comments on External Factors Beyond Control of the Principal Recipients that have impacted or may impact program</t>
  </si>
  <si>
    <t>Section 7:  Disbursement Recommendation</t>
  </si>
  <si>
    <t>A. DISBURSEMENT RECOMMENDATION</t>
  </si>
  <si>
    <t>Overall Rating</t>
  </si>
  <si>
    <t>Indicative disbursement ranges by performance rating (included as a reference)</t>
  </si>
  <si>
    <t>Performance rating</t>
  </si>
  <si>
    <t>Range for cumulative disbursement amount (after the currently recommended disbursement)</t>
  </si>
  <si>
    <t>A1</t>
  </si>
  <si>
    <t>Exceeding expectations</t>
  </si>
  <si>
    <t>Above 95% of cumulative budget through the next reporting period</t>
  </si>
  <si>
    <t>A2</t>
  </si>
  <si>
    <t>Meeting expectations</t>
  </si>
  <si>
    <t>Between 85-105% of cumulative budget through the next reporting period</t>
  </si>
  <si>
    <t>B1</t>
  </si>
  <si>
    <t>Adequate</t>
  </si>
  <si>
    <t>Between 55-95% of cumulative budget through the next reporting period</t>
  </si>
  <si>
    <t xml:space="preserve">B2 </t>
  </si>
  <si>
    <t>Inadequate but potential demonstrated</t>
  </si>
  <si>
    <t>Between 25-65% of cumulative budget through the next reporting period</t>
  </si>
  <si>
    <t>C</t>
  </si>
  <si>
    <t>Unacceptable</t>
  </si>
  <si>
    <t>Below 35% of cumulative budget through the next reporting period</t>
  </si>
  <si>
    <t>State the amount in words</t>
  </si>
  <si>
    <t>Cumulative budget through the next period of implementation (including the buffer)</t>
  </si>
  <si>
    <r>
      <t>Cumulative disbursed amount to date</t>
    </r>
    <r>
      <rPr>
        <b/>
        <sz val="11"/>
        <color indexed="8"/>
        <rFont val="Arial"/>
        <family val="2"/>
      </rPr>
      <t xml:space="preserve"> (*)</t>
    </r>
  </si>
  <si>
    <t>Cumulative disbursed after recommended disbursement (including the buffer)</t>
  </si>
  <si>
    <t>% range</t>
  </si>
  <si>
    <t>Is the recommended disbursement within the range?</t>
  </si>
  <si>
    <r>
      <t xml:space="preserve"> </t>
    </r>
    <r>
      <rPr>
        <b/>
        <sz val="11"/>
        <rFont val="Arial"/>
        <family val="2"/>
      </rPr>
      <t>(*)</t>
    </r>
    <r>
      <rPr>
        <sz val="11"/>
        <rFont val="Arial"/>
        <family val="2"/>
      </rPr>
      <t xml:space="preserve">This data can be obtained from the "Disbursements in detail report (PDF)" (http://www.theglobalfund.org/documents/disbursementdetails.pdf) </t>
    </r>
  </si>
  <si>
    <t>3.  Rationale for the LFA's disbursement recommendation (if resulting in cumulative disbursement outside the indicative ranges):</t>
  </si>
  <si>
    <t>B.  VERIFICATIONS</t>
  </si>
  <si>
    <r>
      <t xml:space="preserve">The following information provided by the Principal Recipient in its </t>
    </r>
    <r>
      <rPr>
        <i/>
        <sz val="11"/>
        <rFont val="Arial"/>
        <family val="2"/>
      </rPr>
      <t>On-going Progress Review and Disbursement Request</t>
    </r>
    <r>
      <rPr>
        <sz val="11"/>
        <rFont val="Arial"/>
        <family val="2"/>
      </rPr>
      <t xml:space="preserve"> has been verified:</t>
    </r>
  </si>
  <si>
    <t>Comments regarding verifications, if any:</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</si>
  <si>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</si>
  <si>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</si>
  <si>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 Expenditures and cash reconciliation have been verified and correspond with the PR's Statement of Sources and Uses of Funds (Cash Flow Statement).</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</si>
  <si>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</si>
  <si>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</si>
  <si>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 xml:space="preserve">PR Bank details verified/corrected by LFA
</t>
  </si>
  <si>
    <t>Current budget forecasts of the Principal Recipient for the next disbursement period plus buffer period have been reviewed for reasonableness</t>
  </si>
  <si>
    <t>Motivo de la variación</t>
  </si>
  <si>
    <t xml:space="preserve">(-) $ 15,391.84 Economia del S1 
(-) $   6,699.17 Economia del S3
(-) $   9,331.31 Economia del S4 
(-) $      776.71 Economia del S5
(-) $         0.09 Economia  del S6
(-) $        24.85 Economia del S7                                                                                                                                                                                                                                                       (-) $           1.25 Economia del S8                                                                                                                                                                                                                                                                              (-) $ 5,194.18 Intereses del S9
(-) $       966.91 Compromisos del S9 que se ejecutaran en el S11                                                                                                                                                                                                                                                (-) $  10,311.41 Compromisos del S10 a ejecutarce en el S11
(-) $   2,489.22 Recalendarizacion de los compromisos de S9 a ejecutarce en el S11                                                                                                                                                                                                     (-) $ 20,173.18  Recalendarizacion del S9 a ejecutarce en el S11                                                                                                                                                                                                                                             (-) $ 58,278.55  Monto a Ejecutarce en el S11                                                                                                                                                                                                                                                                    (-) $ 81,120.53 economias del S9                                                                                                                                                                                                                                                                   (-) $   3,000.00 Compromisos del S10 que seran pagados en el S11                                                                                                                                                                                                                                 (-) $  82,029.63 Recalendarizacion del S10 a ejecutarce en el S11                                                                                                                                                                                                                          (-) $  18,949.40 Reprogramacion del S10 a ejecutarce en el S11                                                                                                                                                                        
 (+) $       39.19 Reintegro retenciones del S6 registrado en compromisos para ser ejecutado en el S8.                                   
(+) $ 5,748.80 Monto desembolsado de mas para compra de medicamento de 2da linea.                                                        (+) $ 2,069.00 Intereses generados en el S1
(+) $ 1,479.24 Intereses generados en el S2 
(+) $ 2,254.00 Intereses generados el S5
(+) $ 2,709.77 Intereses generados en el S6                                                                                                                                                                                                                                      (+) $         0.13 diferencia en aproximaciones
</t>
  </si>
  <si>
    <t xml:space="preserve">Del 100%  del presupuesto para este periodo   el 24.65% corresponden a los Gastos del Semestre 10. por el monto de                                                                                   
$ 35,708.29. La diferencia se detalla de la siguiente manera:                                                         (-) $ 3,000.00 Compromisos del perio do S10  ejecutarce en el S11                                                         (-) $ 82,029.63 Recalendarizaciones del S10 a ejecutarce en el S11                                             (-) $ 18,949.40 Reprogramaciones del S10 a ejecutarce en el S11                                               (-) $   5,194.18 Economias del S10                                                                                                      (-) $          0.50 Diferencia en aproximaciones                                                                                                                                          (+) $ 21,569.31Compromisos del S9 pagados en el S10                                                               (+) $   1,152.74 Recalendarizaciones del S9 pagadas en el S10                                             </t>
  </si>
  <si>
    <r>
      <rPr>
        <b/>
        <sz val="18"/>
        <color indexed="56"/>
        <rFont val="Arial"/>
        <family val="2"/>
      </rPr>
      <t xml:space="preserve">COMENTARIOS ALF </t>
    </r>
    <r>
      <rPr>
        <sz val="18"/>
        <rFont val="Arial"/>
        <family val="2"/>
      </rPr>
      <t xml:space="preserve">
26 - MARZO - 2015 (P.M.)</t>
    </r>
  </si>
  <si>
    <t>Resultado real Enero a Junio del año 2015</t>
  </si>
  <si>
    <r>
      <rPr>
        <b/>
        <sz val="22"/>
        <color indexed="56"/>
        <rFont val="Arial"/>
        <family val="2"/>
      </rPr>
      <t xml:space="preserve">REPORTADO EN PU_S9 </t>
    </r>
    <r>
      <rPr>
        <sz val="22"/>
        <color indexed="56"/>
        <rFont val="Arial"/>
        <family val="2"/>
      </rPr>
      <t>(Julio - Diciembre 2014) - remitido a FM en fecha Abril/2015</t>
    </r>
  </si>
  <si>
    <t>OK
PCT - 5, PCT - 9 Y PCT - 10</t>
  </si>
  <si>
    <t>Mar 2014</t>
  </si>
  <si>
    <t>39.1x100,000</t>
  </si>
  <si>
    <r>
      <rPr>
        <b/>
        <sz val="22"/>
        <color indexed="56"/>
        <rFont val="Arial"/>
        <family val="2"/>
      </rPr>
      <t xml:space="preserve">REPORTADO EN PU_S9 </t>
    </r>
    <r>
      <rPr>
        <sz val="22"/>
        <color indexed="56"/>
        <rFont val="Arial"/>
        <family val="2"/>
      </rPr>
      <t>(Julio - Diciembre 2014) - remitido a FM en fecha Abril/2015</t>
    </r>
  </si>
  <si>
    <t>OK.
PCT - 5  y PCT - 9</t>
  </si>
  <si>
    <t>18 x 100,000</t>
  </si>
  <si>
    <t>OK
PCT - 5 y PCT - 9</t>
  </si>
  <si>
    <t>Tasa de incidencia de resistencia (monoresistencias a I o R y MDR) entre sospechosos estudiados</t>
  </si>
  <si>
    <t>Fuente de Información: Laboratorio, pruebas de sensiblidad.</t>
  </si>
  <si>
    <t xml:space="preserve">Cohorte 2013.
</t>
  </si>
  <si>
    <t>OK
Fuente: Hospital Saldaña</t>
  </si>
  <si>
    <t>Resultado real obtenido en el período de Enero a Junio 2015.</t>
  </si>
  <si>
    <r>
      <t xml:space="preserve">100 / 244
</t>
    </r>
    <r>
      <rPr>
        <b/>
        <sz val="20"/>
        <color indexed="10"/>
        <rFont val="Arial"/>
        <family val="2"/>
      </rPr>
      <t>(41.0 %)</t>
    </r>
  </si>
  <si>
    <t>(25 / 447)
5.6 %</t>
  </si>
  <si>
    <r>
      <rPr>
        <sz val="16"/>
        <color indexed="56"/>
        <rFont val="Arial"/>
        <family val="2"/>
      </rPr>
      <t xml:space="preserve">Periodo 10 (Enero a Junio 2015):   </t>
    </r>
    <r>
      <rPr>
        <b/>
        <sz val="16"/>
        <color indexed="56"/>
        <rFont val="Arial"/>
        <family val="2"/>
      </rPr>
      <t xml:space="preserve">25 / 447
</t>
    </r>
    <r>
      <rPr>
        <sz val="14"/>
        <color indexed="56"/>
        <rFont val="Arial"/>
        <family val="2"/>
      </rPr>
      <t xml:space="preserve">
</t>
    </r>
    <r>
      <rPr>
        <sz val="16"/>
        <color indexed="56"/>
        <rFont val="Arial"/>
        <family val="2"/>
      </rPr>
      <t xml:space="preserve">Para este período acumulado se han captados y/o referidos </t>
    </r>
    <r>
      <rPr>
        <b/>
        <sz val="16"/>
        <color indexed="56"/>
        <rFont val="Arial"/>
        <family val="2"/>
      </rPr>
      <t xml:space="preserve">25 </t>
    </r>
    <r>
      <rPr>
        <sz val="16"/>
        <color indexed="56"/>
        <rFont val="Arial"/>
        <family val="2"/>
      </rPr>
      <t xml:space="preserve">casos Bk+ por los AUS y/o promotores de salud urbanos del MINSAL. De un total de </t>
    </r>
    <r>
      <rPr>
        <b/>
        <sz val="16"/>
        <color indexed="56"/>
        <rFont val="Arial"/>
        <family val="2"/>
      </rPr>
      <t xml:space="preserve">447 </t>
    </r>
    <r>
      <rPr>
        <sz val="16"/>
        <color indexed="56"/>
        <rFont val="Arial"/>
        <family val="2"/>
      </rPr>
      <t xml:space="preserve">casos Bk+ en los 30 municipios priorizados en donde se incluyen los casos del ISSS y Centros Penales. Por tal motivo corresponde a un 13.7 % de logro alcanzado para este período. 
Para este indicador el numerador procede de la comunidad, el denominador incluye los positivos provenientes de todo el municipio en los que están contenidos positivos de CP y del ISSS un denominador numericamente alto y como consecuencia afecta al porcentaje captado por los AUS y comunidad, resultando este al periodo, bajo al semestre.
Es de mencionar que el fenomeno social de violencia por maras o pandillas que actualmente se convive en el país, en las que muchos de estos recursos son amenazados incluso a muerte, y que en el seguimiento, busqueda activa de los casos y contactos Bk+,  estos atentan contra la vida del promotor. 
Tambien a consecuencia que los promotores realizan actividades a nivel comunitario con acciones de prevención contra Dengue y Fiebre por Chikungunya, la cual actualmente afecta la región.
</t>
    </r>
    <r>
      <rPr>
        <b/>
        <sz val="16"/>
        <color indexed="56"/>
        <rFont val="Arial"/>
        <family val="2"/>
      </rPr>
      <t xml:space="preserve">(Ver Anexos  N° 1 y N° 16). </t>
    </r>
  </si>
  <si>
    <t>OK
PCT - 5 e INFORMES DE ACTIVIDADES DE PROMOTORES</t>
  </si>
  <si>
    <r>
      <t xml:space="preserve">100 / 652
</t>
    </r>
    <r>
      <rPr>
        <b/>
        <sz val="20"/>
        <color indexed="10"/>
        <rFont val="Arial"/>
        <family val="2"/>
      </rPr>
      <t>(15.3%)</t>
    </r>
  </si>
  <si>
    <t>(74 / 779)
9.5 %</t>
  </si>
  <si>
    <r>
      <t>Periodo 10 (Enero a Junio 2015)  incluyendo casos del ISSS y Centros Penales del total de casos en el denominador del anexo 1: [</t>
    </r>
    <r>
      <rPr>
        <b/>
        <sz val="16"/>
        <color indexed="56"/>
        <rFont val="Arial"/>
        <family val="2"/>
      </rPr>
      <t>74 / 779]</t>
    </r>
    <r>
      <rPr>
        <sz val="16"/>
        <color indexed="56"/>
        <rFont val="Arial"/>
        <family val="2"/>
      </rPr>
      <t xml:space="preserve">
Para este período acumulado, de un total de </t>
    </r>
    <r>
      <rPr>
        <b/>
        <sz val="16"/>
        <color indexed="56"/>
        <rFont val="Arial"/>
        <family val="2"/>
      </rPr>
      <t>779</t>
    </r>
    <r>
      <rPr>
        <sz val="16"/>
        <color indexed="56"/>
        <rFont val="Arial"/>
        <family val="2"/>
      </rPr>
      <t xml:space="preserve"> casos de tuberculosis de todas las formas en los cuales se incluyen los casos del ISSS y Centros Penales;  los AUS y/o promotores de salud urbanos del MINSAL atendieron </t>
    </r>
    <r>
      <rPr>
        <b/>
        <sz val="16"/>
        <color indexed="56"/>
        <rFont val="Arial"/>
        <family val="2"/>
      </rPr>
      <t>74</t>
    </r>
    <r>
      <rPr>
        <sz val="16"/>
        <color indexed="56"/>
        <rFont val="Arial"/>
        <family val="2"/>
      </rPr>
      <t xml:space="preserve">  pacientes gestionados con TAES, a lo que corresponde a un </t>
    </r>
    <r>
      <rPr>
        <b/>
        <sz val="16"/>
        <color indexed="56"/>
        <rFont val="Arial"/>
        <family val="2"/>
      </rPr>
      <t xml:space="preserve">9.5 %.
</t>
    </r>
    <r>
      <rPr>
        <sz val="16"/>
        <color indexed="56"/>
        <rFont val="Arial"/>
        <family val="2"/>
      </rPr>
      <t xml:space="preserve">Por el fenomeno social de violencia por maras o pandillas en las que muchos de estos recursos son amenazados a muerte, el seguimiento de estos, atentan contra su vida; tambien se puede mencionar el fenomeno de que a pesar que se han hecho actividades de disminucion de estigma y discriminacion, existe aún temor por parte de la poblacion de tomar sus medicamentos en sus lugares de habitación, por lo que ellos reciben su tratamiento en las UCSF o en los ECOS. Es de mencionar que el cumplimiento del TAES se ha realizado con dificultad en pacientes, incluso personal de salud no pueden accesar a las comunidades y centros de salud, debido a disputa de  territorios por las maras, quienes prohiben la libre movilización a los servicios de salud de la poblacion.   
Se obtuvo un logro de cobertura de 62.1%, para este indicador tómese en cuenta que el denominador ha aumentado con respecto a la meta prevista.
</t>
    </r>
    <r>
      <rPr>
        <b/>
        <sz val="16"/>
        <color indexed="56"/>
        <rFont val="Arial"/>
        <family val="2"/>
      </rPr>
      <t>(Ver Anexo  N° 1 y N° 16)</t>
    </r>
    <r>
      <rPr>
        <sz val="16"/>
        <color indexed="56"/>
        <rFont val="Arial"/>
        <family val="2"/>
      </rPr>
      <t xml:space="preserve">. 
</t>
    </r>
  </si>
  <si>
    <t>OK.
PCT - 7 e Informes de Actividades de Promotores.</t>
  </si>
  <si>
    <r>
      <t xml:space="preserve">143 / 918
</t>
    </r>
    <r>
      <rPr>
        <b/>
        <sz val="20"/>
        <color indexed="10"/>
        <rFont val="Arial"/>
        <family val="2"/>
      </rPr>
      <t>(15.6%)</t>
    </r>
  </si>
  <si>
    <t>(274 / 1,000)
27.4 %</t>
  </si>
  <si>
    <r>
      <t xml:space="preserve">Para el período 10 (Enero a Junio 2015):   </t>
    </r>
    <r>
      <rPr>
        <b/>
        <sz val="16"/>
        <color indexed="56"/>
        <rFont val="Arial"/>
        <family val="2"/>
      </rPr>
      <t>[</t>
    </r>
    <r>
      <rPr>
        <b/>
        <sz val="16"/>
        <color indexed="56"/>
        <rFont val="Arial"/>
        <family val="2"/>
      </rPr>
      <t xml:space="preserve">274 / 1,000]
</t>
    </r>
    <r>
      <rPr>
        <sz val="16"/>
        <color indexed="56"/>
        <rFont val="Arial"/>
        <family val="2"/>
      </rPr>
      <t xml:space="preserve">Para el periodo acumulado con un total de </t>
    </r>
    <r>
      <rPr>
        <b/>
        <sz val="16"/>
        <color indexed="56"/>
        <rFont val="Arial"/>
        <family val="2"/>
      </rPr>
      <t>1,000</t>
    </r>
    <r>
      <rPr>
        <sz val="16"/>
        <color indexed="56"/>
        <rFont val="Arial"/>
        <family val="2"/>
      </rPr>
      <t xml:space="preserve"> Proveedores No PNT Públicos y Privados en los 30 municipios priorizados, colaboraron </t>
    </r>
    <r>
      <rPr>
        <b/>
        <sz val="16"/>
        <color indexed="56"/>
        <rFont val="Arial"/>
        <family val="2"/>
      </rPr>
      <t>274</t>
    </r>
    <r>
      <rPr>
        <sz val="16"/>
        <color indexed="56"/>
        <rFont val="Arial"/>
        <family val="2"/>
      </rPr>
      <t xml:space="preserve"> con actividades de la estrategia DOTS/TAES siguiendo las normas internacionales para la atención a los pacientes con TB. Lo que corresponde a</t>
    </r>
    <r>
      <rPr>
        <b/>
        <sz val="16"/>
        <color indexed="56"/>
        <rFont val="Arial"/>
        <family val="2"/>
      </rPr>
      <t xml:space="preserve"> 27.4%. 
</t>
    </r>
    <r>
      <rPr>
        <sz val="16"/>
        <color indexed="56"/>
        <rFont val="Arial"/>
        <family val="2"/>
      </rPr>
      <t xml:space="preserve">Meta lograda y superada correspondiente a un </t>
    </r>
    <r>
      <rPr>
        <b/>
        <sz val="16"/>
        <color indexed="56"/>
        <rFont val="Arial"/>
        <family val="2"/>
      </rPr>
      <t>175.6 %.</t>
    </r>
    <r>
      <rPr>
        <sz val="16"/>
        <color indexed="56"/>
        <rFont val="Arial"/>
        <family val="2"/>
      </rPr>
      <t xml:space="preserve">
</t>
    </r>
    <r>
      <rPr>
        <b/>
        <sz val="16"/>
        <color indexed="56"/>
        <rFont val="Arial"/>
        <family val="2"/>
      </rPr>
      <t xml:space="preserve">
(Ver Anexo N° 15).
</t>
    </r>
    <r>
      <rPr>
        <sz val="16"/>
        <color indexed="56"/>
        <rFont val="Arial"/>
        <family val="2"/>
      </rPr>
      <t xml:space="preserve">                                                                                                                                                                                                                                                                                                                                        
</t>
    </r>
  </si>
  <si>
    <t>OK.
Censo de APP, Cartas Compromisos</t>
  </si>
  <si>
    <t>Número de casos de tuberculosis (todas las formas) notificados a las autoridades nacionales</t>
  </si>
  <si>
    <r>
      <t xml:space="preserve">Para el  período 10 (Enero a Junio 2015): </t>
    </r>
    <r>
      <rPr>
        <b/>
        <sz val="16"/>
        <color indexed="56"/>
        <rFont val="Arial"/>
        <family val="2"/>
      </rPr>
      <t xml:space="preserve">779 </t>
    </r>
    <r>
      <rPr>
        <sz val="16"/>
        <color indexed="56"/>
        <rFont val="Arial"/>
        <family val="2"/>
      </rPr>
      <t xml:space="preserve">casos de tuberculosis todas las formas.
En total se detectaron </t>
    </r>
    <r>
      <rPr>
        <b/>
        <sz val="16"/>
        <color indexed="56"/>
        <rFont val="Arial"/>
        <family val="2"/>
      </rPr>
      <t xml:space="preserve">779 </t>
    </r>
    <r>
      <rPr>
        <sz val="16"/>
        <color indexed="56"/>
        <rFont val="Arial"/>
        <family val="2"/>
      </rPr>
      <t xml:space="preserve">casos de TB todas las formas en los 30 municipios priorizados notificados a las autoridades nacionales; en los cuales se incluyen los casos de MINSAL, ISSS y CP. </t>
    </r>
    <r>
      <rPr>
        <b/>
        <sz val="16"/>
        <color indexed="56"/>
        <rFont val="Arial"/>
        <family val="2"/>
      </rPr>
      <t xml:space="preserve">
</t>
    </r>
    <r>
      <rPr>
        <sz val="16"/>
        <color indexed="56"/>
        <rFont val="Arial"/>
        <family val="2"/>
      </rPr>
      <t xml:space="preserve">
Meta lograda y superada por las acciones de búsqueda a través del fortalecimiento y socialización de las nuevas definiciones de tuberculosis dadas por las OMS a los niveles locales, así como también la importancia de la utilización de los nuevos métodos diagnósticos tales como el Gene Xpert MTB-Rif. (</t>
    </r>
    <r>
      <rPr>
        <b/>
        <sz val="16"/>
        <color indexed="56"/>
        <rFont val="Arial"/>
        <family val="2"/>
      </rPr>
      <t>138 casos</t>
    </r>
    <r>
      <rPr>
        <sz val="16"/>
        <color indexed="56"/>
        <rFont val="Arial"/>
        <family val="2"/>
      </rPr>
      <t>); Cultivo</t>
    </r>
    <r>
      <rPr>
        <b/>
        <sz val="16"/>
        <color indexed="56"/>
        <rFont val="Arial"/>
        <family val="2"/>
      </rPr>
      <t xml:space="preserve"> (25 casos)</t>
    </r>
    <r>
      <rPr>
        <sz val="16"/>
        <color indexed="56"/>
        <rFont val="Arial"/>
        <family val="2"/>
      </rPr>
      <t xml:space="preserve"> para casos Pulmonares y Extrapulmonares, nuevos y recaídas .
</t>
    </r>
    <r>
      <rPr>
        <b/>
        <sz val="16"/>
        <color indexed="56"/>
        <rFont val="Arial"/>
        <family val="2"/>
      </rPr>
      <t xml:space="preserve">(Ver Anexo N° 1)       </t>
    </r>
  </si>
  <si>
    <r>
      <t xml:space="preserve">Periodo 10 (Enero a Junio 2015): </t>
    </r>
    <r>
      <rPr>
        <b/>
        <sz val="16"/>
        <color indexed="56"/>
        <rFont val="Arial"/>
        <family val="2"/>
      </rPr>
      <t>447</t>
    </r>
    <r>
      <rPr>
        <sz val="16"/>
        <color indexed="56"/>
        <rFont val="Arial"/>
        <family val="2"/>
      </rPr>
      <t xml:space="preserve"> casos de tuberculosis baciloscopía positiva.
</t>
    </r>
    <r>
      <rPr>
        <b/>
        <sz val="16"/>
        <color indexed="56"/>
        <rFont val="Arial"/>
        <family val="2"/>
      </rPr>
      <t xml:space="preserve">
</t>
    </r>
    <r>
      <rPr>
        <sz val="16"/>
        <color indexed="56"/>
        <rFont val="Arial"/>
        <family val="2"/>
      </rPr>
      <t xml:space="preserve">En total de detectaron </t>
    </r>
    <r>
      <rPr>
        <b/>
        <sz val="16"/>
        <color indexed="56"/>
        <rFont val="Arial"/>
        <family val="2"/>
      </rPr>
      <t xml:space="preserve">447 </t>
    </r>
    <r>
      <rPr>
        <sz val="16"/>
        <color indexed="56"/>
        <rFont val="Arial"/>
        <family val="2"/>
      </rPr>
      <t xml:space="preserve">casos de tuberculosis baciloscopía positiva en los 30 municipios priorizados notificados a las autoridades nacionales.
Dando como resultado de logro alcanzado para este período el siguiente: </t>
    </r>
    <r>
      <rPr>
        <b/>
        <sz val="16"/>
        <color indexed="56"/>
        <rFont val="Arial"/>
        <family val="2"/>
      </rPr>
      <t xml:space="preserve">[(447 / 361)x100] = 124%.
</t>
    </r>
    <r>
      <rPr>
        <sz val="16"/>
        <color indexed="56"/>
        <rFont val="Arial"/>
        <family val="2"/>
      </rPr>
      <t xml:space="preserve">
Meta alcanzada y superada para el periodo; el logro es debido a las acciones de trabajo del personal de salud de los diferentes niveles de atención comprometidos en la búsqueda activa del sintomático respiratorio, tanto en las comunidades, poblaciones de mayor riesgo y establecimientos de salud (tanto MINSAL, ISSS y Centros Penales). 
De igual manera el algoritmo para el uso de Gene Xpert MTB-Rif  el cual describe que todo sintomático respiratorio de poblaciones vulnerables se le indique Gene Xpert MTB-Rif como primer método diagnóstico.
</t>
    </r>
    <r>
      <rPr>
        <b/>
        <sz val="16"/>
        <color indexed="56"/>
        <rFont val="Arial"/>
        <family val="2"/>
      </rPr>
      <t xml:space="preserve">(Ver Anexo N° 1) </t>
    </r>
    <r>
      <rPr>
        <sz val="16"/>
        <color indexed="56"/>
        <rFont val="Arial"/>
        <family val="2"/>
      </rPr>
      <t xml:space="preserve">   
</t>
    </r>
  </si>
  <si>
    <r>
      <t xml:space="preserve">329 / 357
</t>
    </r>
    <r>
      <rPr>
        <b/>
        <sz val="20"/>
        <color indexed="10"/>
        <rFont val="Arial"/>
        <family val="2"/>
      </rPr>
      <t>(92.2%)</t>
    </r>
  </si>
  <si>
    <t>483 / 521
92.7%</t>
  </si>
  <si>
    <r>
      <t xml:space="preserve">Periodo 10 (Enero a Junio 2014): </t>
    </r>
    <r>
      <rPr>
        <b/>
        <sz val="16"/>
        <color indexed="56"/>
        <rFont val="Arial"/>
        <family val="2"/>
      </rPr>
      <t>483 / 521.</t>
    </r>
    <r>
      <rPr>
        <sz val="16"/>
        <color indexed="56"/>
        <rFont val="Arial"/>
        <family val="2"/>
      </rPr>
      <t xml:space="preserve">
De un total de</t>
    </r>
    <r>
      <rPr>
        <b/>
        <sz val="16"/>
        <color indexed="56"/>
        <rFont val="Arial"/>
        <family val="2"/>
      </rPr>
      <t xml:space="preserve"> 521 casos</t>
    </r>
    <r>
      <rPr>
        <sz val="16"/>
        <color indexed="56"/>
        <rFont val="Arial"/>
        <family val="2"/>
      </rPr>
      <t xml:space="preserve"> pulmonares baciloscopía positiva (Bk+) de los 30 municipios priorizados notificados a las autoridades nacionales, egresaron como curados y tratamiento terminado un total de</t>
    </r>
    <r>
      <rPr>
        <b/>
        <sz val="16"/>
        <color indexed="56"/>
        <rFont val="Arial"/>
        <family val="2"/>
      </rPr>
      <t xml:space="preserve"> 483 casos</t>
    </r>
    <r>
      <rPr>
        <sz val="16"/>
        <color indexed="56"/>
        <rFont val="Arial"/>
        <family val="2"/>
      </rPr>
      <t xml:space="preserve">, obteniendo un éxito en el tratamiento del </t>
    </r>
    <r>
      <rPr>
        <b/>
        <sz val="16"/>
        <color indexed="56"/>
        <rFont val="Arial"/>
        <family val="2"/>
      </rPr>
      <t>92.7%</t>
    </r>
    <r>
      <rPr>
        <sz val="16"/>
        <color indexed="56"/>
        <rFont val="Arial"/>
        <family val="2"/>
      </rPr>
      <t xml:space="preserve">.
</t>
    </r>
    <r>
      <rPr>
        <b/>
        <sz val="16"/>
        <color indexed="56"/>
        <rFont val="Arial"/>
        <family val="2"/>
      </rPr>
      <t xml:space="preserve">(Ver Anexo N° 3).
</t>
    </r>
    <r>
      <rPr>
        <sz val="16"/>
        <color indexed="56"/>
        <rFont val="Arial"/>
        <family val="2"/>
      </rPr>
      <t xml:space="preserve">Meta alcanzada y superada; El éxito de este indicador es debido a que existe un alto compromiso del personal de salud operativo, de SIBASI y de las Regiones del MINSAL, así como del personal del ISSS y Centros Penales, los cuales brindan el seguimiento y administración estricto de los tratamientos antifimicos. Ademas existe fuerte compromiso gerencial de las autoridades del MINSAL para continuar priorizando el trabajo en prevenciòn y control de la TB                                                       </t>
    </r>
  </si>
  <si>
    <t>OK.
PCT - 7 y PCT - 10</t>
  </si>
  <si>
    <r>
      <t xml:space="preserve">Período 10 (Enero a Junio 2015):  </t>
    </r>
    <r>
      <rPr>
        <b/>
        <sz val="16"/>
        <color indexed="56"/>
        <rFont val="Arial"/>
        <family val="2"/>
      </rPr>
      <t xml:space="preserve">319 </t>
    </r>
    <r>
      <rPr>
        <sz val="16"/>
        <color indexed="56"/>
        <rFont val="Arial"/>
        <family val="2"/>
      </rPr>
      <t>casos TB todas las formas en Centros Penales.
Para este período acumulado, se logró detectar en centros penales un total de</t>
    </r>
    <r>
      <rPr>
        <b/>
        <sz val="16"/>
        <color indexed="56"/>
        <rFont val="Arial"/>
        <family val="2"/>
      </rPr>
      <t xml:space="preserve"> 319 </t>
    </r>
    <r>
      <rPr>
        <sz val="16"/>
        <color indexed="56"/>
        <rFont val="Arial"/>
        <family val="2"/>
      </rPr>
      <t xml:space="preserve">casos de TB todas las formas, lo que nos permite un logro alcanzado en relación a la meta prevista de: [(319 / 128)x100 = 249.2%]
</t>
    </r>
    <r>
      <rPr>
        <b/>
        <sz val="16"/>
        <color indexed="56"/>
        <rFont val="Arial"/>
        <family val="2"/>
      </rPr>
      <t xml:space="preserve">(Ver Anexo No. 4). 
</t>
    </r>
    <r>
      <rPr>
        <sz val="16"/>
        <color indexed="56"/>
        <rFont val="Arial"/>
        <family val="2"/>
      </rPr>
      <t xml:space="preserve">                                                                                                                                                                                                                                                                                                                                                                                Meta lograda y alcanzada, el trabajo continuo y conjunto con la Dirección General de Centros Penales a través de la Unidad Médica y las clínicas en los diferentes Centros Penales en coordinación con el PNTYER, así como la implementación de nuevas tecnologias diagnosticas ha permitido alcanzar la meta prevista y sobrepasarla debido al seguimiento y capacitaciones continua de los niveles locales, SIBASI, Regiones de Salud, formación de voluntarios penitenciarios y PNTYER, lo cual ha contribuido en el incremento de la detección temprana de casos con tuberculosis en la población privada de libertad. </t>
    </r>
  </si>
  <si>
    <t>OK.
PCT - 5 y PCT - 9</t>
  </si>
  <si>
    <r>
      <t xml:space="preserve">86 / 88
</t>
    </r>
    <r>
      <rPr>
        <b/>
        <sz val="20"/>
        <color indexed="10"/>
        <rFont val="Arial"/>
        <family val="2"/>
      </rPr>
      <t>(97.7%)</t>
    </r>
  </si>
  <si>
    <t>184 / 191
96.33%</t>
  </si>
  <si>
    <r>
      <t xml:space="preserve">Periodo 10 (Enero a Junio 2014):  </t>
    </r>
    <r>
      <rPr>
        <b/>
        <sz val="16"/>
        <color indexed="56"/>
        <rFont val="Arial"/>
        <family val="2"/>
      </rPr>
      <t>184 / 191</t>
    </r>
    <r>
      <rPr>
        <sz val="16"/>
        <color indexed="56"/>
        <rFont val="Arial"/>
        <family val="2"/>
      </rPr>
      <t xml:space="preserve">
</t>
    </r>
    <r>
      <rPr>
        <b/>
        <sz val="16"/>
        <color indexed="56"/>
        <rFont val="Arial"/>
        <family val="2"/>
      </rPr>
      <t xml:space="preserve">  </t>
    </r>
    <r>
      <rPr>
        <sz val="16"/>
        <color indexed="56"/>
        <rFont val="Arial"/>
        <family val="2"/>
      </rPr>
      <t xml:space="preserve">                                                                                               
Para este período acumulado </t>
    </r>
    <r>
      <rPr>
        <i/>
        <sz val="16"/>
        <color indexed="56"/>
        <rFont val="Arial"/>
        <family val="2"/>
      </rPr>
      <t>(Cohorte 2014)</t>
    </r>
    <r>
      <rPr>
        <sz val="16"/>
        <color indexed="56"/>
        <rFont val="Arial"/>
        <family val="2"/>
      </rPr>
      <t xml:space="preserve">, fueron ingresados </t>
    </r>
    <r>
      <rPr>
        <b/>
        <sz val="16"/>
        <color indexed="56"/>
        <rFont val="Arial"/>
        <family val="2"/>
      </rPr>
      <t>191</t>
    </r>
    <r>
      <rPr>
        <sz val="16"/>
        <color indexed="56"/>
        <rFont val="Arial"/>
        <family val="2"/>
      </rPr>
      <t xml:space="preserve"> casos de TB pulmonares Bk (+) en Centros Penales de los cuales </t>
    </r>
    <r>
      <rPr>
        <b/>
        <sz val="16"/>
        <color indexed="56"/>
        <rFont val="Arial"/>
        <family val="2"/>
      </rPr>
      <t xml:space="preserve">184 </t>
    </r>
    <r>
      <rPr>
        <sz val="16"/>
        <color indexed="56"/>
        <rFont val="Arial"/>
        <family val="2"/>
      </rPr>
      <t xml:space="preserve">egresaron de la cohorte como curados y/o  tratamiento terminado lo que corresponde a un </t>
    </r>
    <r>
      <rPr>
        <b/>
        <sz val="16"/>
        <color indexed="56"/>
        <rFont val="Arial"/>
        <family val="2"/>
      </rPr>
      <t xml:space="preserve">96.33 % </t>
    </r>
    <r>
      <rPr>
        <sz val="16"/>
        <color indexed="56"/>
        <rFont val="Arial"/>
        <family val="2"/>
      </rPr>
      <t xml:space="preserve">de éxito en el tratamiento.
</t>
    </r>
    <r>
      <rPr>
        <b/>
        <sz val="16"/>
        <color indexed="56"/>
        <rFont val="Arial"/>
        <family val="2"/>
      </rPr>
      <t xml:space="preserve">(Ver Anexo No. 6). </t>
    </r>
    <r>
      <rPr>
        <sz val="16"/>
        <color indexed="56"/>
        <rFont val="Arial"/>
        <family val="2"/>
      </rPr>
      <t xml:space="preserve"> 
Meta para el periodo lograda.
En total acumulado fueron 191 casos de TB BK (+) en prisiones, de los cuales 184 egresaron de la cohorte de tratamiento como curados; 0 fracaso.; 3 fallecidos en periodo de Enero a Junio 2014 y 3 abandonos.</t>
    </r>
  </si>
  <si>
    <t>OK
PCT - 7  y   PCT - 10</t>
  </si>
  <si>
    <r>
      <t xml:space="preserve">649 / 652
</t>
    </r>
    <r>
      <rPr>
        <b/>
        <sz val="20"/>
        <color indexed="10"/>
        <rFont val="Arial"/>
        <family val="2"/>
      </rPr>
      <t>(99.5%)</t>
    </r>
  </si>
  <si>
    <t>775 / 779
99.48%</t>
  </si>
  <si>
    <r>
      <t xml:space="preserve">Periodo 10 (Enero a Junio 2015):   </t>
    </r>
    <r>
      <rPr>
        <b/>
        <sz val="16"/>
        <color indexed="56"/>
        <rFont val="Arial"/>
        <family val="2"/>
      </rPr>
      <t xml:space="preserve">775 / 779
</t>
    </r>
    <r>
      <rPr>
        <sz val="16"/>
        <color indexed="56"/>
        <rFont val="Arial"/>
        <family val="2"/>
      </rPr>
      <t xml:space="preserve">                                                                                                                           
De un total acumulado </t>
    </r>
    <r>
      <rPr>
        <b/>
        <sz val="16"/>
        <color indexed="56"/>
        <rFont val="Arial"/>
        <family val="2"/>
      </rPr>
      <t xml:space="preserve">779 </t>
    </r>
    <r>
      <rPr>
        <sz val="16"/>
        <color indexed="56"/>
        <rFont val="Arial"/>
        <family val="2"/>
      </rPr>
      <t xml:space="preserve">casos de tuberculosis todas las formas diagnosticados en este período, los cuales fueron testados con pruebas para VIH un total de </t>
    </r>
    <r>
      <rPr>
        <b/>
        <sz val="16"/>
        <color indexed="56"/>
        <rFont val="Arial"/>
        <family val="2"/>
      </rPr>
      <t xml:space="preserve">775 casos </t>
    </r>
    <r>
      <rPr>
        <sz val="16"/>
        <color indexed="56"/>
        <rFont val="Arial"/>
        <family val="2"/>
      </rPr>
      <t xml:space="preserve">lo que corresponde a un </t>
    </r>
    <r>
      <rPr>
        <b/>
        <sz val="16"/>
        <color indexed="56"/>
        <rFont val="Arial"/>
        <family val="2"/>
      </rPr>
      <t>99.48%</t>
    </r>
    <r>
      <rPr>
        <sz val="16"/>
        <color indexed="56"/>
        <rFont val="Arial"/>
        <family val="2"/>
      </rPr>
      <t xml:space="preserve">
Meta lograda con un logro de cobertura del 100%.
Numericamente hay diferencias debido a las siguientes causas: niños menores de 10 años con TB cuyos padres no aceptaron realizarles el tamizaje, pacientes indigentes y otros casos como pandilleros y privados de libertad.
</t>
    </r>
    <r>
      <rPr>
        <b/>
        <sz val="16"/>
        <color indexed="56"/>
        <rFont val="Arial"/>
        <family val="2"/>
      </rPr>
      <t>(Ver Anexo No. 7).</t>
    </r>
    <r>
      <rPr>
        <sz val="16"/>
        <color indexed="56"/>
        <rFont val="Arial"/>
        <family val="2"/>
      </rPr>
      <t xml:space="preserve">                                                                                                                </t>
    </r>
  </si>
  <si>
    <t>OK
PCT - 5.</t>
  </si>
  <si>
    <r>
      <t xml:space="preserve">432 / 464
</t>
    </r>
    <r>
      <rPr>
        <b/>
        <sz val="20"/>
        <color indexed="10"/>
        <rFont val="Arial"/>
        <family val="2"/>
      </rPr>
      <t>(93.1%)</t>
    </r>
  </si>
  <si>
    <t>3,857 / 3,931
98.11%</t>
  </si>
  <si>
    <r>
      <t xml:space="preserve">Para el período 10 (Enero a Junio 2015): </t>
    </r>
    <r>
      <rPr>
        <b/>
        <sz val="16"/>
        <color indexed="56"/>
        <rFont val="Arial"/>
        <family val="2"/>
      </rPr>
      <t xml:space="preserve">3,857 / 3,931
</t>
    </r>
    <r>
      <rPr>
        <sz val="16"/>
        <color indexed="56"/>
        <rFont val="Arial"/>
        <family val="2"/>
      </rPr>
      <t xml:space="preserve">
De un  total de </t>
    </r>
    <r>
      <rPr>
        <b/>
        <sz val="16"/>
        <color indexed="56"/>
        <rFont val="Arial"/>
        <family val="2"/>
      </rPr>
      <t>3,931 PVS</t>
    </r>
    <r>
      <rPr>
        <sz val="16"/>
        <color indexed="56"/>
        <rFont val="Arial"/>
        <family val="2"/>
      </rPr>
      <t xml:space="preserve"> adultos y niños inscritos en el programa de VIH en el período a evaluar se les descartó la tuberculosis a </t>
    </r>
    <r>
      <rPr>
        <b/>
        <sz val="16"/>
        <color indexed="56"/>
        <rFont val="Arial"/>
        <family val="2"/>
      </rPr>
      <t xml:space="preserve">3,857 PVS </t>
    </r>
    <r>
      <rPr>
        <sz val="16"/>
        <color indexed="56"/>
        <rFont val="Arial"/>
        <family val="2"/>
      </rPr>
      <t xml:space="preserve">obteniendo un resultado de </t>
    </r>
    <r>
      <rPr>
        <b/>
        <sz val="16"/>
        <color indexed="56"/>
        <rFont val="Arial"/>
        <family val="2"/>
      </rPr>
      <t xml:space="preserve">98.11%.
</t>
    </r>
    <r>
      <rPr>
        <sz val="16"/>
        <color indexed="56"/>
        <rFont val="Arial"/>
        <family val="2"/>
      </rPr>
      <t xml:space="preserve">En las 20 clinicas TAR se atendieros durante el primer semestre del año 2015 3,931 adultos y niños inscritos en el programa del VIH cuyo domicilio se encuentra dentro de los 30 municipios priorizados y de los cuales a 3,857 se les descato la TB a traves del algoritmo clínico de descarte (se le pregunta si ha tenido fiebre, tos actual, sudoracion nocturna, perdida de peso)                                                                                            </t>
    </r>
    <r>
      <rPr>
        <sz val="16"/>
        <rFont val="Arial"/>
        <family val="2"/>
      </rPr>
      <t xml:space="preserve">                                                                                                                                                                                                                                                                                                                                                                            
</t>
    </r>
    <r>
      <rPr>
        <b/>
        <sz val="16"/>
        <color indexed="56"/>
        <rFont val="Arial"/>
        <family val="2"/>
      </rPr>
      <t>(Ver Anexo No. 8).</t>
    </r>
    <r>
      <rPr>
        <sz val="16"/>
        <color indexed="56"/>
        <rFont val="Arial"/>
        <family val="2"/>
      </rPr>
      <t xml:space="preserve">                                                                                                                                                                                                                                                     </t>
    </r>
  </si>
  <si>
    <t xml:space="preserve">Información de Hospitales hacen falta, verificar datos.
Coordinación entre programas para proximo reporte.
Fuente de Información: Libro de descarte en Clinicas TAR y Base de datos de Clinica TAR.
</t>
  </si>
  <si>
    <r>
      <t xml:space="preserve">385 / 413
</t>
    </r>
    <r>
      <rPr>
        <b/>
        <sz val="20"/>
        <color indexed="10"/>
        <rFont val="Arial"/>
        <family val="2"/>
      </rPr>
      <t>(93.2%)</t>
    </r>
  </si>
  <si>
    <t xml:space="preserve">1,044 / 3,790
27.54%
</t>
  </si>
  <si>
    <r>
      <rPr>
        <sz val="16"/>
        <color indexed="56"/>
        <rFont val="Arial"/>
        <family val="2"/>
      </rPr>
      <t xml:space="preserve">Para el período 10 (Enero a Junio 2015): </t>
    </r>
    <r>
      <rPr>
        <b/>
        <sz val="16"/>
        <color indexed="56"/>
        <rFont val="Arial"/>
        <family val="2"/>
      </rPr>
      <t xml:space="preserve"> 1,044 / 3,790
</t>
    </r>
    <r>
      <rPr>
        <sz val="16"/>
        <color indexed="56"/>
        <rFont val="Arial"/>
        <family val="2"/>
      </rPr>
      <t xml:space="preserve">
De un  total de </t>
    </r>
    <r>
      <rPr>
        <b/>
        <sz val="16"/>
        <color indexed="56"/>
        <rFont val="Arial"/>
        <family val="2"/>
      </rPr>
      <t>3,857  PVS</t>
    </r>
    <r>
      <rPr>
        <sz val="16"/>
        <color indexed="56"/>
        <rFont val="Arial"/>
        <family val="2"/>
      </rPr>
      <t xml:space="preserve"> a los que se les descartó la tuberculosis 67 de ellos resultaron con Coinfección TB/VIH dando como denominador 3,790 PVS de los cuales  </t>
    </r>
    <r>
      <rPr>
        <b/>
        <sz val="16"/>
        <color indexed="56"/>
        <rFont val="Arial"/>
        <family val="2"/>
      </rPr>
      <t>1,044</t>
    </r>
    <r>
      <rPr>
        <sz val="16"/>
        <color indexed="56"/>
        <rFont val="Arial"/>
        <family val="2"/>
      </rPr>
      <t xml:space="preserve"> iniciaron quimioprofilaxis con INH; obteniendo un resultado de </t>
    </r>
    <r>
      <rPr>
        <b/>
        <sz val="16"/>
        <color indexed="56"/>
        <rFont val="Arial"/>
        <family val="2"/>
      </rPr>
      <t xml:space="preserve">29.5%  </t>
    </r>
    <r>
      <rPr>
        <sz val="16"/>
        <rFont val="Arial"/>
        <family val="2"/>
      </rPr>
      <t xml:space="preserve">
</t>
    </r>
    <r>
      <rPr>
        <b/>
        <sz val="16"/>
        <color indexed="56"/>
        <rFont val="Arial"/>
        <family val="2"/>
      </rPr>
      <t>(Ver Anexo No. 8).</t>
    </r>
    <r>
      <rPr>
        <b/>
        <sz val="16"/>
        <color indexed="10"/>
        <rFont val="Arial"/>
        <family val="2"/>
      </rPr>
      <t xml:space="preserve">
</t>
    </r>
    <r>
      <rPr>
        <sz val="16"/>
        <color indexed="56"/>
        <rFont val="Arial"/>
        <family val="2"/>
      </rPr>
      <t xml:space="preserve">El porcentaje representó un número menor debido a que muchos de estos pacientes al ser evaluados no ameritaba indicarseles la TPI debido a que ya se les habia indicado en los ultimos dos años, y/o había sido casos de TB o tenía otra condición que no aplicaba la quimioprofilaxis.    
</t>
    </r>
  </si>
  <si>
    <t>Según protocolo (aptos y no aptos)
Fuente de información: Libro de descarte en Clinicas TAR.</t>
  </si>
  <si>
    <r>
      <t xml:space="preserve">79 / 114
</t>
    </r>
    <r>
      <rPr>
        <b/>
        <sz val="20"/>
        <color indexed="10"/>
        <rFont val="Arial"/>
        <family val="2"/>
      </rPr>
      <t>(69.3%)</t>
    </r>
  </si>
  <si>
    <t>61 / 67
91.04%</t>
  </si>
  <si>
    <r>
      <rPr>
        <sz val="16"/>
        <color indexed="56"/>
        <rFont val="Arial"/>
        <family val="2"/>
      </rPr>
      <t xml:space="preserve">Periodo 10 (Enero a Junio 2015):  </t>
    </r>
    <r>
      <rPr>
        <b/>
        <sz val="16"/>
        <color indexed="56"/>
        <rFont val="Arial"/>
        <family val="2"/>
      </rPr>
      <t xml:space="preserve">61 / 67
</t>
    </r>
    <r>
      <rPr>
        <sz val="16"/>
        <color indexed="56"/>
        <rFont val="Arial"/>
        <family val="2"/>
      </rPr>
      <t xml:space="preserve">
De un total de </t>
    </r>
    <r>
      <rPr>
        <b/>
        <sz val="16"/>
        <color indexed="56"/>
        <rFont val="Arial"/>
        <family val="2"/>
      </rPr>
      <t xml:space="preserve">67 </t>
    </r>
    <r>
      <rPr>
        <sz val="16"/>
        <color indexed="56"/>
        <rFont val="Arial"/>
        <family val="2"/>
      </rPr>
      <t xml:space="preserve">pacientes coinfectados con TB más VIH, </t>
    </r>
    <r>
      <rPr>
        <sz val="16"/>
        <color indexed="10"/>
        <rFont val="Arial"/>
        <family val="2"/>
      </rPr>
      <t xml:space="preserve"> </t>
    </r>
    <r>
      <rPr>
        <b/>
        <sz val="16"/>
        <color indexed="56"/>
        <rFont val="Arial"/>
        <family val="2"/>
      </rPr>
      <t xml:space="preserve">61 </t>
    </r>
    <r>
      <rPr>
        <sz val="16"/>
        <color indexed="56"/>
        <rFont val="Arial"/>
        <family val="2"/>
      </rPr>
      <t xml:space="preserve">de estos recibieron TAR, obteniendo un porcentaje de </t>
    </r>
    <r>
      <rPr>
        <b/>
        <sz val="16"/>
        <color indexed="56"/>
        <rFont val="Arial"/>
        <family val="2"/>
      </rPr>
      <t>91.04 %</t>
    </r>
    <r>
      <rPr>
        <sz val="16"/>
        <color indexed="56"/>
        <rFont val="Arial"/>
        <family val="2"/>
      </rPr>
      <t xml:space="preserve">.    
</t>
    </r>
    <r>
      <rPr>
        <sz val="16"/>
        <rFont val="Arial"/>
        <family val="2"/>
      </rPr>
      <t xml:space="preserve">
</t>
    </r>
    <r>
      <rPr>
        <b/>
        <sz val="16"/>
        <color indexed="56"/>
        <rFont val="Arial"/>
        <family val="2"/>
      </rPr>
      <t xml:space="preserve">(Ver Anexo No. 9).
</t>
    </r>
    <r>
      <rPr>
        <b/>
        <sz val="16"/>
        <color indexed="10"/>
        <rFont val="Arial"/>
        <family val="2"/>
      </rPr>
      <t xml:space="preserve">
</t>
    </r>
    <r>
      <rPr>
        <sz val="16"/>
        <color indexed="56"/>
        <rFont val="Arial"/>
        <family val="2"/>
      </rPr>
      <t>Esta meta ha sido lograda y superada en relación a la meta prevista de: [(</t>
    </r>
    <r>
      <rPr>
        <b/>
        <sz val="16"/>
        <color indexed="56"/>
        <rFont val="Arial"/>
        <family val="2"/>
      </rPr>
      <t>91.04 / 69.3)x100 = 131.4 %</t>
    </r>
    <r>
      <rPr>
        <sz val="16"/>
        <color indexed="56"/>
        <rFont val="Arial"/>
        <family val="2"/>
      </rPr>
      <t>] ; debido a la coordinación entre los PNVIH y PNTYER así como las buenas intervenciones de seguimiento a los pacientes en las Clinicas de Atención Integral al paciente con VIH (Clinicas TAR). Los datos obtenidos y consolidados corresponden a las 20 clinicas TAR dentro de los 30 municipios priorizados, los pacientes registrados en su totalidad provienen de los diferentes municipios de el pais.</t>
    </r>
  </si>
  <si>
    <t>Depende de criterio medico de clinica TAR a su estado serologico y carga. Brindar TAES.
Fuente de datos: Libro de pacientes que inician o reciben TAR con Coinfección TB / VIH.</t>
  </si>
  <si>
    <r>
      <t xml:space="preserve">2,575 / 2,738
</t>
    </r>
    <r>
      <rPr>
        <b/>
        <sz val="20"/>
        <color indexed="10"/>
        <rFont val="Arial"/>
        <family val="2"/>
      </rPr>
      <t>(94%)</t>
    </r>
  </si>
  <si>
    <t>3,630 / 3,956
91.75%</t>
  </si>
  <si>
    <r>
      <rPr>
        <sz val="16"/>
        <color indexed="56"/>
        <rFont val="Arial"/>
        <family val="2"/>
      </rPr>
      <t xml:space="preserve">Para el periodo 10 (Enero a Junio 2015): </t>
    </r>
    <r>
      <rPr>
        <b/>
        <sz val="16"/>
        <color indexed="56"/>
        <rFont val="Arial"/>
        <family val="2"/>
      </rPr>
      <t xml:space="preserve">3,630 / 3,956.
</t>
    </r>
    <r>
      <rPr>
        <sz val="16"/>
        <color indexed="56"/>
        <rFont val="Arial"/>
        <family val="2"/>
      </rPr>
      <t xml:space="preserve">
Con un total acumulado al periodo de </t>
    </r>
    <r>
      <rPr>
        <b/>
        <sz val="16"/>
        <color indexed="56"/>
        <rFont val="Arial"/>
        <family val="2"/>
      </rPr>
      <t xml:space="preserve">3,956 </t>
    </r>
    <r>
      <rPr>
        <sz val="16"/>
        <color indexed="56"/>
        <rFont val="Arial"/>
        <family val="2"/>
      </rPr>
      <t xml:space="preserve">contactos detectados y registrados de los casos de TB de todas las formas reportadas en este período </t>
    </r>
    <r>
      <rPr>
        <b/>
        <i/>
        <sz val="16"/>
        <color indexed="56"/>
        <rFont val="Arial"/>
        <family val="2"/>
      </rPr>
      <t>(779)</t>
    </r>
    <r>
      <rPr>
        <sz val="16"/>
        <color indexed="56"/>
        <rFont val="Arial"/>
        <family val="2"/>
      </rPr>
      <t xml:space="preserve">; se investigaron en total </t>
    </r>
    <r>
      <rPr>
        <b/>
        <sz val="16"/>
        <color indexed="56"/>
        <rFont val="Arial"/>
        <family val="2"/>
      </rPr>
      <t>3,630</t>
    </r>
    <r>
      <rPr>
        <sz val="16"/>
        <color indexed="56"/>
        <rFont val="Arial"/>
        <family val="2"/>
      </rPr>
      <t xml:space="preserve"> contactos de los casos de TB en los 30 municipios priorizados, obteniendo un porcentaje de investigación del </t>
    </r>
    <r>
      <rPr>
        <b/>
        <sz val="16"/>
        <color indexed="56"/>
        <rFont val="Arial"/>
        <family val="2"/>
      </rPr>
      <t>91.75%</t>
    </r>
    <r>
      <rPr>
        <sz val="16"/>
        <color indexed="56"/>
        <rFont val="Arial"/>
        <family val="2"/>
      </rPr>
      <t xml:space="preserve">.
</t>
    </r>
    <r>
      <rPr>
        <sz val="16"/>
        <rFont val="Arial"/>
        <family val="2"/>
      </rPr>
      <t xml:space="preserve">
</t>
    </r>
    <r>
      <rPr>
        <b/>
        <sz val="16"/>
        <color indexed="56"/>
        <rFont val="Arial"/>
        <family val="2"/>
      </rPr>
      <t xml:space="preserve">(Ver Anexo No. </t>
    </r>
    <r>
      <rPr>
        <b/>
        <sz val="16"/>
        <color indexed="56"/>
        <rFont val="Arial"/>
        <family val="2"/>
      </rPr>
      <t>10</t>
    </r>
    <r>
      <rPr>
        <b/>
        <sz val="16"/>
        <color indexed="56"/>
        <rFont val="Arial"/>
        <family val="2"/>
      </rPr>
      <t xml:space="preserve">). 
</t>
    </r>
    <r>
      <rPr>
        <b/>
        <sz val="16"/>
        <color indexed="10"/>
        <rFont val="Arial"/>
        <family val="2"/>
      </rPr>
      <t xml:space="preserve">
</t>
    </r>
    <r>
      <rPr>
        <sz val="16"/>
        <color indexed="56"/>
        <rFont val="Arial"/>
        <family val="2"/>
      </rPr>
      <t xml:space="preserve">Meta alcanzada, esto debido a la identificación, investigación, seguimiento y evaluación de los contactos de los casos con tuberculosis; a través del buen aporte del personal en los niveles operativos locales.
</t>
    </r>
    <r>
      <rPr>
        <sz val="16"/>
        <rFont val="Arial"/>
        <family val="2"/>
      </rPr>
      <t xml:space="preserve">
</t>
    </r>
  </si>
  <si>
    <t>Se incluye ISSS , CP.
Fuente de Información: PCT - 6 (libro de contactos).</t>
  </si>
  <si>
    <t>55 / 55
100%</t>
  </si>
  <si>
    <r>
      <rPr>
        <sz val="16"/>
        <color indexed="56"/>
        <rFont val="Arial"/>
        <family val="2"/>
      </rPr>
      <t xml:space="preserve">Para el periodo10 (Enero a Junio 2015):  </t>
    </r>
    <r>
      <rPr>
        <b/>
        <sz val="16"/>
        <color indexed="56"/>
        <rFont val="Arial"/>
        <family val="2"/>
      </rPr>
      <t xml:space="preserve">55 / 55.
</t>
    </r>
    <r>
      <rPr>
        <sz val="16"/>
        <color indexed="56"/>
        <rFont val="Arial"/>
        <family val="2"/>
      </rPr>
      <t xml:space="preserve">En este período acumulado se tuvo un total </t>
    </r>
    <r>
      <rPr>
        <b/>
        <sz val="16"/>
        <color indexed="56"/>
        <rFont val="Arial"/>
        <family val="2"/>
      </rPr>
      <t>55</t>
    </r>
    <r>
      <rPr>
        <sz val="16"/>
        <color indexed="56"/>
        <rFont val="Arial"/>
        <family val="2"/>
      </rPr>
      <t xml:space="preserve"> pacientes sospechosos de fármacoresistencia a drogas antituberculosas, de los cuales se examinaron a los </t>
    </r>
    <r>
      <rPr>
        <b/>
        <sz val="16"/>
        <color indexed="56"/>
        <rFont val="Arial"/>
        <family val="2"/>
      </rPr>
      <t xml:space="preserve">55 </t>
    </r>
    <r>
      <rPr>
        <sz val="16"/>
        <color indexed="56"/>
        <rFont val="Arial"/>
        <family val="2"/>
      </rPr>
      <t xml:space="preserve">en su totalidad, obteniéndose un resultado del </t>
    </r>
    <r>
      <rPr>
        <b/>
        <sz val="16"/>
        <color indexed="56"/>
        <rFont val="Arial"/>
        <family val="2"/>
      </rPr>
      <t>100%</t>
    </r>
    <r>
      <rPr>
        <sz val="16"/>
        <color indexed="56"/>
        <rFont val="Arial"/>
        <family val="2"/>
      </rPr>
      <t xml:space="preserve">.  
Debido a la vigilancia sistematica y rutinaria de los  pacientes con sospecha a  farmacoresistencia (recaidas, fracasos, abandonos recuperados).                                                                                  </t>
    </r>
    <r>
      <rPr>
        <sz val="16"/>
        <rFont val="Arial"/>
        <family val="2"/>
      </rPr>
      <t xml:space="preserve">
</t>
    </r>
    <r>
      <rPr>
        <b/>
        <sz val="16"/>
        <color indexed="56"/>
        <rFont val="Arial"/>
        <family val="2"/>
      </rPr>
      <t xml:space="preserve">(Ver Anexo No. 11). </t>
    </r>
    <r>
      <rPr>
        <sz val="16"/>
        <rFont val="Arial"/>
        <family val="2"/>
      </rPr>
      <t xml:space="preserve">
</t>
    </r>
  </si>
  <si>
    <t>Por normativa a todo sospechos con resistencia se le tiene que hacer obligatoriamente Cultivo.
Fuente de Información: PCT - 5</t>
  </si>
  <si>
    <r>
      <t xml:space="preserve">3 / 6
</t>
    </r>
    <r>
      <rPr>
        <b/>
        <sz val="20"/>
        <color indexed="10"/>
        <rFont val="Arial"/>
        <family val="2"/>
      </rPr>
      <t>(50.0%)</t>
    </r>
  </si>
  <si>
    <t>0 / 0
100%</t>
  </si>
  <si>
    <r>
      <rPr>
        <sz val="16"/>
        <color indexed="56"/>
        <rFont val="Arial"/>
        <family val="2"/>
      </rPr>
      <t xml:space="preserve">Para el periodo  10 (Enero a Junio 2015):  </t>
    </r>
    <r>
      <rPr>
        <b/>
        <sz val="16"/>
        <color indexed="56"/>
        <rFont val="Arial"/>
        <family val="2"/>
      </rPr>
      <t>0 / 0.</t>
    </r>
    <r>
      <rPr>
        <sz val="16"/>
        <color indexed="56"/>
        <rFont val="Arial"/>
        <family val="2"/>
      </rPr>
      <t xml:space="preserve"> 
No se detectaron casos de TB MDR  para el periodo.
</t>
    </r>
    <r>
      <rPr>
        <b/>
        <sz val="16"/>
        <color indexed="56"/>
        <rFont val="Arial"/>
        <family val="2"/>
      </rPr>
      <t>(Ver Anexo No. 12 y N° 13).</t>
    </r>
    <r>
      <rPr>
        <b/>
        <sz val="16"/>
        <color indexed="10"/>
        <rFont val="Arial"/>
        <family val="2"/>
      </rPr>
      <t xml:space="preserve"> </t>
    </r>
    <r>
      <rPr>
        <sz val="16"/>
        <color indexed="56"/>
        <rFont val="Arial"/>
        <family val="2"/>
      </rPr>
      <t xml:space="preserve">
</t>
    </r>
    <r>
      <rPr>
        <sz val="16"/>
        <rFont val="Arial"/>
        <family val="2"/>
      </rPr>
      <t xml:space="preserve">
</t>
    </r>
  </si>
  <si>
    <t>la explicación del resultado es la relación del numerador con el denominador.
El paciente todavia no ha recibido su resultado del cultivo. Que condiciones habran llevado a este paciente a ser MDR, no tiene factor de riesgo que haga sospechar. (Averiguaciones clinica del caso).
Fuente de Información: Hospital Saldaña, pruebas de sensibilidad del laboratorio central.</t>
  </si>
  <si>
    <r>
      <t xml:space="preserve">2 / 3
</t>
    </r>
    <r>
      <rPr>
        <b/>
        <sz val="20"/>
        <color indexed="10"/>
        <rFont val="Arial"/>
        <family val="2"/>
      </rPr>
      <t>(66.7%)</t>
    </r>
  </si>
  <si>
    <t>1 / 1
100%</t>
  </si>
  <si>
    <r>
      <rPr>
        <sz val="16"/>
        <color indexed="56"/>
        <rFont val="Arial"/>
        <family val="2"/>
      </rPr>
      <t xml:space="preserve">Para el período 10 (Ingreso a tratamiento Enero a Junio 2013): </t>
    </r>
    <r>
      <rPr>
        <b/>
        <sz val="16"/>
        <color indexed="56"/>
        <rFont val="Arial"/>
        <family val="2"/>
      </rPr>
      <t xml:space="preserve"> 1 / 1.
</t>
    </r>
    <r>
      <rPr>
        <sz val="16"/>
        <color indexed="56"/>
        <rFont val="Arial"/>
        <family val="2"/>
      </rPr>
      <t xml:space="preserve">                                                                        
De un total de </t>
    </r>
    <r>
      <rPr>
        <b/>
        <sz val="16"/>
        <color indexed="56"/>
        <rFont val="Arial"/>
        <family val="2"/>
      </rPr>
      <t xml:space="preserve"> 1 caso </t>
    </r>
    <r>
      <rPr>
        <sz val="16"/>
        <color indexed="56"/>
        <rFont val="Arial"/>
        <family val="2"/>
      </rPr>
      <t xml:space="preserve">MDR- confirmados bacteriológicamente que ingresaron en la cohorte de tratamiento de Enero a Junio 2013, egresaron </t>
    </r>
    <r>
      <rPr>
        <b/>
        <sz val="16"/>
        <color indexed="56"/>
        <rFont val="Arial"/>
        <family val="2"/>
      </rPr>
      <t>1 casos</t>
    </r>
    <r>
      <rPr>
        <sz val="16"/>
        <color indexed="56"/>
        <rFont val="Arial"/>
        <family val="2"/>
      </rPr>
      <t xml:space="preserve"> como curados, con cultivo negativo al final de su tratamiento, obteniendo un porcentaje del </t>
    </r>
    <r>
      <rPr>
        <b/>
        <sz val="16"/>
        <color indexed="56"/>
        <rFont val="Arial"/>
        <family val="2"/>
      </rPr>
      <t>100%.
Meta alcanzada.</t>
    </r>
    <r>
      <rPr>
        <sz val="16"/>
        <rFont val="Arial"/>
        <family val="2"/>
      </rPr>
      <t xml:space="preserve">
</t>
    </r>
    <r>
      <rPr>
        <b/>
        <sz val="16"/>
        <color indexed="56"/>
        <rFont val="Arial"/>
        <family val="2"/>
      </rPr>
      <t xml:space="preserve">(Ver Anexo No. 14). </t>
    </r>
    <r>
      <rPr>
        <b/>
        <sz val="16"/>
        <color indexed="10"/>
        <rFont val="Arial"/>
        <family val="2"/>
      </rPr>
      <t xml:space="preserve">
</t>
    </r>
    <r>
      <rPr>
        <sz val="14"/>
        <rFont val="Arial"/>
        <family val="2"/>
      </rPr>
      <t xml:space="preserve">
                                                                                                                   </t>
    </r>
  </si>
  <si>
    <t xml:space="preserve">OK.
Fuente de Información: Base de datos MDR del Hospital Saldaña.
</t>
  </si>
  <si>
    <t xml:space="preserve">Con relación a la calidad de los datos, se han seguido la recomendación de FM establecido en la carta de retroalimentación sobre este punto, la Unidad de Apoyo del Fondo Mundial ha coordinado con el PNTYER con la suficiente antelación la información que permita verificación de la información en la base de datos. </t>
  </si>
  <si>
    <t>Condiciones previas y/u utras condiciones especiales.</t>
  </si>
  <si>
    <t>Cumplido. 
A través de pago directo del FM a Comité de Luz Verde.</t>
  </si>
  <si>
    <t>CE1: Pago de US$ 25,000.00 a Comité de Luz Verde</t>
  </si>
  <si>
    <t xml:space="preserve">Cumplido. 
Transferencia se realizo directamente de FM a Green Line Comitte. </t>
  </si>
  <si>
    <t>CE2: Absorción de recursos humanos.</t>
  </si>
  <si>
    <t>Sin cumplir - en curso</t>
  </si>
  <si>
    <t xml:space="preserve">Cumplida.Se adjunta anexo 2  memorándum de la Gerencia de Operaciones No 2014-8500-673 </t>
  </si>
  <si>
    <r>
      <t>!</t>
    </r>
    <r>
      <rPr>
        <sz val="12"/>
        <rFont val="Arial"/>
        <family val="2"/>
      </rPr>
      <t xml:space="preserve"> Sírvase enumerar todas las cuestiones planteadas en la última carta de gestión del Fondo Mundial o las cuestiones pendientes de anteriores cartas de gestión, y comente los progresos realizados. Sírvase incluir la fecha de la carta de gestión y el número de partida. 
</t>
    </r>
    <r>
      <rPr>
        <b/>
        <sz val="14"/>
        <color indexed="10"/>
        <rFont val="Arial"/>
        <family val="2"/>
      </rPr>
      <t xml:space="preserve">R/ </t>
    </r>
    <r>
      <rPr>
        <sz val="14"/>
        <color indexed="10"/>
        <rFont val="Arial"/>
        <family val="2"/>
      </rPr>
      <t xml:space="preserve">Los Comentarios correspondientes brindan respuestas a la Carta de remitida por FM de fecha 25 de Junio 2015 - Asunto: "Acuerdo de Subvención </t>
    </r>
    <r>
      <rPr>
        <b/>
        <sz val="14"/>
        <color indexed="10"/>
        <rFont val="Arial"/>
        <family val="2"/>
      </rPr>
      <t xml:space="preserve">SLV-910-G08-T </t>
    </r>
    <r>
      <rPr>
        <sz val="14"/>
        <color indexed="10"/>
        <rFont val="Arial"/>
        <family val="2"/>
      </rPr>
      <t>- Informe de estado de avance del proyecto durante el noveno semestre 1 de Julio - 31 de Diciembre de 2014.</t>
    </r>
  </si>
  <si>
    <t>Medidas de Gestión del Fondo Mundial</t>
  </si>
  <si>
    <r>
      <t xml:space="preserve">MG: </t>
    </r>
    <r>
      <rPr>
        <sz val="14"/>
        <rFont val="Arial"/>
        <family val="2"/>
      </rPr>
      <t>Reconciliación de Saldos PNUD-MINSAL</t>
    </r>
  </si>
  <si>
    <r>
      <rPr>
        <b/>
        <sz val="14"/>
        <rFont val="Arial"/>
        <family val="2"/>
      </rPr>
      <t>En Progreso:</t>
    </r>
    <r>
      <rPr>
        <sz val="14"/>
        <rFont val="Arial"/>
        <family val="2"/>
      </rPr>
      <t xml:space="preserve">
La documentación solicitada por el Fondo Mundial ha sido incluida como parte de los anexos del PU</t>
    </r>
  </si>
  <si>
    <r>
      <t xml:space="preserve">MG: </t>
    </r>
    <r>
      <rPr>
        <sz val="14"/>
        <rFont val="Arial"/>
        <family val="2"/>
      </rPr>
      <t>Desglose de Diagnostico
El RP no ha reportado nuevamente los datos desagregados de los casos detectados por los nuevos métodos de diagnóstico. Esto es el caso para los indicadores 2.1, 3.2 y 4.1.
Segun lo indica el Marco de Desempeno, los resultados de los indicadores 2.1 y 3.2 deberan reportarse desagregados por metodo de diagnostico y especificar cuales han sido detectados por GeneXpert.</t>
    </r>
  </si>
  <si>
    <r>
      <t xml:space="preserve">
</t>
    </r>
    <r>
      <rPr>
        <sz val="14"/>
        <color indexed="10"/>
        <rFont val="Arial"/>
        <family val="2"/>
      </rPr>
      <t xml:space="preserve">Respuesta del RP: En los anexos podrán verificar que se han seguido recomendación. </t>
    </r>
    <r>
      <rPr>
        <sz val="14"/>
        <rFont val="Arial"/>
        <family val="2"/>
      </rPr>
      <t xml:space="preserve">
Para los Indicadores:
* 2.1 </t>
    </r>
    <r>
      <rPr>
        <b/>
        <sz val="14"/>
        <rFont val="Arial"/>
        <family val="2"/>
      </rPr>
      <t>(Ver Anexo N° 4)</t>
    </r>
    <r>
      <rPr>
        <sz val="14"/>
        <rFont val="Arial"/>
        <family val="2"/>
      </rPr>
      <t xml:space="preserve">
* 3.2 </t>
    </r>
    <r>
      <rPr>
        <b/>
        <sz val="14"/>
        <rFont val="Arial"/>
        <family val="2"/>
      </rPr>
      <t>(Ver Anexo N° 7A y 7B)</t>
    </r>
    <r>
      <rPr>
        <sz val="14"/>
        <rFont val="Arial"/>
        <family val="2"/>
      </rPr>
      <t xml:space="preserve">
* 4.1 </t>
    </r>
    <r>
      <rPr>
        <b/>
        <sz val="14"/>
        <rFont val="Arial"/>
        <family val="2"/>
      </rPr>
      <t>(Ver Anexo 9)</t>
    </r>
  </si>
  <si>
    <r>
      <t xml:space="preserve">MG: </t>
    </r>
    <r>
      <rPr>
        <sz val="14"/>
        <rFont val="Arial"/>
        <family val="2"/>
      </rPr>
      <t>Datos desagregados por los 30 municipios priorizados: 
Para los indicadores 3.2 y 3.3 no pudieron ser verificados ya que el RP reporto datos nacionales y la información consolidada del indicador no esta siendo reportada desagregada por los 30 municipios priorizados como lo establece el Marco de Desempeño. Las regiones han tenido confusión en reportar poblaciones de otros municipios diferentes al de la Clínica de Atención Integral. Se evidencia que hay un subregistro de la información en el libro de descarte, que es la fuente primaria, donde debe anotarse el caso del municipio priorizado. Se espera que con la adquisición de Equipo de Computo con ahorros de la subvención de VIH, se supere esta situación. 
Solicitamos que el reporte en próximos PU y PUDR se realice solo para las áreas priorizadas por la subvención de tuberculosis.</t>
    </r>
  </si>
  <si>
    <r>
      <t xml:space="preserve">
</t>
    </r>
    <r>
      <rPr>
        <b/>
        <sz val="14"/>
        <rFont val="Arial"/>
        <family val="2"/>
      </rPr>
      <t xml:space="preserve">
Se han tomado en cuenta recomendación. </t>
    </r>
    <r>
      <rPr>
        <sz val="14"/>
        <rFont val="Arial"/>
        <family val="2"/>
      </rPr>
      <t xml:space="preserve">Para ambos Indicadores 3.2 y 3.3 </t>
    </r>
    <r>
      <rPr>
        <b/>
        <sz val="14"/>
        <rFont val="Arial"/>
        <family val="2"/>
      </rPr>
      <t>(Ver Anexo 7A y 7B).</t>
    </r>
  </si>
  <si>
    <r>
      <t xml:space="preserve">MG: </t>
    </r>
    <r>
      <rPr>
        <sz val="14"/>
        <rFont val="Arial"/>
        <family val="2"/>
      </rPr>
      <t>Riesgo de vencimiento de PASER: 
En Progreso.
En seguimiento a lo reportado en el periodo anterior, de acuerdo al consumo promedio del producto existe el riesgo del vencimiento (Febrero 2015) que puede ocasionar una necesidad de medicamentos. El RP ha solicitado ayuda a OPS pero no se sabe el estatus actual de dicha comunicacion.
Se recomienda que el RP debe dar seguimiento a los consumos y evitar el vencimiento del producto. Ademas, debe dar seguimiento con OPS para resolver este tema.</t>
    </r>
  </si>
  <si>
    <r>
      <t xml:space="preserve">
</t>
    </r>
    <r>
      <rPr>
        <b/>
        <sz val="14"/>
        <rFont val="Arial"/>
        <family val="2"/>
      </rPr>
      <t>VER ANEXO DE MEMORANDUM N°2015 - 7110 - 168 DEL PNTYER CON FECHA 26 - MARZO - 2015.</t>
    </r>
    <r>
      <rPr>
        <sz val="14"/>
        <rFont val="Arial"/>
        <family val="2"/>
      </rPr>
      <t xml:space="preserve">
</t>
    </r>
  </si>
  <si>
    <t>PENDIENTE RESPUESTA Y ANEXOS SOSTENIBLES A COMENTARIOS POR PARTE DE PNTYER.</t>
  </si>
  <si>
    <t>Observamos que sigue dándose un aumento en las notificaciones de casos de tuberculosis: 
Nueva
Solicitamos al RP que en el próximo PUDR se reporten las causas que pudieran justificar este aumento.</t>
  </si>
  <si>
    <t>Se cumple recomendación por parte del Fondo Mundial.</t>
  </si>
  <si>
    <t>Se siguen las recomendaciones del Fondo Mundial:
1. Para el año 2015 el PNTYER dejo de utilizar las compras a través del Mercado Bursatil y se opto por utilizar el mecanismo de compra tradicional (Licitación Pública).
2. En fecha Marzo 2015 se realizó licitación Pública N° LP 08/2015 denominada "CONTRATACIÓN DE SERVICIOS DE ALIMENTACIÓN PARA LA REALIZACIÓN DE EVENTOS DE CAPACITACIÓN, INCLUYE USO DE INSTALACIONES, A DOMICILI Y ALOJAMIENTO PARA EL PROGRAMA NACIONAL DE TUBERCULOSIS Y ENFERMEDADES RESPIRATORIAS", proceso que se declaro DESIERTO debido a que ninguna de las empresas que se inscribieron para participar presento oferta; emitiendose la respectiva resolución de declaratoria de desierto N° 98/2015 en fecha 07 de Julio.
por tal motivo a traves de UACI se ha recomendado: 
a) El PNTYER tendra que revisar los requisitos y especificaciones técnicas que se están solicitando para contratar los servicios antes relacionados, los cuales han dificultado la participación en el proceso de licitación.
b) El PNTYER debra explorar la posibilidad de suscribir convenios con otras instituciones del Estado, tal cual es CIFCO, ante la falta de empresas interesadas en ofrecer los servicios al MINSAL.</t>
  </si>
  <si>
    <t>Se presenta en este reporte correspondiente a Semestre 10 de ejecución. Ver EFR TB Financial Data_3B.</t>
  </si>
  <si>
    <r>
      <t xml:space="preserve">El monto de $ 264,194.34 corresponde a:                                                                                                                          (Mas) $ 126,274.59 monto aprobado para el semestre 11 de julio a diciembre 2015.(economias del S9)
(Mas) $ 14,278.32 </t>
    </r>
    <r>
      <rPr>
        <sz val="12"/>
        <rFont val="Arial"/>
        <family val="2"/>
      </rPr>
      <t xml:space="preserve">Compromisos del Semestre 10 que se tienen con diferentes proveedores que seran pagados en el S11.     </t>
    </r>
    <r>
      <rPr>
        <sz val="15"/>
        <rFont val="Arial"/>
        <family val="2"/>
      </rPr>
      <t xml:space="preserve">                                                                                                                                                                          (Mas) $ 104,692.03 Recalendarizacion del S10 para ejecutarce en el S11                                                                                                                                                                                                                                                                                 (Mas) $ 18,949.40 Reprogramaciones del S10 para ejecutarce en el S11.                                                                                                                                                                                              Total a ejecutar                               $ 264,194.34 en el S11                                                                                                           (Menos)                                          $   68,000.00 del S11 monto  desembolsado al PNUD                                                                 Monto a ejecutar en el MINSAL.     $ 196,194.34.                                                                                                               Saldo de caja  al 30 de junio 2015 $ 284,601.48                                                                                                                      Diferencia                                       $   88,407.14. la diferencia se detalla de la siguiente manera: 
$      59.63   Intereses S8 
$ 1,061.62   Intereses S9  
$    953.26   Intereses S10 
$      12.16   Reintegro por cheques anulados 
$  86,320.47 Economias                                                                                                                                                                                                                                                                                                         </t>
    </r>
  </si>
  <si>
    <t xml:space="preserve">San Salvador, </t>
  </si>
  <si>
    <t xml:space="preserve">Existen factores de riesgo externo como el fenomeno social de violencia por maras o pandillas en las que muchos de los recursos de salud  son amenazados a muerte, el seguimiento de estos atentan contra la vida del promotor. </t>
  </si>
  <si>
    <t xml:space="preserve">Con esta subvención se compran los medicamentos antituberculosos de segunda linea los cuales son adquiridos a traves de fondo estrategico de OPS.
</t>
  </si>
  <si>
    <t xml:space="preserve">Según el seguimiento y evaluacion realizados en este semestre, se han logrado las metas programatica a las acciones colaborativas de los diferentes niveles de atención en salud del sistema nacional. De un total de 16 indicadores programaticos, se han logrado cumplir las metas en 13 con un rango 90 -100 de porcentaje de logro. Importante mencionar que los indicadores top ten han sido alcanzadas las metas estimadas, a excepción del indicador 1.2 relacionado al cumplimiento del TAES, debido a las dificultades que el personal de salud tiene para ingresar a las comunidades y centros de salud, por la disputa de territorios por las maras, quienes prohiben la libre movilización a la poblacion. 
Sin embargo del presupuesto programado para el periodo ($144,881.50), se ha pagado un monto de $35,708.29 y se encuentran $14,238.32  en Compromisos con proveedores de Bienes y Servicios adquiridos durante el S10 año 2015 de los cuales estan pendientes de pago y serán pagados  en el siguiente periodo. Asi tambien $104,692.03 de Recalendarizaciones, debido a que se ha realizado proceso de adquisicion y no  se recepcionaron ofertas por lo que se estan  realizando nuevos proceso para ejecutarce en el siguiente periodo y un monto de $ 18,949.40 de reprogramaciones. Dichas recalendarizaciones y reprogramaciones  fueron aprobadas por el MCP en Reunión Plenaria del 23 de Julio de 2015 para ejecutarse en el periodo siguiente año 2015.   </t>
  </si>
  <si>
    <t xml:space="preserve">
La compra para el año 2015 se planifico con dos entregas, la primera se realizo en Mayo y la segunda en Agosto 2015.
Se identifico un  riesgo minimo de los medicamentos (PASER, Kanamicina y Cicloserina); los cuales de acuerdo a planificación se realizara entrega en este mes.</t>
  </si>
  <si>
    <t>El Informe de Auditoría estaba programada por FM para ser entregado en Marzo 2015, y este fue enviado en Julio 2015, esto obedece a retraso en los tiempos de aprobacion de terminos de referencia y tiempos de cumplimientos según lo establece la LACAP y los tiempos de desarrollo de la misma.
Así tambien cabe mencionar que posterior a la entrega del informe a FM hubieron revisiones entre FM - MINSAL y Firma Auditora.</t>
  </si>
  <si>
    <r>
      <t xml:space="preserve">MG 5: </t>
    </r>
    <r>
      <rPr>
        <sz val="22"/>
        <rFont val="Arial"/>
        <family val="2"/>
      </rPr>
      <t xml:space="preserve">Reubicación de AUS dentro de Equipos Comunitarios:
</t>
    </r>
    <r>
      <rPr>
        <b/>
        <sz val="22"/>
        <rFont val="Arial"/>
        <family val="2"/>
      </rPr>
      <t xml:space="preserve">No Cumplida. </t>
    </r>
    <r>
      <rPr>
        <sz val="22"/>
        <rFont val="Arial"/>
        <family val="2"/>
      </rPr>
      <t xml:space="preserve">
En este semestre, el resultado ha incrementado de 16 a 27 casos comunitarios; sin embargo el mismo sigue muy por abajo de la meta. El RP ha reportado que el bajo desempeño se ha visto afectado por la violencia social relacionada con las maras en estos municipios. Esta explicación sigue siendo insuficiente para asegurar que la estrategia de la próxima subvención sea mas efectiva en la captación de casos.
</t>
    </r>
    <r>
      <rPr>
        <b/>
        <sz val="22"/>
        <color indexed="30"/>
        <rFont val="Arial"/>
        <family val="2"/>
      </rPr>
      <t>RECOMENDACIONES.</t>
    </r>
    <r>
      <rPr>
        <sz val="22"/>
        <rFont val="Arial"/>
        <family val="2"/>
      </rPr>
      <t xml:space="preserve">
Dentro de la nueva subvención, se solicita contar con una estrategia clara para abordar las limitantes observadas en relación con los AUS, asi como con un sistema de información que permita registrar los casos captados o referidos por diferentes actores (p.e. ECOS, ONGs, etc.).
</t>
    </r>
    <r>
      <rPr>
        <b/>
        <sz val="22"/>
        <color indexed="10"/>
        <rFont val="Arial"/>
        <family val="2"/>
      </rPr>
      <t>FECHA LIMITE:</t>
    </r>
    <r>
      <rPr>
        <sz val="22"/>
        <rFont val="Arial"/>
        <family val="2"/>
      </rPr>
      <t xml:space="preserve"> </t>
    </r>
    <r>
      <rPr>
        <u val="single"/>
        <sz val="22"/>
        <rFont val="Arial"/>
        <family val="2"/>
      </rPr>
      <t>Antes de la firma de la nueva subvención.</t>
    </r>
  </si>
  <si>
    <r>
      <rPr>
        <sz val="22"/>
        <color indexed="62"/>
        <rFont val="Arial"/>
        <family val="2"/>
      </rPr>
      <t>En el nuevo PENM TB 2016 - 2020 (</t>
    </r>
    <r>
      <rPr>
        <b/>
        <sz val="22"/>
        <color indexed="62"/>
        <rFont val="Arial"/>
        <family val="2"/>
      </rPr>
      <t>Paginas 52 a 68</t>
    </r>
    <r>
      <rPr>
        <sz val="22"/>
        <color indexed="62"/>
        <rFont val="Arial"/>
        <family val="2"/>
      </rPr>
      <t xml:space="preserve"> Versión en Español) se presenta el enfoque del PENM y sus lineas estrategicas, la estrategia #1, muestra las actividades dirigidas a abordar el trabajo comunitario, donde se incluye los 4 objetivos. También se implementaran estrategias simultaneas con mara y pandillas lo cual esta descrito en el apartado 5 de nota conceptual (</t>
    </r>
    <r>
      <rPr>
        <b/>
        <sz val="22"/>
        <color indexed="62"/>
        <rFont val="Arial"/>
        <family val="2"/>
      </rPr>
      <t xml:space="preserve">Paginas 11 – 13 </t>
    </r>
    <r>
      <rPr>
        <sz val="22"/>
        <color indexed="62"/>
        <rFont val="Arial"/>
        <family val="2"/>
      </rPr>
      <t xml:space="preserve">de NOTA CONCEPTUAL TB Versión en Español) en cuenta al sistema de información esto esta detallado en el "Sistema de información innovador que se implementara de forma progresiva  tal como  está descrito dentro del apartado tres de la nota conceptual
     </t>
    </r>
  </si>
  <si>
    <r>
      <t xml:space="preserve">MG 6: </t>
    </r>
    <r>
      <rPr>
        <sz val="22"/>
        <rFont val="Arial"/>
        <family val="2"/>
      </rPr>
      <t xml:space="preserve">Indicador 3.2, relativo a pacientes con VIH a los que se hizo descarte de TB:
</t>
    </r>
    <r>
      <rPr>
        <b/>
        <sz val="22"/>
        <rFont val="Arial"/>
        <family val="2"/>
      </rPr>
      <t>No Cumplida.</t>
    </r>
    <r>
      <rPr>
        <sz val="22"/>
        <rFont val="Arial"/>
        <family val="2"/>
      </rPr>
      <t xml:space="preserve">
Los resultados en el PU de TB mejoraron en calidad vs los presentados antes por la subvención de VIH; sin embargo, están incompletos (al menos cinco de veinte clinicas TAR no reportaron la información para estos indicadores).
</t>
    </r>
    <r>
      <rPr>
        <b/>
        <sz val="22"/>
        <color indexed="30"/>
        <rFont val="Arial"/>
        <family val="2"/>
      </rPr>
      <t>RECOMENDACIONES.</t>
    </r>
    <r>
      <rPr>
        <sz val="22"/>
        <rFont val="Arial"/>
        <family val="2"/>
      </rPr>
      <t xml:space="preserve">
- Se solicita entregar la información completa y final para el periodo, y reportar la del próximo periodo, de acuerdo a la definición del marco de desempeño.
- Se sugiere estandarizar los formatos para la recolección de información desde el Libro de Descarte, socializar instructivos sobre el correcto reporteo del indicador y capacitar al personal de salud sobre el mismo, y establecer fechas límites para el reporte desde las Clínicas de Atención Integral. Se solicita proporcionar un informe conjunto del PYNTER y PNS sobre el progreso de estas u otras medidas para mejorar el tamizaje y registro de información.
</t>
    </r>
    <r>
      <rPr>
        <b/>
        <sz val="22"/>
        <color indexed="10"/>
        <rFont val="Arial"/>
        <family val="2"/>
      </rPr>
      <t>FECHA LIMITE:</t>
    </r>
    <r>
      <rPr>
        <sz val="22"/>
        <rFont val="Arial"/>
        <family val="2"/>
      </rPr>
      <t xml:space="preserve"> </t>
    </r>
    <r>
      <rPr>
        <u val="single"/>
        <sz val="22"/>
        <rFont val="Arial"/>
        <family val="2"/>
      </rPr>
      <t>Se verificarán con el próximo PU.</t>
    </r>
  </si>
  <si>
    <r>
      <t xml:space="preserve">Se cumple recomendación por parte del Fondo Mundial.
El PYNTER y PNS han realizado reuniones conjunta mensuales  dándole seguimiento al reporte de dicho indicador con el apoyo de la Dirección de Hospitales, por lo que el reporte de las clínicas de Atención Integral mejoró para este semestre, ademas se estandarizo el instrumento para el reporte de este indicador, el cual se adjunta. 
Ver Anexo memorandum </t>
    </r>
    <r>
      <rPr>
        <b/>
        <sz val="22"/>
        <color indexed="62"/>
        <rFont val="Arial"/>
        <family val="2"/>
      </rPr>
      <t>N° 2015-6010-655.</t>
    </r>
  </si>
  <si>
    <r>
      <t xml:space="preserve">MG: </t>
    </r>
    <r>
      <rPr>
        <sz val="22"/>
        <rFont val="Arial"/>
        <family val="2"/>
      </rPr>
      <t>Posibilidad de Mejora en los Documentos de Respaldo de Indicadores</t>
    </r>
  </si>
  <si>
    <r>
      <t xml:space="preserve">MG: </t>
    </r>
    <r>
      <rPr>
        <sz val="22"/>
        <rFont val="Arial"/>
        <family val="2"/>
      </rPr>
      <t xml:space="preserve">Se recomienda que se mejore el uso del formato oficial del Programa de TB (PCT-1) por parte del personal de salud: a) actualización y dar seguimiento para que el formulario PCT de TB-MR sea completado correctamente y que incluya información completa de pacientes de TB-MR del Seguro Social y b) formularios PCT-1 deben ser rellenados correctamente. </t>
    </r>
  </si>
  <si>
    <r>
      <t xml:space="preserve">MG: </t>
    </r>
    <r>
      <rPr>
        <sz val="22"/>
        <rFont val="Arial"/>
        <family val="2"/>
      </rPr>
      <t>Debilidades en recolección datos para el indicador “Número y % de PVS con tuberculosis que iniciaron o continúan TAR durante o al final del tratamiento de la tuberculosis entre todos las PVS con tuberculosis registrados durante el período que se examina”.</t>
    </r>
  </si>
  <si>
    <r>
      <t xml:space="preserve">MG: </t>
    </r>
    <r>
      <rPr>
        <sz val="22"/>
        <rFont val="Arial"/>
        <family val="2"/>
      </rPr>
      <t>Confirmar si el país está aplicando las normas de OMS de 2013 para la revisión de formatos y el reporte, porque observamos que las notificaciones de todos los casos se refiere solo a nuevos casos y no incluye recaídas (relapse).</t>
    </r>
  </si>
  <si>
    <r>
      <t xml:space="preserve">MG: </t>
    </r>
    <r>
      <rPr>
        <sz val="22"/>
        <rFont val="Arial"/>
        <family val="2"/>
      </rPr>
      <t>Confirmar si el servidor que existe en el Ministerio de Salud para el Programa de TB ya está siendo utilizado. A principios de año no se utilizaba, y entre otros, asegura el backup de la información de TB.</t>
    </r>
  </si>
  <si>
    <r>
      <t xml:space="preserve">MG: </t>
    </r>
    <r>
      <rPr>
        <sz val="22"/>
        <rFont val="Arial"/>
        <family val="2"/>
      </rPr>
      <t>Se recomienda que el RP investigue la causa de las debilidades detectadas en almacenamiento y establezca remedio. Mucho se les agradecería nos comuniquen sus observaciones y medidas que emplearán con el siguiente Reporte de Avance (PU) que deberá ser entregado el 15 de febrero de 2014.</t>
    </r>
  </si>
  <si>
    <r>
      <t xml:space="preserve">Indicador 1.1: </t>
    </r>
    <r>
      <rPr>
        <sz val="22"/>
        <rFont val="Arial"/>
        <family val="2"/>
      </rPr>
      <t xml:space="preserve">Observamos que el reporte de notificaciones de tuberculosis todas las formas no indica ningún caso de tuberculosis con baciloscopia negativa. En 2012 se reportaron 313 casos (Informe Mundial de Tuberculosis 2013, OMS) de tuberculosis con baciloscopia negativa. </t>
    </r>
  </si>
  <si>
    <r>
      <t xml:space="preserve">Indicador 5.2: </t>
    </r>
    <r>
      <rPr>
        <sz val="22"/>
        <rFont val="Arial"/>
        <family val="2"/>
      </rPr>
      <t>Reportan cero casos de MDR-TB que inician tratamiento para el periodo, pero indican que existen cinco casos con resistencia a rifampicina: 
Nueva
Solicitamos aclaren la situación del descarte de la resistencia a isoniacida para estos casos puesto que no queda claro si ya se descartó o aún se esperan los resultados.</t>
    </r>
  </si>
  <si>
    <r>
      <t xml:space="preserve">MG 10: </t>
    </r>
    <r>
      <rPr>
        <sz val="22"/>
        <rFont val="Arial"/>
        <family val="2"/>
      </rPr>
      <t xml:space="preserve">Indicador 3.3: Para el indicador de entrega de isoniacida preventiva reportan como denominador el número de PVS que recibieron un descarte de TB, dato que coincide con el numerador del indicador 3.2.: Solicitamos que para futuros reportes para este denominador se debería sustraer aquellas PVS para quienes el resultado del descarte confirmara la presencia de tuberculosis, porque en estos casos correspondería entregar el régimen completo de tratamiento tuberculoso y no la isocianida preventiva.
</t>
    </r>
    <r>
      <rPr>
        <b/>
        <sz val="22"/>
        <rFont val="Arial"/>
        <family val="2"/>
      </rPr>
      <t>No cumplida.</t>
    </r>
    <r>
      <rPr>
        <sz val="22"/>
        <rFont val="Arial"/>
        <family val="2"/>
      </rPr>
      <t xml:space="preserve"> 
El RP hace referencia al denominador del Marco de desempeño = Total de PVS a los que se les descartó tuberculosis de los 30 municipios priorizados, lo cual coincide con nuestra recomendación. Sin embargo el reporte del denominador sigue siendo incorrecto.El formulario utilizado para considerar el denominador del indicador incluye a todas las PVS a las que se les realiza el descarte de Tuberculosis en las Clínicas de Atención Integral, pero no permite separar a los pacientes a los que se diagnosticó con TB e iniciaron el tratamiento antifimico, es decir, que incluye: 1) a personas sin signos o síntomas de enfermedad tuberculosa a las que por norma tienen que entrar en profilaxis con INH, 2) a las que durante la visita ya están con profilaxis con INH, 3) las que ya han concluido la profilaxis de INH con un régimen de nueve meses en adultos y seis en niños, 4) los que se les encontró TB y deben iniciar tratamiento antifímico. Adicionalmente, los resultados reportados estan incompletos (al menos cinco de veinte clinicas TAR no reportaron la información para estos indicadores).
</t>
    </r>
    <r>
      <rPr>
        <b/>
        <sz val="22"/>
        <color indexed="30"/>
        <rFont val="Arial"/>
        <family val="2"/>
      </rPr>
      <t>RECOMENDACIONES.</t>
    </r>
    <r>
      <rPr>
        <sz val="22"/>
        <rFont val="Arial"/>
        <family val="2"/>
      </rPr>
      <t xml:space="preserve">
Solicitamos que para futuros reportes para este denominador se debería sustraer aquellas PVS para quienes el resultado del descarte confirmara la presencia de tuberculosis, porque en estos casos correspondería entregar el régimen completo de tratamiento tuberculoso y no la isocianida preventiva.Para poder reportar correctamente, se recomienda que el MINSAL incluya en su formulario de atención a PV (“Libro de Descarte”), la condición actual de la terapia preventiva con Isoniacida y tratamiento antifímico, lo cual podría incluir -entre otras- las siguientes categorías: 1) Paciente que INICIA PROFILAXIS INH (Pacientes sin signos y síntomas de enfermedad tuberculosa que comienza la profilaxis); 2) EN PROFILAXIS CON INH (Pacientes que ya está en el régimen de profilaxis según su edad, 3) Paciente con PROFILAXIS FINALIZADA paciente que ha terminado la profilaxis conforme a la norma (9 meses en adulto y 6 en niños) y no amerita tomar INH, 4) paciente que es CONTACTO DE TB y amerita continuar con INH, 5) paciente que es RE-INICIO DE PROFILAXIS INH (por abandono previo), 6) Paciente que está EN TRATAMIENTO ANTIFIMICO. Para fines del denominador de este indicador, se incluirían las primeras cinco categorías.Si quedaran dudas al respecto, estamos disponibles para conversar telefonicamente para clarificar.
</t>
    </r>
    <r>
      <rPr>
        <b/>
        <sz val="22"/>
        <color indexed="10"/>
        <rFont val="Arial"/>
        <family val="2"/>
      </rPr>
      <t>FECHA LIMITE:</t>
    </r>
    <r>
      <rPr>
        <sz val="22"/>
        <rFont val="Arial"/>
        <family val="2"/>
      </rPr>
      <t xml:space="preserve"> </t>
    </r>
    <r>
      <rPr>
        <u val="single"/>
        <sz val="22"/>
        <rFont val="Arial"/>
        <family val="2"/>
      </rPr>
      <t>Se verificarán con el próximo PU.</t>
    </r>
  </si>
  <si>
    <r>
      <t xml:space="preserve">El receptor principar seguirá REPORTANDO de acuerdo a las definiciones del Marco de Desempeño,el reporte no es de carácter clínico sino de salud pública cuyo fin principal es el diagnostico de TB en esta población y no es necesario el detalle de la clínica.
COMENTARIOS DE MARCO DE DESEMPEÑO:
</t>
    </r>
    <r>
      <rPr>
        <b/>
        <sz val="22"/>
        <color indexed="62"/>
        <rFont val="Arial"/>
        <family val="2"/>
      </rPr>
      <t xml:space="preserve">Numerador: </t>
    </r>
    <r>
      <rPr>
        <sz val="22"/>
        <color indexed="62"/>
        <rFont val="Arial"/>
        <family val="2"/>
      </rPr>
      <t xml:space="preserve">Número de PVS que a los que se les descartó tuberculosis y reciben quimioprofilaxis con INH de los 30 municipios priorizados.
</t>
    </r>
    <r>
      <rPr>
        <b/>
        <sz val="22"/>
        <color indexed="62"/>
        <rFont val="Arial"/>
        <family val="2"/>
      </rPr>
      <t xml:space="preserve">Denominador: </t>
    </r>
    <r>
      <rPr>
        <sz val="22"/>
        <color indexed="62"/>
        <rFont val="Arial"/>
        <family val="2"/>
      </rPr>
      <t>Total de PVS a los que se les descartó tuberculosis de los 30 municipios priorizados . 
Se aplica la actualización de la Norma Nacional de Prevención y Control de la TB en el 2011 que establece administración de la quimioprofilaxis con INH en PVS de carácter obligatorio previo descarte de TB.</t>
    </r>
  </si>
  <si>
    <r>
      <t>MG 11:</t>
    </r>
    <r>
      <rPr>
        <sz val="22"/>
        <rFont val="Arial"/>
        <family val="2"/>
      </rPr>
      <t xml:space="preserve"> RESULTADO DE SPOTCHECK DE CAPACITACIONES - ML 10/OCT/2014 (1)Se recuerda al RP la necesidad de reportar la Planificación de eventos de Capacitación al ALF y reportar activamente toda modificación como suspensión, horarios, fechas. Dado que hubo retrasos en la confirmación de las actividades de capacitación debido a dificultades en la contratación de los servicios, se recomienda al RP buscar alternativas eficientes en la contratación de los servicios. Adicionalmente se recomienda al RP evaluar los proveedores de servicios para que la higiene y calidad de los alimentos servidos sean garantizados.
RESULTADO DE SPOTCHECK DE CAPACITACIONES - ML 10/OCT/2014 (2)En cuanto a las limitaciones de algunos asistentes para llegar debido a la falta de transporte o utilización de sus propios recursos económicos se recomienda que el RP considere otros mecanismos para garantizar una alta participación en los eventos de capacitación. Por ejemplo: facilitar el transporte, acercar el lugar de realización de los eventos hacia lugares mas cercanos a la audiencia, entregar viáticos, proveer alojamiento. Es responsabilidad del RP planificar qué mecanismo es el más adecuado así como asegurar que pueda ser financiado.
</t>
    </r>
    <r>
      <rPr>
        <b/>
        <sz val="22"/>
        <rFont val="Arial"/>
        <family val="2"/>
      </rPr>
      <t xml:space="preserve">Parcialmente Cumplida.
</t>
    </r>
    <r>
      <rPr>
        <sz val="22"/>
        <rFont val="Arial"/>
        <family val="2"/>
      </rPr>
      <t xml:space="preserve">Aunque el RP ha proporcionado explicaciones con respecto a las observaciones relacionadas al evento de capacitación objeto del spotcheck, el MINSAL no ha aportado evidencia sobre como preve abordar en futuro los problemas identificados en el spotcheck:1) Contratación o compra de servicios para capacitación a través de Bolpros hasta la fecha no ha sido eficiente para contratar los servicios a tiempo y con la calidad requerida.2) Mecanismos para asegurar participación de asistentes en relación al transporte y utilizo de recursos economicos propios para participar a los eventos en futuro.3) El PR sigue sin reportar al ALF Planificación de eventos de Capacitación y toda modificación como suspensión, horarios y fechas.
</t>
    </r>
    <r>
      <rPr>
        <b/>
        <sz val="22"/>
        <color indexed="30"/>
        <rFont val="Arial"/>
        <family val="2"/>
      </rPr>
      <t>RECOMENDACIONES.</t>
    </r>
    <r>
      <rPr>
        <sz val="22"/>
        <rFont val="Arial"/>
        <family val="2"/>
      </rPr>
      <t xml:space="preserve">
- Se recomienda al RP buscar alternativas eficientes en la contratación de los servicios.- Se recomienda que el RP considere otros mecanismos para garantizar una mayor participación en los próximos eventos de capacitación.- Se recomienda también que el PR reporte al ALF Planificación de eventos de Capacitación
</t>
    </r>
    <r>
      <rPr>
        <b/>
        <sz val="22"/>
        <color indexed="10"/>
        <rFont val="Arial"/>
        <family val="2"/>
      </rPr>
      <t xml:space="preserve">FECHA LIMITE: </t>
    </r>
    <r>
      <rPr>
        <u val="single"/>
        <sz val="22"/>
        <rFont val="Arial"/>
        <family val="2"/>
      </rPr>
      <t>Se verificarán con el próximo PU.</t>
    </r>
    <r>
      <rPr>
        <sz val="22"/>
        <rFont val="Arial"/>
        <family val="2"/>
      </rPr>
      <t xml:space="preserve">
</t>
    </r>
  </si>
  <si>
    <r>
      <t xml:space="preserve">MG 12: </t>
    </r>
    <r>
      <rPr>
        <sz val="22"/>
        <rFont val="Arial"/>
        <family val="2"/>
      </rPr>
      <t xml:space="preserve">RESULTADO DE SPOTCHECK DE CAPACITACIONES - ML 10/OCT/2014 (3)Para próximas actividades de capacitación, todos los centros penitenciarios deben ser convocados independientemente tengan o no casos con el objetivo de aprender de sus experiencias.
</t>
    </r>
    <r>
      <rPr>
        <b/>
        <sz val="22"/>
        <rFont val="Arial"/>
        <family val="2"/>
      </rPr>
      <t xml:space="preserve">Parcialmente Cumplida
</t>
    </r>
    <r>
      <rPr>
        <sz val="22"/>
        <rFont val="Arial"/>
        <family val="2"/>
      </rPr>
      <t xml:space="preserve">El MINSAL ha proporcionado Memo 348/2014 donde se convoca a personal de la clínica del Centro Penal y Granjas Penitenciarias para participar en taller "Lineamientos sobre el manejo Técnico de Tuberculosis", sin embargo, no todos los Centros Penales fueron convocados, quedando pendientes: Santa Ana (Occidente),Ilobasco, Jucuapan, San Miguel, Ciudad Barrios y La Unión así como Tonacatepeque (Intermedio); igualmente centros del ISAN pendientes fueron: Tonacatepeque, Centro Femenino, Sendero de Libertad.
</t>
    </r>
    <r>
      <rPr>
        <b/>
        <sz val="22"/>
        <color indexed="30"/>
        <rFont val="Arial"/>
        <family val="2"/>
      </rPr>
      <t>RECOMENDACIONES.</t>
    </r>
    <r>
      <rPr>
        <sz val="22"/>
        <rFont val="Arial"/>
        <family val="2"/>
      </rPr>
      <t xml:space="preserve">
En las próximas capacitaciones similares se recomienda convocar todos los Centros Penales.
</t>
    </r>
    <r>
      <rPr>
        <b/>
        <sz val="22"/>
        <color indexed="10"/>
        <rFont val="Arial"/>
        <family val="2"/>
      </rPr>
      <t>FECHA LIMITE:</t>
    </r>
    <r>
      <rPr>
        <sz val="22"/>
        <rFont val="Arial"/>
        <family val="2"/>
      </rPr>
      <t xml:space="preserve"> </t>
    </r>
    <r>
      <rPr>
        <u val="single"/>
        <sz val="22"/>
        <rFont val="Arial"/>
        <family val="2"/>
      </rPr>
      <t>Se verificarán con el próximo PU.</t>
    </r>
  </si>
  <si>
    <r>
      <t>MG 14:</t>
    </r>
    <r>
      <rPr>
        <sz val="22"/>
        <rFont val="Arial"/>
        <family val="2"/>
      </rPr>
      <t xml:space="preserve"> Indicador 3.4 relativo al "Número y % de PVS con tuberculosis que iniciaron o continuan TAR durante o al final del tratamiento de la tuberculosis"
</t>
    </r>
    <r>
      <rPr>
        <b/>
        <sz val="22"/>
        <rFont val="Arial"/>
        <family val="2"/>
      </rPr>
      <t>Nueva</t>
    </r>
    <r>
      <rPr>
        <sz val="22"/>
        <rFont val="Arial"/>
        <family val="2"/>
      </rPr>
      <t xml:space="preserve">
A pesar de que la Norma Nacional indica el uso TAR en todos los casos de co-infección TB/VIH, el MINSAL refiere que de los pacientes que no están en tratamiento TAR, el médico de la clínica lo ha decidido en base al estado serológico CV y CD4.
</t>
    </r>
    <r>
      <rPr>
        <b/>
        <sz val="22"/>
        <color indexed="30"/>
        <rFont val="Arial"/>
        <family val="2"/>
      </rPr>
      <t>RECOMENDACIONES.</t>
    </r>
    <r>
      <rPr>
        <sz val="22"/>
        <rFont val="Arial"/>
        <family val="2"/>
      </rPr>
      <t xml:space="preserve">
Se recomienda que ante la alta tasa de mortalidad en co-infección de TB-VIH, se haga una revisión de la condición de los pacientes no tratados y se pongan en marchas medidas para segurar que los médicos de las Clinicas TAR se apeguen a Norma de manejo de pacientes con Co-Infección TB-VIH, administrando tratamiento TAR independientemente del estatus serologico CV y CD4 a todo paciente con TB.
</t>
    </r>
    <r>
      <rPr>
        <b/>
        <sz val="22"/>
        <color indexed="10"/>
        <rFont val="Arial"/>
        <family val="2"/>
      </rPr>
      <t>FECHA LIMITE:</t>
    </r>
    <r>
      <rPr>
        <sz val="22"/>
        <rFont val="Arial"/>
        <family val="2"/>
      </rPr>
      <t xml:space="preserve"> </t>
    </r>
    <r>
      <rPr>
        <u val="single"/>
        <sz val="22"/>
        <rFont val="Arial"/>
        <family val="2"/>
      </rPr>
      <t>Se verificarán con el próximo PU.</t>
    </r>
    <r>
      <rPr>
        <sz val="22"/>
        <rFont val="Arial"/>
        <family val="2"/>
      </rPr>
      <t xml:space="preserve">
</t>
    </r>
  </si>
  <si>
    <r>
      <t xml:space="preserve">MG 16: </t>
    </r>
    <r>
      <rPr>
        <sz val="22"/>
        <rFont val="Arial"/>
        <family val="2"/>
      </rPr>
      <t xml:space="preserve">
Riesgo de vencimiento de un medicamento de segunda Linea.
</t>
    </r>
    <r>
      <rPr>
        <b/>
        <sz val="22"/>
        <rFont val="Arial"/>
        <family val="2"/>
      </rPr>
      <t>Nueva</t>
    </r>
    <r>
      <rPr>
        <sz val="22"/>
        <rFont val="Arial"/>
        <family val="2"/>
      </rPr>
      <t xml:space="preserve">
Se considera que hay riesgo de vencimiento de Etionamida durante el próximo período de revisión.
</t>
    </r>
    <r>
      <rPr>
        <b/>
        <sz val="22"/>
        <color indexed="30"/>
        <rFont val="Arial"/>
        <family val="2"/>
      </rPr>
      <t>RECOMENDACIONES.</t>
    </r>
    <r>
      <rPr>
        <sz val="22"/>
        <rFont val="Arial"/>
        <family val="2"/>
      </rPr>
      <t xml:space="preserve">
Se recomienda que el RP informe sobre acciones específicas a tomar para evitar vencimientos futuros, y en el próximo PU incluir un informe de medicamentos que han vencido.
</t>
    </r>
    <r>
      <rPr>
        <b/>
        <sz val="22"/>
        <color indexed="10"/>
        <rFont val="Arial"/>
        <family val="2"/>
      </rPr>
      <t>FECHA LIMITE:</t>
    </r>
    <r>
      <rPr>
        <sz val="22"/>
        <rFont val="Arial"/>
        <family val="2"/>
      </rPr>
      <t xml:space="preserve"> </t>
    </r>
    <r>
      <rPr>
        <u val="single"/>
        <sz val="22"/>
        <rFont val="Arial"/>
        <family val="2"/>
      </rPr>
      <t>Se verificarán con el próximo PU.</t>
    </r>
  </si>
  <si>
    <r>
      <t xml:space="preserve">Se solicitara a Proveedor que realice dos (02) entregas con diferentes lotes de producción, esto debido al poco consumo.
Se Anexa Correo de Dr. Henry Alfaro a Dr. Garay explicando que no ha habido vencimientos en Medicamentos.
</t>
    </r>
    <r>
      <rPr>
        <sz val="22"/>
        <rFont val="Arial"/>
        <family val="2"/>
      </rPr>
      <t>De: Vladimir A [mailto:doctorheny@gmail.com] 
Enviado el: lunes, 27 de julio de 2015 12:09
Para: Julio Garay Ramos &lt;jgaray@salud.gob.sv&gt;
CC: mario soto &lt;mariosotodr@gmail.com&gt;
Asunto: Medicamentos de Segunda Línea
Muy buenas tardes Dr. Garay
Con respecto a los medicamentos de segunda línea quiero informarle que según la última evaluación de La Unión a cargo del Dr. Caminero Luna: 
1. Hemos tenido un buen manejo de los medicamentos de segunda línea
2. Que estamos tomando acciones para evitar los vencimientos ó desabastecimientos como por ejemplo: comprar sólo lo necesario por cada año y no para dos años como es lo recomendado, se realizan ajustes en los casos programados, tomando en consideración la cohorte de TB-MDR.
3. Que proveedor nos condiciona la compra de ésta, aduciendo que no tienen con fecha de vencimiento mayor de dos años, además que el trámite de compra-embarque-recibo y distribución se tarda aproximadamente 8 a 10 meses.
4. Que seguimos haciendo los esfuerzos posibles en conjunto con el Dr. Soto para revisar las existencias, fechas de caducidad, cálculos y proyecciones de casos y cantidades de medicamentos apegados lo más cercano a la realidad.
5. Que hay causas externas que se salen de nuestro control como lo citado anteriormente.
Atentamente
-- 
Dr. Henry Vladimir  Alfaro A.
Coordinador Nacional Clínica de TB y TB-MDR
Programa Nacional de TB y Enf. Respiratorias 
Hospital Nacional Saldaña Neumología y Medicina Familiar
MINSAL y Policlínico Planes de Renderos del ISSS, Republica de El Salvador. America Central</t>
    </r>
    <r>
      <rPr>
        <sz val="22"/>
        <color indexed="62"/>
        <rFont val="Arial"/>
        <family val="2"/>
      </rPr>
      <t xml:space="preserve">
</t>
    </r>
  </si>
  <si>
    <r>
      <t>MG 17:</t>
    </r>
    <r>
      <rPr>
        <sz val="22"/>
        <rFont val="Arial"/>
        <family val="2"/>
      </rPr>
      <t xml:space="preserve">
Informe Firmado por la Señora Ministra.
</t>
    </r>
    <r>
      <rPr>
        <b/>
        <sz val="22"/>
        <rFont val="Arial"/>
        <family val="2"/>
      </rPr>
      <t xml:space="preserve">Nueva
</t>
    </r>
    <r>
      <rPr>
        <sz val="22"/>
        <rFont val="Arial"/>
        <family val="2"/>
      </rPr>
      <t xml:space="preserve">El informe fue firmado con fecha 13 de abril de 2014 y fue solicitado en mulitiples ocasiones durante el periodo de revisión, pero no fue remitido al Fondo Mundial hasta el 21/04/2015.
</t>
    </r>
    <r>
      <rPr>
        <b/>
        <sz val="22"/>
        <color indexed="30"/>
        <rFont val="Arial"/>
        <family val="2"/>
      </rPr>
      <t>RECOMENDACIONES.</t>
    </r>
    <r>
      <rPr>
        <sz val="22"/>
        <rFont val="Arial"/>
        <family val="2"/>
      </rPr>
      <t xml:space="preserve">
Se solicita al RP poner en su informe la fecha real de la firma de la Sra. Ministra y que este sea enviado junto con todos los respaldos del PUDR.
</t>
    </r>
    <r>
      <rPr>
        <b/>
        <sz val="22"/>
        <color indexed="10"/>
        <rFont val="Arial"/>
        <family val="2"/>
      </rPr>
      <t>FECHA LIMITE:</t>
    </r>
    <r>
      <rPr>
        <sz val="22"/>
        <rFont val="Arial"/>
        <family val="2"/>
      </rPr>
      <t xml:space="preserve"> </t>
    </r>
    <r>
      <rPr>
        <u val="single"/>
        <sz val="22"/>
        <rFont val="Arial"/>
        <family val="2"/>
      </rPr>
      <t>Se verificarán con el próximo PU.</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</si>
</sst>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_ ;_ @_ "/>
    <numFmt numFmtId="181" formatCode="_(* #,##0.00_);_(* \(#,##0.00\);_(* \-??_);_(@_)"/>
    <numFmt numFmtId="182" formatCode="_-\$* #,##0.00_-;&quot;-$&quot;* #,##0.00_-;_-\$* \-??_-;_-@_-"/>
    <numFmt numFmtId="183" formatCode="_-[$€]* #,##0.00_-;\-[$€]* #,##0.00_-;_-[$€]* \-??_-;_-@_-"/>
    <numFmt numFmtId="184" formatCode="_ [$€]\ * #,##0.00_ ;_ [$€]\ * \-#,##0.00_ ;_ [$€]\ * \-??_ ;_ @_ "/>
    <numFmt numFmtId="185" formatCode="_(\$* #,##0.00_);_(\$* \(#,##0.00\);_(\$* \-??_);_(@_)"/>
    <numFmt numFmtId="186" formatCode="_(&quot;L. &quot;* #,##0.00_);_(&quot;L. &quot;* \(#,##0.00\);_(&quot;L. &quot;* \-??_);_(@_)"/>
    <numFmt numFmtId="187" formatCode="_ * #,##0_ ;_ * \-#,##0_ ;_ * \-??_ ;_ @_ "/>
    <numFmt numFmtId="188" formatCode="d\-mmm\-yyyy;@"/>
    <numFmt numFmtId="189" formatCode="000%"/>
    <numFmt numFmtId="190" formatCode="_(* #,##0.00_);_(* \(#,##0.00%\);_(* \-??_);_(@_)"/>
    <numFmt numFmtId="191" formatCode="#.##0"/>
    <numFmt numFmtId="192" formatCode="d\-mmm\-yy;@"/>
    <numFmt numFmtId="193" formatCode="0.0%"/>
    <numFmt numFmtId="194" formatCode="d/mmm/yyyy;@"/>
    <numFmt numFmtId="195" formatCode="#.##000"/>
    <numFmt numFmtId="196" formatCode="_-* #,##0.00\ _€_-;\-* #,##0.00\ _€_-;_-* \-??\ _€_-;_-@_-"/>
    <numFmt numFmtId="197" formatCode="#,##0.00;[Red]\(#,##0.00\)"/>
    <numFmt numFmtId="198" formatCode="#,##0.000"/>
    <numFmt numFmtId="199" formatCode="#,##0.00\ _€"/>
    <numFmt numFmtId="200" formatCode="000"/>
    <numFmt numFmtId="201" formatCode="_(* #,##0_);_(* \(#,##0\);_(* \-_);_(@_)"/>
    <numFmt numFmtId="202" formatCode="#,##0.0000_);[Red]\(#,##0.0000\)"/>
    <numFmt numFmtId="203" formatCode="#,##0.0000"/>
    <numFmt numFmtId="204" formatCode="dd/mm/yyyy;@"/>
    <numFmt numFmtId="205" formatCode="mm/dd/yy;@"/>
    <numFmt numFmtId="206" formatCode="d/mmm/yy;@"/>
    <numFmt numFmtId="207" formatCode="d&quot; de &quot;mmm&quot; de &quot;yy"/>
    <numFmt numFmtId="208" formatCode="#,##0.0000;[Red]\-#,##0.0000"/>
    <numFmt numFmtId="209" formatCode="0.0000"/>
    <numFmt numFmtId="210" formatCode="#,##0.00_ ;\-#,##0.00\ "/>
    <numFmt numFmtId="211" formatCode="#,##0.0000_ ;\-#,##0.0000\ "/>
    <numFmt numFmtId="212" formatCode="_([$$-440A]* #,##0.00_);_([$$-440A]* \(#,##0.00\);_([$$-440A]* \-??_);_(@_)"/>
    <numFmt numFmtId="213" formatCode="_ [$$-240A]\ * #,##0.00_ ;_ [$$-240A]\ * \-#,##0.00_ ;_ [$$-240A]\ * \-??_ ;_ @_ "/>
    <numFmt numFmtId="214" formatCode="_-[$$-240A]\ * #,##0.00_ ;_-[$$-240A]\ * \-#,##0.00\ ;_-[$$-240A]\ * \-??_ ;_-@_ "/>
    <numFmt numFmtId="215" formatCode="\$#,##0.00_);[Red]&quot;($&quot;#,##0.00\)"/>
    <numFmt numFmtId="216" formatCode="#,##0.00;[Red]#,##0.00"/>
    <numFmt numFmtId="217" formatCode="_-[$$-240A]\ * #,##0.00_ ;_-[$$-240A]\ * \-#,##0.00\ ;_-[$$-240A]\ * &quot;-&quot;??_ ;_-@_ "/>
    <numFmt numFmtId="218" formatCode="_([$$-440A]* #,##0.00_);_([$$-440A]* \(#,##0.00\);_([$$-440A]* &quot;-&quot;??_);_(@_)"/>
    <numFmt numFmtId="219" formatCode="0.00000"/>
    <numFmt numFmtId="220" formatCode="_ [$$-240A]\ * #,##0.00_ ;_ [$$-240A]\ * \-#,##0.00_ ;_ [$$-240A]\ * &quot;-&quot;??_ ;_ @_ "/>
    <numFmt numFmtId="221" formatCode="_-[$$-440A]* #,##0.00_ ;_-[$$-440A]* \-#,##0.00\ ;_-[$$-440A]* &quot;-&quot;??_ ;_-@_ "/>
    <numFmt numFmtId="222" formatCode="_ [$$-300A]\ * #,##0.00_ ;_ [$$-300A]\ * \-#,##0.00_ ;_ [$$-300A]\ * &quot;-&quot;??_ ;_ @_ "/>
    <numFmt numFmtId="223" formatCode="_([$$-240A]\ * #,##0.00_);_([$$-240A]\ * \(#,##0.00\);_([$$-240A]\ * &quot;-&quot;??_);_(@_)"/>
    <numFmt numFmtId="224" formatCode="#,##0.0"/>
  </numFmts>
  <fonts count="166">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0"/>
      <name val="Times New Roman"/>
      <family val="1"/>
    </font>
    <font>
      <b/>
      <sz val="18"/>
      <name val="Arial"/>
      <family val="2"/>
    </font>
    <font>
      <sz val="12"/>
      <name val="Arial"/>
      <family val="2"/>
    </font>
    <font>
      <b/>
      <sz val="12"/>
      <name val="Arial"/>
      <family val="2"/>
    </font>
    <font>
      <b/>
      <u val="single"/>
      <sz val="14"/>
      <color indexed="10"/>
      <name val="Arial"/>
      <family val="2"/>
    </font>
    <font>
      <b/>
      <sz val="12"/>
      <color indexed="10"/>
      <name val="Arial"/>
      <family val="2"/>
    </font>
    <font>
      <b/>
      <sz val="12"/>
      <color indexed="10"/>
      <name val="Times New Roman"/>
      <family val="1"/>
    </font>
    <font>
      <b/>
      <i/>
      <sz val="14"/>
      <name val="Arial"/>
      <family val="2"/>
    </font>
    <font>
      <b/>
      <sz val="13"/>
      <color indexed="9"/>
      <name val="Arial"/>
      <family val="2"/>
    </font>
    <font>
      <sz val="13"/>
      <name val="Arial"/>
      <family val="2"/>
    </font>
    <font>
      <sz val="11"/>
      <name val="Arial"/>
      <family val="2"/>
    </font>
    <font>
      <b/>
      <sz val="13"/>
      <name val="Arial"/>
      <family val="2"/>
    </font>
    <font>
      <b/>
      <sz val="11"/>
      <name val="Arial"/>
      <family val="2"/>
    </font>
    <font>
      <b/>
      <sz val="16"/>
      <name val="Arial"/>
      <family val="2"/>
    </font>
    <font>
      <b/>
      <sz val="11"/>
      <color indexed="12"/>
      <name val="Arial"/>
      <family val="2"/>
    </font>
    <font>
      <b/>
      <sz val="12"/>
      <color indexed="8"/>
      <name val="Arial"/>
      <family val="2"/>
    </font>
    <font>
      <b/>
      <sz val="11"/>
      <color indexed="8"/>
      <name val="Arial"/>
      <family val="2"/>
    </font>
    <font>
      <sz val="14"/>
      <name val="Arial"/>
      <family val="2"/>
    </font>
    <font>
      <b/>
      <sz val="14"/>
      <color indexed="10"/>
      <name val="Arial"/>
      <family val="2"/>
    </font>
    <font>
      <b/>
      <sz val="16"/>
      <color indexed="30"/>
      <name val="Arial"/>
      <family val="2"/>
    </font>
    <font>
      <b/>
      <sz val="14"/>
      <name val="Arial"/>
      <family val="2"/>
    </font>
    <font>
      <b/>
      <sz val="13"/>
      <color indexed="12"/>
      <name val="Arial"/>
      <family val="2"/>
    </font>
    <font>
      <b/>
      <sz val="13"/>
      <color indexed="8"/>
      <name val="Arial"/>
      <family val="2"/>
    </font>
    <font>
      <sz val="13"/>
      <color indexed="12"/>
      <name val="Arial"/>
      <family val="2"/>
    </font>
    <font>
      <b/>
      <sz val="11"/>
      <color indexed="9"/>
      <name val="Arial"/>
      <family val="2"/>
    </font>
    <font>
      <b/>
      <sz val="14"/>
      <color indexed="9"/>
      <name val="Arial"/>
      <family val="2"/>
    </font>
    <font>
      <b/>
      <sz val="12"/>
      <color indexed="9"/>
      <name val="Arial"/>
      <family val="2"/>
    </font>
    <font>
      <sz val="12"/>
      <color indexed="12"/>
      <name val="Arial"/>
      <family val="2"/>
    </font>
    <font>
      <b/>
      <sz val="12"/>
      <color indexed="12"/>
      <name val="Arial"/>
      <family val="2"/>
    </font>
    <font>
      <b/>
      <sz val="10"/>
      <name val="Arial"/>
      <family val="2"/>
    </font>
    <font>
      <b/>
      <sz val="11"/>
      <color indexed="10"/>
      <name val="Arial"/>
      <family val="2"/>
    </font>
    <font>
      <sz val="16"/>
      <name val="Arial"/>
      <family val="2"/>
    </font>
    <font>
      <sz val="18"/>
      <name val="Arial"/>
      <family val="2"/>
    </font>
    <font>
      <b/>
      <sz val="14"/>
      <color indexed="12"/>
      <name val="Arial"/>
      <family val="2"/>
    </font>
    <font>
      <sz val="11"/>
      <color indexed="8"/>
      <name val="Arial"/>
      <family val="2"/>
    </font>
    <font>
      <b/>
      <i/>
      <sz val="10"/>
      <name val="Arial"/>
      <family val="2"/>
    </font>
    <font>
      <b/>
      <i/>
      <u val="single"/>
      <sz val="10"/>
      <name val="Arial"/>
      <family val="2"/>
    </font>
    <font>
      <b/>
      <i/>
      <sz val="12"/>
      <name val="Arial"/>
      <family val="2"/>
    </font>
    <font>
      <b/>
      <i/>
      <sz val="8"/>
      <name val="Arial"/>
      <family val="2"/>
    </font>
    <font>
      <i/>
      <sz val="10"/>
      <name val="Arial"/>
      <family val="2"/>
    </font>
    <font>
      <b/>
      <i/>
      <sz val="11"/>
      <name val="Arial"/>
      <family val="2"/>
    </font>
    <font>
      <sz val="12"/>
      <color indexed="8"/>
      <name val="Times New Roman"/>
      <family val="1"/>
    </font>
    <font>
      <b/>
      <sz val="8"/>
      <color indexed="58"/>
      <name val="Tahoma"/>
      <family val="2"/>
    </font>
    <font>
      <sz val="8"/>
      <color indexed="58"/>
      <name val="Tahoma"/>
      <family val="2"/>
    </font>
    <font>
      <sz val="10"/>
      <color indexed="10"/>
      <name val="Tahoma"/>
      <family val="2"/>
    </font>
    <font>
      <b/>
      <sz val="9"/>
      <color indexed="58"/>
      <name val="Tahoma"/>
      <family val="2"/>
    </font>
    <font>
      <b/>
      <i/>
      <sz val="9"/>
      <color indexed="58"/>
      <name val="Tahoma"/>
      <family val="2"/>
    </font>
    <font>
      <b/>
      <sz val="20"/>
      <name val="Arial"/>
      <family val="2"/>
    </font>
    <font>
      <i/>
      <sz val="11"/>
      <name val="Arial"/>
      <family val="2"/>
    </font>
    <font>
      <sz val="15"/>
      <name val="Arial"/>
      <family val="2"/>
    </font>
    <font>
      <sz val="11"/>
      <color indexed="53"/>
      <name val="Arial"/>
      <family val="2"/>
    </font>
    <font>
      <sz val="10"/>
      <color indexed="12"/>
      <name val="Arial"/>
      <family val="2"/>
    </font>
    <font>
      <b/>
      <sz val="11"/>
      <color indexed="53"/>
      <name val="Arial"/>
      <family val="2"/>
    </font>
    <font>
      <b/>
      <sz val="12"/>
      <color indexed="8"/>
      <name val="Calibri"/>
      <family val="2"/>
    </font>
    <font>
      <b/>
      <sz val="11"/>
      <color indexed="12"/>
      <name val="Calibri"/>
      <family val="2"/>
    </font>
    <font>
      <b/>
      <sz val="10"/>
      <color indexed="8"/>
      <name val="Calibri"/>
      <family val="2"/>
    </font>
    <font>
      <b/>
      <u val="single"/>
      <sz val="10"/>
      <color indexed="8"/>
      <name val="Calibri"/>
      <family val="2"/>
    </font>
    <font>
      <b/>
      <sz val="10"/>
      <name val="Calibri"/>
      <family val="2"/>
    </font>
    <font>
      <sz val="10"/>
      <color indexed="8"/>
      <name val="Calibri"/>
      <family val="2"/>
    </font>
    <font>
      <b/>
      <sz val="10"/>
      <color indexed="12"/>
      <name val="Arial"/>
      <family val="2"/>
    </font>
    <font>
      <sz val="10"/>
      <color indexed="41"/>
      <name val="Arial"/>
      <family val="2"/>
    </font>
    <font>
      <u val="single"/>
      <sz val="11"/>
      <name val="Arial"/>
      <family val="2"/>
    </font>
    <font>
      <b/>
      <u val="single"/>
      <sz val="11"/>
      <name val="Arial"/>
      <family val="2"/>
    </font>
    <font>
      <u val="single"/>
      <sz val="14"/>
      <name val="Arial"/>
      <family val="2"/>
    </font>
    <font>
      <sz val="14"/>
      <color indexed="12"/>
      <name val="Arial"/>
      <family val="2"/>
    </font>
    <font>
      <sz val="10"/>
      <color indexed="10"/>
      <name val="Arial"/>
      <family val="2"/>
    </font>
    <font>
      <sz val="10"/>
      <color indexed="8"/>
      <name val="Arial"/>
      <family val="2"/>
    </font>
    <font>
      <vertAlign val="superscript"/>
      <sz val="11"/>
      <name val="Arial"/>
      <family val="2"/>
    </font>
    <font>
      <sz val="11"/>
      <color indexed="12"/>
      <name val="Arial"/>
      <family val="2"/>
    </font>
    <font>
      <b/>
      <sz val="11"/>
      <color indexed="52"/>
      <name val="Arial"/>
      <family val="2"/>
    </font>
    <font>
      <sz val="10"/>
      <color indexed="9"/>
      <name val="Arial"/>
      <family val="2"/>
    </font>
    <font>
      <sz val="14"/>
      <color indexed="9"/>
      <name val="Arial"/>
      <family val="2"/>
    </font>
    <font>
      <b/>
      <sz val="16"/>
      <color indexed="12"/>
      <name val="Arial"/>
      <family val="2"/>
    </font>
    <font>
      <b/>
      <u val="single"/>
      <sz val="14"/>
      <color indexed="12"/>
      <name val="Arial"/>
      <family val="2"/>
    </font>
    <font>
      <b/>
      <u val="single"/>
      <sz val="12"/>
      <color indexed="12"/>
      <name val="Arial"/>
      <family val="2"/>
    </font>
    <font>
      <b/>
      <sz val="10"/>
      <color indexed="8"/>
      <name val="Arial"/>
      <family val="2"/>
    </font>
    <font>
      <sz val="8"/>
      <name val="Arial"/>
      <family val="2"/>
    </font>
    <font>
      <sz val="10"/>
      <color indexed="12"/>
      <name val="Arial Unicode MS"/>
      <family val="2"/>
    </font>
    <font>
      <sz val="12"/>
      <name val="Times New Roman"/>
      <family val="1"/>
    </font>
    <font>
      <sz val="7"/>
      <name val="Times New Roman"/>
      <family val="1"/>
    </font>
    <font>
      <b/>
      <sz val="10"/>
      <name val="Times New Roman"/>
      <family val="1"/>
    </font>
    <font>
      <b/>
      <sz val="8"/>
      <name val="Arial"/>
      <family val="2"/>
    </font>
    <font>
      <b/>
      <sz val="18"/>
      <color indexed="56"/>
      <name val="Arial"/>
      <family val="2"/>
    </font>
    <font>
      <sz val="22"/>
      <name val="Arial"/>
      <family val="2"/>
    </font>
    <font>
      <sz val="20"/>
      <name val="Arial"/>
      <family val="2"/>
    </font>
    <font>
      <b/>
      <sz val="22"/>
      <color indexed="56"/>
      <name val="Arial"/>
      <family val="2"/>
    </font>
    <font>
      <sz val="22"/>
      <color indexed="56"/>
      <name val="Arial"/>
      <family val="2"/>
    </font>
    <font>
      <b/>
      <sz val="20"/>
      <color indexed="10"/>
      <name val="Arial"/>
      <family val="2"/>
    </font>
    <font>
      <sz val="14"/>
      <color indexed="56"/>
      <name val="Arial"/>
      <family val="2"/>
    </font>
    <font>
      <sz val="16"/>
      <color indexed="56"/>
      <name val="Arial"/>
      <family val="2"/>
    </font>
    <font>
      <b/>
      <sz val="16"/>
      <color indexed="56"/>
      <name val="Arial"/>
      <family val="2"/>
    </font>
    <font>
      <i/>
      <sz val="16"/>
      <color indexed="56"/>
      <name val="Arial"/>
      <family val="2"/>
    </font>
    <font>
      <b/>
      <sz val="16"/>
      <color indexed="10"/>
      <name val="Arial"/>
      <family val="2"/>
    </font>
    <font>
      <sz val="16"/>
      <color indexed="10"/>
      <name val="Arial"/>
      <family val="2"/>
    </font>
    <font>
      <b/>
      <i/>
      <sz val="16"/>
      <color indexed="56"/>
      <name val="Arial"/>
      <family val="2"/>
    </font>
    <font>
      <sz val="16"/>
      <color indexed="8"/>
      <name val="Arial"/>
      <family val="2"/>
    </font>
    <font>
      <sz val="14"/>
      <color indexed="10"/>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20"/>
      <color indexed="12"/>
      <name val="Arial"/>
      <family val="2"/>
    </font>
    <font>
      <b/>
      <sz val="18"/>
      <color indexed="12"/>
      <name val="Arial"/>
      <family val="2"/>
    </font>
    <font>
      <sz val="16"/>
      <color indexed="62"/>
      <name val="Arial"/>
      <family val="2"/>
    </font>
    <font>
      <sz val="12"/>
      <color indexed="10"/>
      <name val="Arial"/>
      <family val="2"/>
    </font>
    <font>
      <sz val="8"/>
      <name val="Tahoma"/>
      <family val="2"/>
    </font>
    <font>
      <u val="single"/>
      <sz val="6"/>
      <color indexed="12"/>
      <name val="Arial"/>
      <family val="2"/>
    </font>
    <font>
      <u val="single"/>
      <sz val="6"/>
      <color indexed="20"/>
      <name val="Arial"/>
      <family val="2"/>
    </font>
    <font>
      <b/>
      <sz val="22"/>
      <name val="Arial"/>
      <family val="2"/>
    </font>
    <font>
      <b/>
      <sz val="22"/>
      <color indexed="30"/>
      <name val="Arial"/>
      <family val="2"/>
    </font>
    <font>
      <b/>
      <sz val="22"/>
      <color indexed="10"/>
      <name val="Arial"/>
      <family val="2"/>
    </font>
    <font>
      <u val="single"/>
      <sz val="22"/>
      <name val="Arial"/>
      <family val="2"/>
    </font>
    <font>
      <b/>
      <sz val="22"/>
      <color indexed="62"/>
      <name val="Arial"/>
      <family val="2"/>
    </font>
    <font>
      <sz val="22"/>
      <color indexed="62"/>
      <name val="Arial"/>
      <family val="2"/>
    </font>
    <font>
      <b/>
      <sz val="22"/>
      <color indexed="60"/>
      <name val="Times New Roman"/>
      <family val="1"/>
    </font>
    <font>
      <b/>
      <u val="single"/>
      <sz val="2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
      <color theme="10"/>
      <name val="Arial"/>
      <family val="2"/>
    </font>
    <font>
      <u val="single"/>
      <sz val="6"/>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20"/>
      <color rgb="FF0000CC"/>
      <name val="Arial"/>
      <family val="2"/>
    </font>
    <font>
      <sz val="16"/>
      <color rgb="FFFF0000"/>
      <name val="Arial"/>
      <family val="2"/>
    </font>
    <font>
      <b/>
      <sz val="18"/>
      <color rgb="FF0000CC"/>
      <name val="Arial"/>
      <family val="2"/>
    </font>
    <font>
      <b/>
      <sz val="20"/>
      <color rgb="FFFF0000"/>
      <name val="Arial"/>
      <family val="2"/>
    </font>
    <font>
      <sz val="22"/>
      <color rgb="FF002060"/>
      <name val="Arial"/>
      <family val="2"/>
    </font>
    <font>
      <sz val="14"/>
      <color rgb="FF002060"/>
      <name val="Arial"/>
      <family val="2"/>
    </font>
    <font>
      <b/>
      <sz val="14"/>
      <color rgb="FF0000CC"/>
      <name val="Arial"/>
      <family val="2"/>
    </font>
    <font>
      <sz val="16"/>
      <color rgb="FF002060"/>
      <name val="Arial"/>
      <family val="2"/>
    </font>
    <font>
      <sz val="12"/>
      <color rgb="FFFF0000"/>
      <name val="Arial"/>
      <family val="2"/>
    </font>
    <font>
      <sz val="16"/>
      <color rgb="FF7030A0"/>
      <name val="Arial"/>
      <family val="2"/>
    </font>
    <font>
      <b/>
      <sz val="22"/>
      <color rgb="FF7030A0"/>
      <name val="Arial"/>
      <family val="2"/>
    </font>
    <font>
      <sz val="22"/>
      <color rgb="FF7030A0"/>
      <name val="Arial"/>
      <family val="2"/>
    </font>
    <font>
      <b/>
      <sz val="22"/>
      <color rgb="FFC00000"/>
      <name val="Times New Roman"/>
      <family val="1"/>
    </font>
  </fonts>
  <fills count="6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5"/>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4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8"/>
        <bgColor indexed="64"/>
      </patternFill>
    </fill>
    <fill>
      <patternFill patternType="solid">
        <fgColor indexed="55"/>
        <bgColor indexed="64"/>
      </patternFill>
    </fill>
    <fill>
      <patternFill patternType="solid">
        <fgColor indexed="24"/>
        <bgColor indexed="64"/>
      </patternFill>
    </fill>
    <fill>
      <patternFill patternType="solid">
        <fgColor indexed="50"/>
        <bgColor indexed="64"/>
      </patternFill>
    </fill>
    <fill>
      <patternFill patternType="solid">
        <fgColor indexed="40"/>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indexed="56"/>
        <bgColor indexed="64"/>
      </patternFill>
    </fill>
  </fills>
  <borders count="24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41"/>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41"/>
      </left>
      <right style="thin">
        <color indexed="41"/>
      </right>
      <top style="thin">
        <color indexed="41"/>
      </top>
      <bottom style="thin">
        <color indexed="41"/>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58"/>
      </left>
      <right style="medium">
        <color indexed="58"/>
      </right>
      <top style="medium">
        <color indexed="58"/>
      </top>
      <bottom style="thin">
        <color indexed="58"/>
      </bottom>
    </border>
    <border>
      <left style="medium">
        <color indexed="58"/>
      </left>
      <right>
        <color indexed="63"/>
      </right>
      <top style="medium">
        <color indexed="58"/>
      </top>
      <bottom>
        <color indexed="63"/>
      </bottom>
    </border>
    <border>
      <left>
        <color indexed="63"/>
      </left>
      <right>
        <color indexed="63"/>
      </right>
      <top style="medium">
        <color indexed="58"/>
      </top>
      <bottom>
        <color indexed="63"/>
      </bottom>
    </border>
    <border>
      <left>
        <color indexed="63"/>
      </left>
      <right style="thin">
        <color indexed="58"/>
      </right>
      <top style="medium">
        <color indexed="58"/>
      </top>
      <bottom style="thin">
        <color indexed="58"/>
      </bottom>
    </border>
    <border>
      <left style="thin">
        <color indexed="58"/>
      </left>
      <right>
        <color indexed="63"/>
      </right>
      <top style="medium">
        <color indexed="58"/>
      </top>
      <bottom style="thin">
        <color indexed="58"/>
      </bottom>
    </border>
    <border>
      <left style="thin">
        <color indexed="58"/>
      </left>
      <right style="thin">
        <color indexed="58"/>
      </right>
      <top style="medium">
        <color indexed="58"/>
      </top>
      <bottom style="thin">
        <color indexed="58"/>
      </bottom>
    </border>
    <border>
      <left style="medium">
        <color indexed="58"/>
      </left>
      <right>
        <color indexed="63"/>
      </right>
      <top>
        <color indexed="63"/>
      </top>
      <bottom>
        <color indexed="63"/>
      </bottom>
    </border>
    <border>
      <left>
        <color indexed="63"/>
      </left>
      <right style="thin">
        <color indexed="58"/>
      </right>
      <top style="thin">
        <color indexed="58"/>
      </top>
      <bottom style="thin">
        <color indexed="58"/>
      </bottom>
    </border>
    <border>
      <left style="thin">
        <color indexed="58"/>
      </left>
      <right style="thin">
        <color indexed="58"/>
      </right>
      <top style="thin">
        <color indexed="58"/>
      </top>
      <bottom style="thin">
        <color indexed="58"/>
      </bottom>
    </border>
    <border>
      <left style="medium">
        <color indexed="58"/>
      </left>
      <right>
        <color indexed="63"/>
      </right>
      <top>
        <color indexed="63"/>
      </top>
      <bottom style="medium">
        <color indexed="58"/>
      </bottom>
    </border>
    <border>
      <left>
        <color indexed="63"/>
      </left>
      <right style="thin">
        <color indexed="58"/>
      </right>
      <top>
        <color indexed="63"/>
      </top>
      <bottom style="medium">
        <color indexed="58"/>
      </bottom>
    </border>
    <border>
      <left>
        <color indexed="63"/>
      </left>
      <right>
        <color indexed="63"/>
      </right>
      <top>
        <color indexed="63"/>
      </top>
      <bottom style="medium">
        <color indexed="58"/>
      </bottom>
    </border>
    <border>
      <left style="medium">
        <color indexed="58"/>
      </left>
      <right>
        <color indexed="63"/>
      </right>
      <top style="medium">
        <color indexed="58"/>
      </top>
      <bottom style="thin">
        <color indexed="58"/>
      </bottom>
    </border>
    <border>
      <left>
        <color indexed="63"/>
      </left>
      <right>
        <color indexed="63"/>
      </right>
      <top style="medium">
        <color indexed="58"/>
      </top>
      <bottom style="thin">
        <color indexed="58"/>
      </bottom>
    </border>
    <border>
      <left style="thin">
        <color indexed="58"/>
      </left>
      <right style="thin">
        <color indexed="58"/>
      </right>
      <top style="thin">
        <color indexed="58"/>
      </top>
      <bottom style="medium">
        <color indexed="58"/>
      </bottom>
    </border>
    <border>
      <left style="medium">
        <color indexed="58"/>
      </left>
      <right style="thin">
        <color indexed="58"/>
      </right>
      <top style="thin">
        <color indexed="58"/>
      </top>
      <bottom>
        <color indexed="63"/>
      </bottom>
    </border>
    <border>
      <left style="thin">
        <color indexed="58"/>
      </left>
      <right>
        <color indexed="63"/>
      </right>
      <top style="thin">
        <color indexed="58"/>
      </top>
      <bottom style="thin">
        <color indexed="58"/>
      </bottom>
    </border>
    <border>
      <left style="thin">
        <color indexed="58"/>
      </left>
      <right style="medium">
        <color indexed="58"/>
      </right>
      <top style="thin">
        <color indexed="58"/>
      </top>
      <bottom style="thin">
        <color indexed="58"/>
      </bottom>
    </border>
    <border>
      <left style="thin">
        <color indexed="58"/>
      </left>
      <right style="medium">
        <color indexed="58"/>
      </right>
      <top style="thin">
        <color indexed="58"/>
      </top>
      <bottom style="medium">
        <color indexed="58"/>
      </bottom>
    </border>
    <border>
      <left>
        <color indexed="63"/>
      </left>
      <right>
        <color indexed="63"/>
      </right>
      <top style="thin">
        <color indexed="58"/>
      </top>
      <bottom style="thin">
        <color indexed="58"/>
      </bottom>
    </border>
    <border>
      <left>
        <color indexed="63"/>
      </left>
      <right style="medium">
        <color indexed="58"/>
      </right>
      <top style="thin">
        <color indexed="58"/>
      </top>
      <bottom style="thin">
        <color indexed="58"/>
      </bottom>
    </border>
    <border>
      <left style="thin">
        <color indexed="58"/>
      </left>
      <right>
        <color indexed="63"/>
      </right>
      <top style="thin">
        <color indexed="58"/>
      </top>
      <bottom style="medium">
        <color indexed="58"/>
      </bottom>
    </border>
    <border>
      <left style="medium">
        <color indexed="58"/>
      </left>
      <right>
        <color indexed="63"/>
      </right>
      <top style="medium">
        <color indexed="58"/>
      </top>
      <bottom style="medium">
        <color indexed="58"/>
      </bottom>
    </border>
    <border>
      <left>
        <color indexed="63"/>
      </left>
      <right>
        <color indexed="63"/>
      </right>
      <top style="medium">
        <color indexed="58"/>
      </top>
      <bottom style="medium">
        <color indexed="58"/>
      </bottom>
    </border>
    <border>
      <left style="hair">
        <color indexed="58"/>
      </left>
      <right style="hair">
        <color indexed="58"/>
      </right>
      <top style="medium">
        <color indexed="58"/>
      </top>
      <bottom style="medium">
        <color indexed="58"/>
      </bottom>
    </border>
    <border>
      <left style="hair">
        <color indexed="58"/>
      </left>
      <right style="medium">
        <color indexed="58"/>
      </right>
      <top style="medium">
        <color indexed="58"/>
      </top>
      <bottom style="medium">
        <color indexed="58"/>
      </bottom>
    </border>
    <border>
      <left style="thick">
        <color indexed="58"/>
      </left>
      <right>
        <color indexed="63"/>
      </right>
      <top>
        <color indexed="63"/>
      </top>
      <bottom style="medium">
        <color indexed="58"/>
      </bottom>
    </border>
    <border>
      <left style="hair">
        <color indexed="58"/>
      </left>
      <right style="hair">
        <color indexed="58"/>
      </right>
      <top>
        <color indexed="63"/>
      </top>
      <bottom style="medium">
        <color indexed="58"/>
      </bottom>
    </border>
    <border>
      <left style="hair">
        <color indexed="58"/>
      </left>
      <right style="medium">
        <color indexed="58"/>
      </right>
      <top>
        <color indexed="63"/>
      </top>
      <bottom style="medium">
        <color indexed="58"/>
      </bottom>
    </border>
    <border>
      <left style="medium">
        <color indexed="58"/>
      </left>
      <right style="medium">
        <color indexed="58"/>
      </right>
      <top style="medium">
        <color indexed="58"/>
      </top>
      <bottom style="medium">
        <color indexed="58"/>
      </bottom>
    </border>
    <border>
      <left style="medium">
        <color indexed="58"/>
      </left>
      <right>
        <color indexed="63"/>
      </right>
      <top style="hair">
        <color indexed="58"/>
      </top>
      <bottom style="hair">
        <color indexed="58"/>
      </bottom>
    </border>
    <border>
      <left style="thick">
        <color indexed="58"/>
      </left>
      <right style="hair">
        <color indexed="58"/>
      </right>
      <top style="medium">
        <color indexed="58"/>
      </top>
      <bottom style="hair">
        <color indexed="58"/>
      </bottom>
    </border>
    <border>
      <left style="hair">
        <color indexed="58"/>
      </left>
      <right style="hair">
        <color indexed="58"/>
      </right>
      <top style="medium">
        <color indexed="58"/>
      </top>
      <bottom style="hair">
        <color indexed="58"/>
      </bottom>
    </border>
    <border>
      <left style="hair">
        <color indexed="58"/>
      </left>
      <right style="medium">
        <color indexed="58"/>
      </right>
      <top style="hair">
        <color indexed="58"/>
      </top>
      <bottom style="hair">
        <color indexed="58"/>
      </bottom>
    </border>
    <border>
      <left>
        <color indexed="63"/>
      </left>
      <right>
        <color indexed="63"/>
      </right>
      <top style="hair">
        <color indexed="58"/>
      </top>
      <bottom style="hair">
        <color indexed="58"/>
      </bottom>
    </border>
    <border>
      <left style="thick">
        <color indexed="58"/>
      </left>
      <right style="hair">
        <color indexed="58"/>
      </right>
      <top style="hair">
        <color indexed="58"/>
      </top>
      <bottom style="hair">
        <color indexed="58"/>
      </bottom>
    </border>
    <border>
      <left style="hair">
        <color indexed="58"/>
      </left>
      <right style="hair">
        <color indexed="58"/>
      </right>
      <top style="hair">
        <color indexed="58"/>
      </top>
      <bottom style="hair">
        <color indexed="58"/>
      </bottom>
    </border>
    <border>
      <left style="medium">
        <color indexed="58"/>
      </left>
      <right>
        <color indexed="63"/>
      </right>
      <top style="hair">
        <color indexed="58"/>
      </top>
      <bottom>
        <color indexed="63"/>
      </bottom>
    </border>
    <border>
      <left>
        <color indexed="63"/>
      </left>
      <right style="hair">
        <color indexed="58"/>
      </right>
      <top style="hair">
        <color indexed="58"/>
      </top>
      <bottom style="hair">
        <color indexed="58"/>
      </bottom>
    </border>
    <border>
      <left>
        <color indexed="63"/>
      </left>
      <right style="hair">
        <color indexed="58"/>
      </right>
      <top style="hair">
        <color indexed="58"/>
      </top>
      <bottom>
        <color indexed="63"/>
      </bottom>
    </border>
    <border>
      <left style="hair">
        <color indexed="58"/>
      </left>
      <right style="hair">
        <color indexed="58"/>
      </right>
      <top style="hair">
        <color indexed="58"/>
      </top>
      <bottom>
        <color indexed="63"/>
      </bottom>
    </border>
    <border>
      <left style="thick">
        <color indexed="58"/>
      </left>
      <right style="hair">
        <color indexed="58"/>
      </right>
      <top style="hair">
        <color indexed="58"/>
      </top>
      <bottom style="medium">
        <color indexed="58"/>
      </bottom>
    </border>
    <border>
      <left style="hair">
        <color indexed="58"/>
      </left>
      <right style="hair">
        <color indexed="58"/>
      </right>
      <top style="hair">
        <color indexed="58"/>
      </top>
      <bottom style="medium">
        <color indexed="58"/>
      </bottom>
    </border>
    <border>
      <left>
        <color indexed="63"/>
      </left>
      <right>
        <color indexed="63"/>
      </right>
      <top style="hair">
        <color indexed="58"/>
      </top>
      <bottom style="medium">
        <color indexed="58"/>
      </bottom>
    </border>
    <border>
      <left style="medium">
        <color indexed="58"/>
      </left>
      <right style="medium">
        <color indexed="58"/>
      </right>
      <top style="hair">
        <color indexed="58"/>
      </top>
      <bottom style="medium">
        <color indexed="58"/>
      </bottom>
    </border>
    <border>
      <left>
        <color indexed="63"/>
      </left>
      <right style="medium">
        <color indexed="58"/>
      </right>
      <top style="medium">
        <color indexed="58"/>
      </top>
      <bottom style="medium">
        <color indexed="58"/>
      </bottom>
    </border>
    <border>
      <left style="thick">
        <color indexed="58"/>
      </left>
      <right>
        <color indexed="63"/>
      </right>
      <top style="medium">
        <color indexed="58"/>
      </top>
      <bottom style="medium">
        <color indexed="58"/>
      </bottom>
    </border>
    <border>
      <left style="medium">
        <color indexed="58"/>
      </left>
      <right style="medium">
        <color indexed="58"/>
      </right>
      <top>
        <color indexed="63"/>
      </top>
      <bottom style="medium">
        <color indexed="58"/>
      </bottom>
    </border>
    <border>
      <left>
        <color indexed="63"/>
      </left>
      <right style="medium">
        <color indexed="58"/>
      </right>
      <top>
        <color indexed="63"/>
      </top>
      <bottom>
        <color indexed="63"/>
      </bottom>
    </border>
    <border>
      <left>
        <color indexed="63"/>
      </left>
      <right style="medium">
        <color indexed="58"/>
      </right>
      <top>
        <color indexed="63"/>
      </top>
      <bottom style="medium">
        <color indexed="58"/>
      </bottom>
    </border>
    <border>
      <left style="medium">
        <color indexed="58"/>
      </left>
      <right>
        <color indexed="63"/>
      </right>
      <top style="medium">
        <color indexed="58"/>
      </top>
      <bottom style="hair">
        <color indexed="58"/>
      </bottom>
    </border>
    <border>
      <left>
        <color indexed="63"/>
      </left>
      <right style="hair">
        <color indexed="58"/>
      </right>
      <top style="medium">
        <color indexed="58"/>
      </top>
      <bottom style="hair">
        <color indexed="58"/>
      </bottom>
    </border>
    <border>
      <left style="hair">
        <color indexed="58"/>
      </left>
      <right style="medium">
        <color indexed="58"/>
      </right>
      <top style="medium">
        <color indexed="58"/>
      </top>
      <bottom style="hair">
        <color indexed="58"/>
      </bottom>
    </border>
    <border>
      <left style="hair">
        <color indexed="58"/>
      </left>
      <right style="hair">
        <color indexed="58"/>
      </right>
      <top>
        <color indexed="63"/>
      </top>
      <bottom style="hair">
        <color indexed="58"/>
      </bottom>
    </border>
    <border>
      <left style="hair">
        <color indexed="58"/>
      </left>
      <right style="medium">
        <color indexed="58"/>
      </right>
      <top style="hair">
        <color indexed="58"/>
      </top>
      <bottom>
        <color indexed="63"/>
      </bottom>
    </border>
    <border>
      <left style="hair">
        <color indexed="58"/>
      </left>
      <right style="medium">
        <color indexed="58"/>
      </right>
      <top style="hair">
        <color indexed="58"/>
      </top>
      <bottom style="medium">
        <color indexed="58"/>
      </bottom>
    </border>
    <border>
      <left style="hair">
        <color indexed="58"/>
      </left>
      <right>
        <color indexed="63"/>
      </right>
      <top style="hair">
        <color indexed="58"/>
      </top>
      <bottom style="hair">
        <color indexed="58"/>
      </bottom>
    </border>
    <border>
      <left style="medium">
        <color indexed="58"/>
      </left>
      <right style="hair">
        <color indexed="58"/>
      </right>
      <top style="hair">
        <color indexed="58"/>
      </top>
      <bottom>
        <color indexed="63"/>
      </bottom>
    </border>
    <border>
      <left>
        <color indexed="63"/>
      </left>
      <right>
        <color indexed="63"/>
      </right>
      <top style="hair">
        <color indexed="58"/>
      </top>
      <bottom>
        <color indexed="63"/>
      </bottom>
    </border>
    <border>
      <left>
        <color indexed="63"/>
      </left>
      <right style="medium">
        <color indexed="58"/>
      </right>
      <top style="hair">
        <color indexed="58"/>
      </top>
      <bottom>
        <color indexed="63"/>
      </bottom>
    </border>
    <border>
      <left style="thick">
        <color indexed="58"/>
      </left>
      <right>
        <color indexed="63"/>
      </right>
      <top style="hair">
        <color indexed="58"/>
      </top>
      <bottom style="hair">
        <color indexed="58"/>
      </bottom>
    </border>
    <border>
      <left style="medium">
        <color indexed="58"/>
      </left>
      <right style="medium">
        <color indexed="58"/>
      </right>
      <top>
        <color indexed="63"/>
      </top>
      <bottom style="thin">
        <color indexed="58"/>
      </bottom>
    </border>
    <border>
      <left style="medium">
        <color indexed="58"/>
      </left>
      <right style="medium">
        <color indexed="58"/>
      </right>
      <top style="thin">
        <color indexed="58"/>
      </top>
      <bottom style="medium">
        <color indexed="58"/>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medium">
        <color indexed="58"/>
      </bottom>
    </border>
    <border>
      <left style="thin">
        <color indexed="9"/>
      </left>
      <right>
        <color indexed="63"/>
      </right>
      <top style="thin">
        <color indexed="9"/>
      </top>
      <bottom>
        <color indexed="63"/>
      </bottom>
    </border>
    <border>
      <left style="medium">
        <color indexed="58"/>
      </left>
      <right style="thin">
        <color indexed="9"/>
      </right>
      <top style="thin">
        <color indexed="9"/>
      </top>
      <bottom style="thin">
        <color indexed="9"/>
      </bottom>
    </border>
    <border>
      <left>
        <color indexed="63"/>
      </left>
      <right style="thin">
        <color indexed="9"/>
      </right>
      <top style="medium">
        <color indexed="58"/>
      </top>
      <bottom style="thin">
        <color indexed="9"/>
      </bottom>
    </border>
    <border>
      <left style="thin">
        <color indexed="9"/>
      </left>
      <right style="thin">
        <color indexed="9"/>
      </right>
      <top style="medium">
        <color indexed="58"/>
      </top>
      <bottom style="thin">
        <color indexed="9"/>
      </bottom>
    </border>
    <border>
      <left style="thin">
        <color indexed="9"/>
      </left>
      <right>
        <color indexed="63"/>
      </right>
      <top style="medium">
        <color indexed="58"/>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58"/>
      </bottom>
    </border>
    <border>
      <left style="thin">
        <color indexed="9"/>
      </left>
      <right>
        <color indexed="63"/>
      </right>
      <top style="thin">
        <color indexed="9"/>
      </top>
      <bottom style="double">
        <color indexed="58"/>
      </bottom>
    </border>
    <border>
      <left style="thin">
        <color indexed="9"/>
      </left>
      <right style="thin">
        <color indexed="9"/>
      </right>
      <top style="thin">
        <color indexed="58"/>
      </top>
      <bottom style="thin">
        <color indexed="9"/>
      </bottom>
    </border>
    <border>
      <left style="thin">
        <color indexed="9"/>
      </left>
      <right>
        <color indexed="63"/>
      </right>
      <top style="thin">
        <color indexed="58"/>
      </top>
      <bottom style="thin">
        <color indexed="9"/>
      </bottom>
    </border>
    <border>
      <left>
        <color indexed="63"/>
      </left>
      <right>
        <color indexed="63"/>
      </right>
      <top style="thin">
        <color indexed="58"/>
      </top>
      <bottom>
        <color indexed="63"/>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58"/>
      </bottom>
    </border>
    <border>
      <left>
        <color indexed="63"/>
      </left>
      <right>
        <color indexed="63"/>
      </right>
      <top>
        <color indexed="63"/>
      </top>
      <bottom style="thin">
        <color indexed="58"/>
      </bottom>
    </border>
    <border>
      <left style="thin">
        <color indexed="9"/>
      </left>
      <right>
        <color indexed="63"/>
      </right>
      <top style="thin">
        <color indexed="9"/>
      </top>
      <bottom style="thin">
        <color indexed="58"/>
      </bottom>
    </border>
    <border>
      <left>
        <color indexed="63"/>
      </left>
      <right style="thin">
        <color indexed="9"/>
      </right>
      <top style="thin">
        <color indexed="58"/>
      </top>
      <bottom style="thin">
        <color indexed="9"/>
      </bottom>
    </border>
    <border>
      <left>
        <color indexed="63"/>
      </left>
      <right style="thin">
        <color indexed="9"/>
      </right>
      <top style="thin">
        <color indexed="58"/>
      </top>
      <bottom>
        <color indexed="63"/>
      </bottom>
    </border>
    <border>
      <left>
        <color indexed="63"/>
      </left>
      <right style="thin">
        <color indexed="9"/>
      </right>
      <top>
        <color indexed="63"/>
      </top>
      <bottom style="thin">
        <color indexed="9"/>
      </bottom>
    </border>
    <border>
      <left style="thin">
        <color indexed="9"/>
      </left>
      <right>
        <color indexed="63"/>
      </right>
      <top>
        <color indexed="63"/>
      </top>
      <bottom>
        <color indexed="63"/>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58"/>
      </bottom>
    </border>
    <border>
      <left>
        <color indexed="63"/>
      </left>
      <right style="thin">
        <color indexed="9"/>
      </right>
      <top>
        <color indexed="63"/>
      </top>
      <bottom style="thin">
        <color indexed="58"/>
      </bottom>
    </border>
    <border>
      <left>
        <color indexed="63"/>
      </left>
      <right>
        <color indexed="63"/>
      </right>
      <top style="thin">
        <color indexed="58"/>
      </top>
      <bottom style="thin">
        <color indexed="9"/>
      </bottom>
    </border>
    <border>
      <left>
        <color indexed="63"/>
      </left>
      <right>
        <color indexed="63"/>
      </right>
      <top>
        <color indexed="63"/>
      </top>
      <bottom style="double">
        <color indexed="58"/>
      </bottom>
    </border>
    <border>
      <left style="thin">
        <color indexed="9"/>
      </left>
      <right>
        <color indexed="63"/>
      </right>
      <top style="double">
        <color indexed="58"/>
      </top>
      <bottom>
        <color indexed="63"/>
      </bottom>
    </border>
    <border>
      <left>
        <color indexed="63"/>
      </left>
      <right style="thin">
        <color indexed="9"/>
      </right>
      <top>
        <color indexed="63"/>
      </top>
      <bottom>
        <color indexed="63"/>
      </bottom>
    </border>
    <border>
      <left style="medium">
        <color indexed="58"/>
      </left>
      <right style="thin">
        <color indexed="9"/>
      </right>
      <top style="thin">
        <color indexed="9"/>
      </top>
      <bottom>
        <color indexed="63"/>
      </bottom>
    </border>
    <border>
      <left>
        <color indexed="63"/>
      </left>
      <right>
        <color indexed="63"/>
      </right>
      <top>
        <color indexed="63"/>
      </top>
      <bottom style="thin">
        <color indexed="9"/>
      </bottom>
    </border>
    <border>
      <left style="thin">
        <color indexed="9"/>
      </left>
      <right>
        <color indexed="63"/>
      </right>
      <top style="thin">
        <color indexed="58"/>
      </top>
      <bottom>
        <color indexed="63"/>
      </bottom>
    </border>
    <border>
      <left style="thin">
        <color indexed="9"/>
      </left>
      <right style="thin">
        <color indexed="9"/>
      </right>
      <top style="thin">
        <color indexed="58"/>
      </top>
      <bottom>
        <color indexed="63"/>
      </bottom>
    </border>
    <border>
      <left style="thin">
        <color indexed="9"/>
      </left>
      <right>
        <color indexed="63"/>
      </right>
      <top>
        <color indexed="63"/>
      </top>
      <bottom style="thin">
        <color indexed="58"/>
      </bottom>
    </border>
    <border>
      <left style="thin">
        <color indexed="9"/>
      </left>
      <right style="thin">
        <color indexed="58"/>
      </right>
      <top style="thin">
        <color indexed="9"/>
      </top>
      <bottom style="thin">
        <color indexed="9"/>
      </bottom>
    </border>
    <border>
      <left style="thin">
        <color indexed="58"/>
      </left>
      <right style="thin">
        <color indexed="9"/>
      </right>
      <top style="thin">
        <color indexed="9"/>
      </top>
      <bottom style="thin">
        <color indexed="9"/>
      </bottom>
    </border>
    <border>
      <left style="thin">
        <color indexed="9"/>
      </left>
      <right style="medium">
        <color indexed="58"/>
      </right>
      <top style="thin">
        <color indexed="9"/>
      </top>
      <bottom style="thin">
        <color indexed="9"/>
      </bottom>
    </border>
    <border>
      <left style="medium">
        <color indexed="58"/>
      </left>
      <right>
        <color indexed="63"/>
      </right>
      <top style="thin">
        <color indexed="9"/>
      </top>
      <bottom style="thin">
        <color indexed="9"/>
      </bottom>
    </border>
    <border>
      <left style="thin">
        <color indexed="9"/>
      </left>
      <right style="thin">
        <color indexed="9"/>
      </right>
      <top style="medium">
        <color indexed="58"/>
      </top>
      <bottom style="medium">
        <color indexed="58"/>
      </bottom>
    </border>
    <border>
      <left style="thin">
        <color indexed="9"/>
      </left>
      <right style="medium">
        <color indexed="58"/>
      </right>
      <top style="thin">
        <color indexed="9"/>
      </top>
      <bottom>
        <color indexed="63"/>
      </bottom>
    </border>
    <border>
      <left style="medium">
        <color indexed="58"/>
      </left>
      <right style="thin">
        <color indexed="58"/>
      </right>
      <top style="medium">
        <color indexed="58"/>
      </top>
      <bottom style="thin">
        <color indexed="58"/>
      </bottom>
    </border>
    <border>
      <left style="medium">
        <color indexed="58"/>
      </left>
      <right style="thin">
        <color indexed="58"/>
      </right>
      <top style="thin">
        <color indexed="58"/>
      </top>
      <bottom style="thin">
        <color indexed="58"/>
      </bottom>
    </border>
    <border>
      <left style="medium">
        <color indexed="58"/>
      </left>
      <right style="thin">
        <color indexed="58"/>
      </right>
      <top style="thin">
        <color indexed="58"/>
      </top>
      <bottom style="medium">
        <color indexed="58"/>
      </bottom>
    </border>
    <border>
      <left style="thin">
        <color indexed="58"/>
      </left>
      <right style="medium">
        <color indexed="58"/>
      </right>
      <top style="medium">
        <color indexed="58"/>
      </top>
      <bottom style="medium">
        <color indexed="58"/>
      </bottom>
    </border>
    <border>
      <left style="thin">
        <color indexed="58"/>
      </left>
      <right style="thin">
        <color indexed="58"/>
      </right>
      <top style="thin">
        <color indexed="58"/>
      </top>
      <bottom>
        <color indexed="63"/>
      </bottom>
    </border>
    <border>
      <left style="thin">
        <color indexed="58"/>
      </left>
      <right style="thin">
        <color indexed="58"/>
      </right>
      <top>
        <color indexed="63"/>
      </top>
      <bottom style="thin">
        <color indexed="58"/>
      </bottom>
    </border>
    <border>
      <left style="medium">
        <color indexed="58"/>
      </left>
      <right style="thin">
        <color indexed="58"/>
      </right>
      <top>
        <color indexed="63"/>
      </top>
      <bottom style="thin">
        <color indexed="58"/>
      </bottom>
    </border>
    <border>
      <left style="thin">
        <color indexed="58"/>
      </left>
      <right style="medium">
        <color indexed="58"/>
      </right>
      <top style="medium">
        <color indexed="58"/>
      </top>
      <bottom>
        <color indexed="63"/>
      </bottom>
    </border>
    <border>
      <left style="thin">
        <color indexed="58"/>
      </left>
      <right>
        <color indexed="63"/>
      </right>
      <top>
        <color indexed="63"/>
      </top>
      <bottom style="thin">
        <color indexed="58"/>
      </bottom>
    </border>
    <border>
      <left>
        <color indexed="63"/>
      </left>
      <right style="medium">
        <color indexed="58"/>
      </right>
      <top style="medium">
        <color indexed="58"/>
      </top>
      <bottom style="thin">
        <color indexed="58"/>
      </bottom>
    </border>
    <border>
      <left style="medium">
        <color indexed="58"/>
      </left>
      <right style="thin">
        <color indexed="9"/>
      </right>
      <top>
        <color indexed="63"/>
      </top>
      <bottom>
        <color indexed="63"/>
      </bottom>
    </border>
    <border>
      <left>
        <color indexed="63"/>
      </left>
      <right>
        <color indexed="63"/>
      </right>
      <top style="thin">
        <color indexed="58"/>
      </top>
      <bottom style="medium">
        <color indexed="58"/>
      </bottom>
    </border>
    <border>
      <left>
        <color indexed="63"/>
      </left>
      <right style="medium">
        <color indexed="58"/>
      </right>
      <top style="thin">
        <color indexed="58"/>
      </top>
      <bottom style="medium">
        <color indexed="58"/>
      </bottom>
    </border>
    <border>
      <left style="thin">
        <color indexed="58"/>
      </left>
      <right style="thin">
        <color indexed="58"/>
      </right>
      <top style="medium">
        <color indexed="58"/>
      </top>
      <bottom style="medium">
        <color indexed="58"/>
      </bottom>
    </border>
    <border>
      <left style="thin">
        <color indexed="58"/>
      </left>
      <right style="thin">
        <color indexed="58"/>
      </right>
      <top style="medium">
        <color indexed="58"/>
      </top>
      <bottom>
        <color indexed="63"/>
      </bottom>
    </border>
    <border>
      <left style="thin">
        <color indexed="58"/>
      </left>
      <right style="medium">
        <color indexed="58"/>
      </right>
      <top style="thin">
        <color indexed="58"/>
      </top>
      <bottom>
        <color indexed="63"/>
      </bottom>
    </border>
    <border>
      <left style="thin">
        <color indexed="9"/>
      </left>
      <right style="thin">
        <color indexed="9"/>
      </right>
      <top style="medium">
        <color indexed="58"/>
      </top>
      <bottom>
        <color indexed="63"/>
      </bottom>
    </border>
    <border>
      <left>
        <color indexed="63"/>
      </left>
      <right>
        <color indexed="63"/>
      </right>
      <top style="thin">
        <color indexed="9"/>
      </top>
      <bottom style="medium">
        <color indexed="58"/>
      </bottom>
    </border>
    <border>
      <left style="thin">
        <color indexed="9"/>
      </left>
      <right>
        <color indexed="63"/>
      </right>
      <top style="thin">
        <color indexed="9"/>
      </top>
      <bottom style="medium">
        <color indexed="58"/>
      </bottom>
    </border>
    <border>
      <left style="thin">
        <color indexed="9"/>
      </left>
      <right style="medium">
        <color indexed="58"/>
      </right>
      <top style="thin">
        <color indexed="9"/>
      </top>
      <bottom style="medium">
        <color indexed="58"/>
      </bottom>
    </border>
    <border>
      <left style="medium">
        <color indexed="58"/>
      </left>
      <right style="medium">
        <color indexed="58"/>
      </right>
      <top style="medium">
        <color indexed="58"/>
      </top>
      <bottom>
        <color indexed="63"/>
      </bottom>
    </border>
    <border>
      <left style="medium">
        <color indexed="58"/>
      </left>
      <right style="medium">
        <color indexed="58"/>
      </right>
      <top style="medium">
        <color indexed="58"/>
      </top>
      <bottom style="thin">
        <color indexed="58"/>
      </bottom>
    </border>
    <border>
      <left style="medium">
        <color indexed="58"/>
      </left>
      <right style="medium">
        <color indexed="58"/>
      </right>
      <top style="thin">
        <color indexed="58"/>
      </top>
      <bottom style="thin">
        <color indexed="58"/>
      </bottom>
    </border>
    <border>
      <left style="thin">
        <color indexed="9"/>
      </left>
      <right style="medium">
        <color indexed="58"/>
      </right>
      <top style="medium">
        <color indexed="58"/>
      </top>
      <bottom style="medium">
        <color indexed="58"/>
      </bottom>
    </border>
    <border>
      <left>
        <color indexed="63"/>
      </left>
      <right style="thin">
        <color indexed="58"/>
      </right>
      <top style="thin">
        <color indexed="58"/>
      </top>
      <bottom style="medium">
        <color indexed="58"/>
      </bottom>
    </border>
    <border>
      <left style="thin">
        <color indexed="58"/>
      </left>
      <right>
        <color indexed="63"/>
      </right>
      <top style="medium">
        <color indexed="58"/>
      </top>
      <bottom>
        <color indexed="63"/>
      </bottom>
    </border>
    <border>
      <left style="thin">
        <color indexed="58"/>
      </left>
      <right>
        <color indexed="63"/>
      </right>
      <top style="thin">
        <color indexed="58"/>
      </top>
      <bottom>
        <color indexed="63"/>
      </bottom>
    </border>
    <border>
      <left style="medium">
        <color indexed="58"/>
      </left>
      <right style="thin">
        <color indexed="58"/>
      </right>
      <top style="medium">
        <color indexed="58"/>
      </top>
      <bottom style="medium">
        <color indexed="58"/>
      </bottom>
    </border>
    <border>
      <left style="thin">
        <color indexed="58"/>
      </left>
      <right style="medium">
        <color indexed="58"/>
      </right>
      <top>
        <color indexed="63"/>
      </top>
      <bottom style="thin">
        <color indexed="58"/>
      </bottom>
    </border>
    <border>
      <left>
        <color indexed="63"/>
      </left>
      <right style="medium">
        <color indexed="58"/>
      </right>
      <top>
        <color indexed="63"/>
      </top>
      <bottom style="thin">
        <color indexed="58"/>
      </bottom>
    </border>
    <border>
      <left>
        <color indexed="63"/>
      </left>
      <right style="thin">
        <color indexed="58"/>
      </right>
      <top>
        <color indexed="63"/>
      </top>
      <bottom>
        <color indexed="63"/>
      </bottom>
    </border>
    <border>
      <left>
        <color indexed="63"/>
      </left>
      <right>
        <color indexed="63"/>
      </right>
      <top style="medium">
        <color indexed="58"/>
      </top>
      <bottom style="thin">
        <color indexed="9"/>
      </bottom>
    </border>
    <border>
      <left style="thin">
        <color indexed="9"/>
      </left>
      <right>
        <color indexed="63"/>
      </right>
      <top style="medium">
        <color indexed="58"/>
      </top>
      <bottom style="thin">
        <color indexed="58"/>
      </bottom>
    </border>
    <border>
      <left style="thin">
        <color indexed="9"/>
      </left>
      <right style="thin">
        <color indexed="9"/>
      </right>
      <top style="medium">
        <color indexed="58"/>
      </top>
      <bottom style="thin">
        <color indexed="58"/>
      </bottom>
    </border>
    <border>
      <left style="medium">
        <color indexed="58"/>
      </left>
      <right>
        <color indexed="63"/>
      </right>
      <top style="thin">
        <color indexed="58"/>
      </top>
      <bottom>
        <color indexed="63"/>
      </bottom>
    </border>
    <border>
      <left style="thin">
        <color indexed="58"/>
      </left>
      <right style="thin">
        <color indexed="58"/>
      </right>
      <top>
        <color indexed="63"/>
      </top>
      <bottom style="hair">
        <color indexed="58"/>
      </bottom>
    </border>
    <border>
      <left style="thin">
        <color indexed="58"/>
      </left>
      <right style="thin">
        <color indexed="58"/>
      </right>
      <top style="hair">
        <color indexed="58"/>
      </top>
      <bottom style="thin">
        <color indexed="58"/>
      </bottom>
    </border>
    <border>
      <left style="thin">
        <color indexed="58"/>
      </left>
      <right style="thin">
        <color indexed="58"/>
      </right>
      <top>
        <color indexed="63"/>
      </top>
      <bottom>
        <color indexed="63"/>
      </bottom>
    </border>
    <border>
      <left>
        <color indexed="63"/>
      </left>
      <right>
        <color indexed="63"/>
      </right>
      <top style="thin">
        <color indexed="9"/>
      </top>
      <bottom style="thin">
        <color indexed="58"/>
      </bottom>
    </border>
    <border>
      <left style="thin">
        <color indexed="58"/>
      </left>
      <right>
        <color indexed="63"/>
      </right>
      <top style="thin">
        <color indexed="58"/>
      </top>
      <bottom style="hair">
        <color indexed="58"/>
      </bottom>
    </border>
    <border>
      <left style="thin">
        <color indexed="58"/>
      </left>
      <right>
        <color indexed="63"/>
      </right>
      <top style="hair">
        <color indexed="58"/>
      </top>
      <bottom style="hair">
        <color indexed="58"/>
      </bottom>
    </border>
    <border>
      <left style="thin">
        <color indexed="58"/>
      </left>
      <right>
        <color indexed="63"/>
      </right>
      <top style="hair">
        <color indexed="58"/>
      </top>
      <bottom style="thin">
        <color indexed="58"/>
      </bottom>
    </border>
    <border>
      <left style="medium">
        <color indexed="58"/>
      </left>
      <right>
        <color indexed="63"/>
      </right>
      <top style="thin">
        <color indexed="9"/>
      </top>
      <bottom>
        <color indexed="63"/>
      </bottom>
    </border>
    <border>
      <left>
        <color indexed="63"/>
      </left>
      <right style="medium">
        <color indexed="58"/>
      </right>
      <top style="medium">
        <color indexed="58"/>
      </top>
      <bottom>
        <color indexed="63"/>
      </bottom>
    </border>
    <border>
      <left style="thin">
        <color indexed="58"/>
      </left>
      <right>
        <color indexed="63"/>
      </right>
      <top>
        <color indexed="63"/>
      </top>
      <bottom>
        <color indexed="63"/>
      </bottom>
    </border>
    <border>
      <left style="thin">
        <color indexed="58"/>
      </left>
      <right style="thin">
        <color indexed="58"/>
      </right>
      <top style="thin">
        <color indexed="58"/>
      </top>
      <bottom style="hair">
        <color indexed="58"/>
      </bottom>
    </border>
    <border>
      <left style="thin">
        <color indexed="58"/>
      </left>
      <right style="thin">
        <color indexed="58"/>
      </right>
      <top style="hair">
        <color indexed="58"/>
      </top>
      <bottom style="hair">
        <color indexed="58"/>
      </bottom>
    </border>
    <border>
      <left style="thin">
        <color indexed="58"/>
      </left>
      <right style="thin">
        <color indexed="58"/>
      </right>
      <top style="hair">
        <color indexed="58"/>
      </top>
      <bottom>
        <color indexed="63"/>
      </bottom>
    </border>
    <border>
      <left>
        <color indexed="63"/>
      </left>
      <right style="thin">
        <color indexed="58"/>
      </right>
      <top style="thin">
        <color indexed="58"/>
      </top>
      <bottom>
        <color indexed="63"/>
      </bottom>
    </border>
    <border>
      <left style="thin"/>
      <right style="thin"/>
      <top style="thin"/>
      <bottom style="thin"/>
    </border>
    <border>
      <left style="thin"/>
      <right/>
      <top/>
      <bottom/>
    </border>
    <border>
      <left style="thin"/>
      <right>
        <color indexed="63"/>
      </right>
      <top style="thin"/>
      <bottom>
        <color indexed="63"/>
      </bottom>
    </border>
    <border>
      <left>
        <color indexed="63"/>
      </left>
      <right>
        <color indexed="63"/>
      </right>
      <top style="thin"/>
      <bottom>
        <color indexed="63"/>
      </bottom>
    </border>
    <border>
      <left style="thin"/>
      <right style="hair"/>
      <top style="medium"/>
      <bottom style="hair"/>
    </border>
    <border>
      <left style="thin"/>
      <right style="hair"/>
      <top style="hair"/>
      <bottom style="hair"/>
    </border>
    <border>
      <left style="thin"/>
      <right/>
      <top style="medium"/>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medium"/>
      <right/>
      <top style="medium"/>
      <bottom style="hair"/>
    </border>
    <border>
      <left style="hair"/>
      <right style="hair"/>
      <top style="medium"/>
      <bottom style="hair"/>
    </border>
    <border>
      <left style="medium"/>
      <right/>
      <top style="hair"/>
      <bottom style="hair"/>
    </border>
    <border>
      <left style="hair"/>
      <right style="hair"/>
      <top style="hair"/>
      <bottom style="hair"/>
    </border>
    <border>
      <left style="medium"/>
      <right/>
      <top/>
      <bottom/>
    </border>
    <border>
      <left style="hair"/>
      <right/>
      <top style="hair"/>
      <bottom style="hair"/>
    </border>
    <border>
      <left style="hair"/>
      <right style="medium"/>
      <top style="hair"/>
      <bottom style="hair"/>
    </border>
    <border>
      <left style="hair"/>
      <right style="medium"/>
      <top style="hair"/>
      <bottom style="medium"/>
    </border>
    <border>
      <left style="medium"/>
      <right/>
      <top style="hair"/>
      <bottom/>
    </border>
    <border>
      <left style="hair"/>
      <right style="hair"/>
      <top style="hair"/>
      <bottom/>
    </border>
    <border>
      <left/>
      <right style="medium"/>
      <top style="hair"/>
      <bottom/>
    </border>
    <border>
      <left style="thin"/>
      <right style="thin"/>
      <top style="thin"/>
      <bottom>
        <color indexed="63"/>
      </bottom>
    </border>
    <border>
      <left style="thin"/>
      <right style="thin"/>
      <top>
        <color indexed="63"/>
      </top>
      <bottom>
        <color indexed="63"/>
      </bottom>
    </border>
    <border>
      <left style="thin"/>
      <right style="thin"/>
      <top/>
      <bottom style="thin"/>
    </border>
    <border>
      <left style="medium">
        <color indexed="58"/>
      </left>
      <right style="thin">
        <color indexed="58"/>
      </right>
      <top>
        <color indexed="63"/>
      </top>
      <bottom>
        <color indexed="63"/>
      </bottom>
    </border>
    <border>
      <left style="medium">
        <color indexed="58"/>
      </left>
      <right style="thin">
        <color indexed="58"/>
      </right>
      <top style="medium">
        <color indexed="58"/>
      </top>
      <bottom>
        <color indexed="63"/>
      </bottom>
    </border>
    <border>
      <left style="medium">
        <color indexed="58"/>
      </left>
      <right style="thin">
        <color indexed="58"/>
      </right>
      <top>
        <color indexed="63"/>
      </top>
      <bottom style="medium">
        <color indexed="58"/>
      </bottom>
    </border>
    <border>
      <left>
        <color indexed="63"/>
      </left>
      <right style="thin"/>
      <top style="medium">
        <color indexed="58"/>
      </top>
      <bottom style="thin">
        <color indexed="58"/>
      </bottom>
    </border>
    <border>
      <left style="thin">
        <color indexed="58"/>
      </left>
      <right style="thin"/>
      <top style="thin">
        <color indexed="58"/>
      </top>
      <bottom style="medium">
        <color indexed="58"/>
      </bottom>
    </border>
    <border>
      <left style="thin">
        <color indexed="58"/>
      </left>
      <right style="thin">
        <color indexed="58"/>
      </right>
      <top style="thin">
        <color indexed="58"/>
      </top>
      <bottom style="thin"/>
    </border>
    <border>
      <left style="thin">
        <color indexed="58"/>
      </left>
      <right style="thin"/>
      <top style="thin">
        <color indexed="58"/>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border>
    <border>
      <left>
        <color indexed="63"/>
      </left>
      <right style="thin"/>
      <top style="medium"/>
      <bottom>
        <color indexed="63"/>
      </bottom>
    </border>
    <border>
      <left style="medium">
        <color indexed="58"/>
      </left>
      <right>
        <color indexed="63"/>
      </right>
      <top style="thin">
        <color indexed="58"/>
      </top>
      <bottom style="thin"/>
    </border>
    <border>
      <left>
        <color indexed="63"/>
      </left>
      <right>
        <color indexed="63"/>
      </right>
      <top style="thin">
        <color indexed="58"/>
      </top>
      <bottom style="thin"/>
    </border>
    <border>
      <left>
        <color indexed="63"/>
      </left>
      <right style="thin">
        <color indexed="58"/>
      </right>
      <top style="thin">
        <color indexed="58"/>
      </top>
      <bottom style="thin"/>
    </border>
    <border>
      <left style="thin">
        <color indexed="58"/>
      </left>
      <right>
        <color indexed="63"/>
      </right>
      <top style="thin">
        <color indexed="58"/>
      </top>
      <bottom style="thin"/>
    </border>
    <border>
      <left style="medium">
        <color indexed="58"/>
      </left>
      <right style="thick">
        <color indexed="58"/>
      </right>
      <top style="medium">
        <color indexed="58"/>
      </top>
      <bottom style="medium">
        <color indexed="58"/>
      </bottom>
    </border>
    <border>
      <left style="thick">
        <color indexed="58"/>
      </left>
      <right style="medium">
        <color indexed="58"/>
      </right>
      <top style="medium">
        <color indexed="58"/>
      </top>
      <bottom style="medium">
        <color indexed="58"/>
      </bottom>
    </border>
    <border>
      <left style="medium">
        <color indexed="58"/>
      </left>
      <right style="medium">
        <color indexed="58"/>
      </right>
      <top style="medium">
        <color indexed="58"/>
      </top>
      <bottom style="hair">
        <color indexed="58"/>
      </bottom>
    </border>
    <border>
      <left style="medium">
        <color indexed="58"/>
      </left>
      <right style="medium">
        <color indexed="58"/>
      </right>
      <top style="hair">
        <color indexed="58"/>
      </top>
      <bottom style="hair">
        <color indexed="58"/>
      </bottom>
    </border>
    <border>
      <left style="medium">
        <color indexed="58"/>
      </left>
      <right>
        <color indexed="63"/>
      </right>
      <top style="thin">
        <color indexed="58"/>
      </top>
      <bottom style="medium">
        <color indexed="58"/>
      </bottom>
    </border>
    <border>
      <left>
        <color indexed="63"/>
      </left>
      <right style="thin">
        <color indexed="58"/>
      </right>
      <top>
        <color indexed="63"/>
      </top>
      <bottom style="thin">
        <color indexed="58"/>
      </bottom>
    </border>
    <border>
      <left style="medium">
        <color indexed="58"/>
      </left>
      <right>
        <color indexed="63"/>
      </right>
      <top style="thin">
        <color indexed="58"/>
      </top>
      <bottom style="thin">
        <color indexed="58"/>
      </bottom>
    </border>
    <border>
      <left>
        <color indexed="63"/>
      </left>
      <right style="thin">
        <color indexed="9"/>
      </right>
      <top>
        <color indexed="63"/>
      </top>
      <bottom style="medium">
        <color indexed="58"/>
      </bottom>
    </border>
    <border>
      <left>
        <color indexed="63"/>
      </left>
      <right style="thin">
        <color indexed="58"/>
      </right>
      <top style="hair">
        <color indexed="58"/>
      </top>
      <bottom style="thin">
        <color indexed="58"/>
      </bottom>
    </border>
    <border>
      <left style="thin">
        <color indexed="58"/>
      </left>
      <right>
        <color indexed="63"/>
      </right>
      <top style="medium">
        <color indexed="58"/>
      </top>
      <bottom style="medium">
        <color indexed="58"/>
      </bottom>
    </border>
    <border>
      <left style="thin">
        <color indexed="58"/>
      </left>
      <right style="hair">
        <color indexed="58"/>
      </right>
      <top style="thin">
        <color indexed="58"/>
      </top>
      <bottom style="hair">
        <color indexed="58"/>
      </bottom>
    </border>
    <border>
      <left style="hair">
        <color indexed="58"/>
      </left>
      <right style="thin">
        <color indexed="58"/>
      </right>
      <top style="thin">
        <color indexed="58"/>
      </top>
      <bottom style="hair">
        <color indexed="58"/>
      </bottom>
    </border>
    <border>
      <left style="medium">
        <color indexed="58"/>
      </left>
      <right style="medium">
        <color indexed="58"/>
      </right>
      <top style="medium">
        <color indexed="58"/>
      </top>
      <bottom style="thin">
        <color indexed="9"/>
      </bottom>
    </border>
    <border>
      <left style="medium">
        <color indexed="58"/>
      </left>
      <right style="medium">
        <color indexed="58"/>
      </right>
      <top style="thin">
        <color indexed="9"/>
      </top>
      <bottom style="medium">
        <color indexed="58"/>
      </bottom>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right/>
      <top style="medium"/>
      <bottom/>
    </border>
    <border>
      <left/>
      <right style="medium"/>
      <top style="medium"/>
      <bottom/>
    </border>
    <border>
      <left style="medium">
        <color indexed="58"/>
      </left>
      <right>
        <color indexed="63"/>
      </right>
      <top style="thin"/>
      <bottom style="thin"/>
    </border>
    <border>
      <left>
        <color indexed="63"/>
      </left>
      <right>
        <color indexed="63"/>
      </right>
      <top style="thin"/>
      <bottom style="thin"/>
    </border>
  </borders>
  <cellStyleXfs count="5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34"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34"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4"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4"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4"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4"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34"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4"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34"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4"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4"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4"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35"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35" fillId="2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35" fillId="3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35" fillId="3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35" fillId="3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35" fillId="3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136" fillId="38"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39" borderId="1" applyNumberFormat="0" applyAlignment="0" applyProtection="0"/>
    <xf numFmtId="0" fontId="137" fillId="40" borderId="2"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138" fillId="41" borderId="3" applyNumberFormat="0" applyAlignment="0" applyProtection="0"/>
    <xf numFmtId="0" fontId="6" fillId="42" borderId="4" applyNumberFormat="0" applyAlignment="0" applyProtection="0"/>
    <xf numFmtId="0" fontId="6" fillId="42" borderId="4" applyNumberFormat="0" applyAlignment="0" applyProtection="0"/>
    <xf numFmtId="0" fontId="6" fillId="42" borderId="4" applyNumberFormat="0" applyAlignment="0" applyProtection="0"/>
    <xf numFmtId="0" fontId="6" fillId="42" borderId="4" applyNumberFormat="0" applyAlignment="0" applyProtection="0"/>
    <xf numFmtId="0" fontId="6" fillId="42" borderId="4" applyNumberFormat="0" applyAlignment="0" applyProtection="0"/>
    <xf numFmtId="0" fontId="6" fillId="42" borderId="4" applyNumberFormat="0" applyAlignment="0" applyProtection="0"/>
    <xf numFmtId="0" fontId="6" fillId="42" borderId="4" applyNumberFormat="0" applyAlignment="0" applyProtection="0"/>
    <xf numFmtId="0" fontId="139"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6" fillId="42" borderId="4" applyNumberFormat="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2" fontId="0" fillId="0" borderId="0" applyFill="0" applyBorder="0" applyAlignment="0" applyProtection="0"/>
    <xf numFmtId="0" fontId="14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35" fillId="4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35" fillId="4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35" fillId="4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35" fillId="46"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35" fillId="4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35" fillId="4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41" fillId="49" borderId="2"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183" fontId="0" fillId="0" borderId="0" applyFill="0" applyBorder="0" applyAlignment="0" applyProtection="0"/>
    <xf numFmtId="184"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3" fontId="0" fillId="0" borderId="0" applyFill="0" applyBorder="0" applyAlignment="0" applyProtection="0"/>
    <xf numFmtId="0" fontId="10" fillId="0" borderId="0" applyNumberFormat="0" applyFill="0" applyBorder="0" applyAlignment="0" applyProtection="0"/>
    <xf numFmtId="0" fontId="4" fillId="4" borderId="0" applyNumberFormat="0" applyBorder="0" applyAlignment="0" applyProtection="0"/>
    <xf numFmtId="0" fontId="11" fillId="0" borderId="7" applyNumberFormat="0" applyFill="0" applyAlignment="0" applyProtection="0"/>
    <xf numFmtId="0" fontId="12" fillId="0" borderId="8" applyNumberFormat="0" applyFill="0" applyAlignment="0" applyProtection="0"/>
    <xf numFmtId="0" fontId="8" fillId="0" borderId="9" applyNumberFormat="0" applyFill="0" applyAlignment="0" applyProtection="0"/>
    <xf numFmtId="0" fontId="8"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4" fillId="50"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9" fillId="7" borderId="1" applyNumberFormat="0" applyAlignment="0" applyProtection="0"/>
    <xf numFmtId="0" fontId="7" fillId="0" borderId="6" applyNumberFormat="0" applyFill="0" applyAlignment="0" applyProtection="0"/>
    <xf numFmtId="180" fontId="0" fillId="0" borderId="0" applyFill="0" applyBorder="0" applyAlignment="0" applyProtection="0"/>
    <xf numFmtId="177"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0"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185" fontId="0" fillId="0" borderId="0" applyFill="0" applyBorder="0" applyAlignment="0" applyProtection="0"/>
    <xf numFmtId="186" fontId="0" fillId="0" borderId="0" applyFill="0" applyBorder="0" applyAlignment="0" applyProtection="0"/>
    <xf numFmtId="0" fontId="145"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0" fillId="0" borderId="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lignment/>
      <protection/>
    </xf>
    <xf numFmtId="0" fontId="0" fillId="0" borderId="0">
      <alignment/>
      <protection/>
    </xf>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53" borderId="10" applyNumberFormat="0" applyFont="0" applyAlignment="0" applyProtection="0"/>
    <xf numFmtId="0" fontId="0" fillId="54" borderId="11" applyNumberFormat="0" applyAlignment="0" applyProtection="0"/>
    <xf numFmtId="0" fontId="0" fillId="54" borderId="11" applyNumberFormat="0" applyAlignment="0" applyProtection="0"/>
    <xf numFmtId="0" fontId="0" fillId="54" borderId="11" applyNumberFormat="0" applyAlignment="0" applyProtection="0"/>
    <xf numFmtId="0" fontId="0" fillId="54" borderId="11" applyNumberFormat="0" applyAlignment="0" applyProtection="0"/>
    <xf numFmtId="0" fontId="0" fillId="54" borderId="11" applyNumberFormat="0" applyAlignment="0" applyProtection="0"/>
    <xf numFmtId="0" fontId="0" fillId="54" borderId="11" applyNumberFormat="0" applyAlignment="0" applyProtection="0"/>
    <xf numFmtId="0" fontId="0" fillId="54" borderId="11" applyNumberFormat="0" applyAlignment="0" applyProtection="0"/>
    <xf numFmtId="0" fontId="0" fillId="54" borderId="11" applyNumberFormat="0" applyAlignment="0" applyProtection="0"/>
    <xf numFmtId="0" fontId="14" fillId="39" borderId="12" applyNumberFormat="0" applyAlignment="0" applyProtection="0"/>
    <xf numFmtId="9" fontId="0" fillId="0" borderId="0" applyFill="0" applyBorder="0" applyAlignment="0" applyProtection="0"/>
    <xf numFmtId="0" fontId="146" fillId="40" borderId="13" applyNumberFormat="0" applyAlignment="0" applyProtection="0"/>
    <xf numFmtId="0" fontId="14" fillId="39" borderId="12" applyNumberFormat="0" applyAlignment="0" applyProtection="0"/>
    <xf numFmtId="0" fontId="14" fillId="39" borderId="12" applyNumberFormat="0" applyAlignment="0" applyProtection="0"/>
    <xf numFmtId="0" fontId="14" fillId="39" borderId="12" applyNumberFormat="0" applyAlignment="0" applyProtection="0"/>
    <xf numFmtId="0" fontId="14" fillId="39" borderId="12" applyNumberFormat="0" applyAlignment="0" applyProtection="0"/>
    <xf numFmtId="0" fontId="14" fillId="39" borderId="12" applyNumberFormat="0" applyAlignment="0" applyProtection="0"/>
    <xf numFmtId="0" fontId="14" fillId="39" borderId="12" applyNumberFormat="0" applyAlignment="0" applyProtection="0"/>
    <xf numFmtId="0" fontId="14" fillId="39" borderId="12" applyNumberFormat="0" applyAlignment="0" applyProtection="0"/>
    <xf numFmtId="0" fontId="14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49" fillId="0" borderId="0" applyNumberFormat="0" applyFill="0" applyBorder="0" applyAlignment="0" applyProtection="0"/>
    <xf numFmtId="0" fontId="150" fillId="0" borderId="14"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6" fillId="0" borderId="0" applyNumberFormat="0" applyFill="0" applyBorder="0" applyAlignment="0" applyProtection="0"/>
    <xf numFmtId="0" fontId="151" fillId="0" borderId="15"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40" fillId="0" borderId="16"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2"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5" fillId="0" borderId="0" applyNumberFormat="0" applyFill="0" applyBorder="0" applyAlignment="0" applyProtection="0"/>
  </cellStyleXfs>
  <cellXfs count="2084">
    <xf numFmtId="0" fontId="0" fillId="0" borderId="0" xfId="0" applyAlignment="1">
      <alignment/>
    </xf>
    <xf numFmtId="0" fontId="18" fillId="55" borderId="0" xfId="0" applyFont="1" applyFill="1" applyAlignment="1" applyProtection="1">
      <alignment/>
      <protection/>
    </xf>
    <xf numFmtId="0" fontId="0" fillId="55" borderId="0" xfId="0" applyFill="1" applyAlignment="1" applyProtection="1">
      <alignment/>
      <protection/>
    </xf>
    <xf numFmtId="0" fontId="20" fillId="55" borderId="0" xfId="0" applyFont="1" applyFill="1" applyAlignment="1" applyProtection="1">
      <alignment horizontal="left" wrapText="1"/>
      <protection/>
    </xf>
    <xf numFmtId="0" fontId="20" fillId="55" borderId="0" xfId="0" applyFont="1" applyFill="1" applyBorder="1" applyAlignment="1" applyProtection="1">
      <alignment horizontal="center" vertical="center" wrapText="1"/>
      <protection/>
    </xf>
    <xf numFmtId="0" fontId="0" fillId="55" borderId="0" xfId="0" applyFill="1" applyBorder="1" applyAlignment="1" applyProtection="1">
      <alignment/>
      <protection/>
    </xf>
    <xf numFmtId="0" fontId="22" fillId="55" borderId="0" xfId="0" applyFont="1" applyFill="1" applyAlignment="1" applyProtection="1">
      <alignment wrapText="1"/>
      <protection/>
    </xf>
    <xf numFmtId="0" fontId="23" fillId="55" borderId="0" xfId="0" applyFont="1" applyFill="1" applyAlignment="1" applyProtection="1">
      <alignment wrapText="1"/>
      <protection/>
    </xf>
    <xf numFmtId="0" fontId="23" fillId="55" borderId="0" xfId="0" applyNumberFormat="1" applyFont="1" applyFill="1" applyAlignment="1" applyProtection="1">
      <alignment wrapText="1"/>
      <protection/>
    </xf>
    <xf numFmtId="0" fontId="23" fillId="55" borderId="0" xfId="0" applyNumberFormat="1" applyFont="1" applyFill="1" applyAlignment="1" applyProtection="1">
      <alignment vertical="top" wrapText="1"/>
      <protection/>
    </xf>
    <xf numFmtId="0" fontId="23" fillId="55" borderId="0" xfId="0" applyFont="1" applyFill="1" applyAlignment="1" applyProtection="1">
      <alignment vertical="center" wrapText="1"/>
      <protection/>
    </xf>
    <xf numFmtId="0" fontId="23" fillId="55" borderId="0" xfId="0" applyFont="1" applyFill="1" applyAlignment="1" applyProtection="1">
      <alignment vertical="top" wrapText="1"/>
      <protection/>
    </xf>
    <xf numFmtId="0" fontId="24" fillId="55" borderId="0" xfId="0" applyFont="1" applyFill="1" applyAlignment="1" applyProtection="1">
      <alignment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187" fontId="0" fillId="0" borderId="0" xfId="317" applyNumberFormat="1" applyFill="1" applyBorder="1" applyAlignment="1" applyProtection="1">
      <alignment vertical="center"/>
      <protection/>
    </xf>
    <xf numFmtId="0" fontId="0" fillId="55" borderId="0" xfId="0" applyFill="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vertical="center" wrapText="1"/>
      <protection/>
    </xf>
    <xf numFmtId="0" fontId="0" fillId="0" borderId="0" xfId="0" applyBorder="1" applyAlignment="1" applyProtection="1">
      <alignment vertical="center"/>
      <protection/>
    </xf>
    <xf numFmtId="0" fontId="21" fillId="0" borderId="0" xfId="0" applyFont="1" applyAlignment="1" applyProtection="1">
      <alignment/>
      <protection/>
    </xf>
    <xf numFmtId="0" fontId="0" fillId="0" borderId="0" xfId="0" applyFont="1" applyAlignment="1" applyProtection="1">
      <alignment vertical="center"/>
      <protection/>
    </xf>
    <xf numFmtId="0" fontId="27" fillId="0" borderId="19" xfId="0" applyFont="1" applyFill="1" applyBorder="1" applyAlignment="1" applyProtection="1">
      <alignment horizontal="left" vertical="center" indent="1"/>
      <protection locked="0"/>
    </xf>
    <xf numFmtId="0" fontId="28" fillId="0" borderId="0" xfId="0" applyFont="1" applyBorder="1" applyAlignment="1" applyProtection="1">
      <alignment horizontal="left" vertical="center" indent="1"/>
      <protection/>
    </xf>
    <xf numFmtId="0" fontId="28" fillId="0" borderId="0" xfId="0" applyFont="1" applyFill="1" applyAlignment="1" applyProtection="1">
      <alignment vertical="center"/>
      <protection/>
    </xf>
    <xf numFmtId="0" fontId="28" fillId="0" borderId="0" xfId="0" applyFont="1" applyAlignment="1" applyProtection="1">
      <alignment vertical="center"/>
      <protection/>
    </xf>
    <xf numFmtId="0" fontId="0" fillId="0" borderId="0" xfId="0" applyAlignment="1" applyProtection="1">
      <alignment horizontal="left" vertical="center"/>
      <protection/>
    </xf>
    <xf numFmtId="0" fontId="30" fillId="0" borderId="0" xfId="0" applyFont="1" applyBorder="1" applyAlignment="1" applyProtection="1">
      <alignment horizontal="left" vertical="center" indent="1"/>
      <protection/>
    </xf>
    <xf numFmtId="0" fontId="28" fillId="0" borderId="0" xfId="0" applyFont="1" applyFill="1" applyBorder="1" applyAlignment="1" applyProtection="1">
      <alignment horizontal="left" vertical="center" indent="1"/>
      <protection/>
    </xf>
    <xf numFmtId="0" fontId="29" fillId="0" borderId="0" xfId="0" applyFont="1" applyBorder="1" applyAlignment="1" applyProtection="1">
      <alignment/>
      <protection/>
    </xf>
    <xf numFmtId="0" fontId="27" fillId="0" borderId="0" xfId="0" applyFont="1" applyBorder="1" applyAlignment="1" applyProtection="1">
      <alignment vertical="center"/>
      <protection/>
    </xf>
    <xf numFmtId="0" fontId="27" fillId="0" borderId="0" xfId="0" applyFont="1" applyFill="1" applyBorder="1" applyAlignment="1" applyProtection="1">
      <alignment vertical="center"/>
      <protection/>
    </xf>
    <xf numFmtId="0" fontId="20" fillId="0" borderId="0" xfId="0" applyFont="1" applyBorder="1" applyAlignment="1" applyProtection="1">
      <alignment vertical="center"/>
      <protection/>
    </xf>
    <xf numFmtId="187" fontId="20" fillId="0" borderId="0" xfId="317" applyNumberFormat="1" applyFont="1" applyFill="1" applyBorder="1" applyAlignment="1" applyProtection="1">
      <alignment vertical="center"/>
      <protection/>
    </xf>
    <xf numFmtId="0" fontId="26" fillId="56" borderId="20" xfId="0" applyFont="1" applyFill="1" applyBorder="1" applyAlignment="1" applyProtection="1">
      <alignment horizontal="left" vertical="center"/>
      <protection/>
    </xf>
    <xf numFmtId="0" fontId="26" fillId="56" borderId="21" xfId="0" applyFont="1" applyFill="1" applyBorder="1" applyAlignment="1" applyProtection="1">
      <alignment horizontal="left" vertical="center"/>
      <protection/>
    </xf>
    <xf numFmtId="0" fontId="26" fillId="56" borderId="22" xfId="0" applyFont="1" applyFill="1" applyBorder="1" applyAlignment="1" applyProtection="1">
      <alignment vertical="center"/>
      <protection/>
    </xf>
    <xf numFmtId="0" fontId="27" fillId="55" borderId="23" xfId="0" applyFont="1" applyFill="1" applyBorder="1" applyAlignment="1" applyProtection="1">
      <alignment horizontal="left" vertical="center" indent="1"/>
      <protection locked="0"/>
    </xf>
    <xf numFmtId="0" fontId="26" fillId="56" borderId="24" xfId="0" applyFont="1" applyFill="1" applyBorder="1" applyAlignment="1" applyProtection="1">
      <alignment horizontal="left" vertical="center"/>
      <protection/>
    </xf>
    <xf numFmtId="0" fontId="26" fillId="56" borderId="25" xfId="0" applyFont="1" applyFill="1" applyBorder="1" applyAlignment="1" applyProtection="1">
      <alignment vertical="center"/>
      <protection/>
    </xf>
    <xf numFmtId="0" fontId="26" fillId="56" borderId="0" xfId="0" applyFont="1" applyFill="1" applyBorder="1" applyAlignment="1" applyProtection="1">
      <alignment vertical="center"/>
      <protection/>
    </xf>
    <xf numFmtId="0" fontId="26" fillId="56" borderId="26" xfId="0" applyFont="1" applyFill="1" applyBorder="1" applyAlignment="1" applyProtection="1">
      <alignment vertical="center"/>
      <protection/>
    </xf>
    <xf numFmtId="0" fontId="26" fillId="56" borderId="27" xfId="0" applyFont="1" applyFill="1" applyBorder="1" applyAlignment="1" applyProtection="1">
      <alignment horizontal="left" vertical="center"/>
      <protection/>
    </xf>
    <xf numFmtId="0" fontId="26" fillId="56" borderId="28" xfId="0" applyFont="1" applyFill="1" applyBorder="1" applyAlignment="1" applyProtection="1">
      <alignment vertical="center"/>
      <protection/>
    </xf>
    <xf numFmtId="0" fontId="26" fillId="56" borderId="29" xfId="0" applyFont="1" applyFill="1" applyBorder="1" applyAlignment="1" applyProtection="1">
      <alignment vertical="center"/>
      <protection/>
    </xf>
    <xf numFmtId="0" fontId="26" fillId="56" borderId="3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31" fillId="0" borderId="0" xfId="0" applyFont="1" applyBorder="1" applyAlignment="1" applyProtection="1">
      <alignment vertical="center"/>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55" borderId="0" xfId="0" applyFill="1" applyBorder="1" applyAlignment="1" applyProtection="1">
      <alignment vertical="center"/>
      <protection/>
    </xf>
    <xf numFmtId="0" fontId="33" fillId="42" borderId="31" xfId="0" applyFont="1" applyFill="1" applyBorder="1" applyAlignment="1" applyProtection="1">
      <alignment vertical="center"/>
      <protection/>
    </xf>
    <xf numFmtId="0" fontId="34" fillId="42" borderId="32" xfId="0" applyFont="1" applyFill="1" applyBorder="1" applyAlignment="1" applyProtection="1">
      <alignment vertical="center"/>
      <protection/>
    </xf>
    <xf numFmtId="0" fontId="0" fillId="55" borderId="0" xfId="0" applyFont="1" applyFill="1" applyBorder="1" applyAlignment="1" applyProtection="1">
      <alignment vertical="center"/>
      <protection/>
    </xf>
    <xf numFmtId="0" fontId="0" fillId="55" borderId="0" xfId="0" applyFont="1" applyFill="1" applyAlignment="1" applyProtection="1">
      <alignment vertical="center"/>
      <protection/>
    </xf>
    <xf numFmtId="0" fontId="29" fillId="4" borderId="33" xfId="0" applyFont="1" applyFill="1" applyBorder="1" applyAlignment="1" applyProtection="1">
      <alignment horizontal="center" vertical="center"/>
      <protection/>
    </xf>
    <xf numFmtId="0" fontId="28" fillId="0" borderId="34" xfId="0" applyFont="1" applyFill="1" applyBorder="1" applyAlignment="1" applyProtection="1">
      <alignment horizontal="center" vertical="center" wrapText="1"/>
      <protection locked="0"/>
    </xf>
    <xf numFmtId="0" fontId="28" fillId="0" borderId="35" xfId="0" applyFont="1" applyFill="1" applyBorder="1" applyAlignment="1" applyProtection="1">
      <alignment horizontal="left" vertical="center" wrapText="1" indent="1"/>
      <protection locked="0"/>
    </xf>
    <xf numFmtId="0" fontId="28" fillId="0" borderId="27" xfId="0" applyFont="1" applyFill="1" applyBorder="1" applyAlignment="1" applyProtection="1">
      <alignment horizontal="center" vertical="center" wrapText="1"/>
      <protection locked="0"/>
    </xf>
    <xf numFmtId="0" fontId="28" fillId="0" borderId="35" xfId="0" applyFont="1" applyFill="1" applyBorder="1" applyAlignment="1" applyProtection="1">
      <alignment horizontal="center" vertical="center" wrapText="1"/>
      <protection locked="0"/>
    </xf>
    <xf numFmtId="9" fontId="28" fillId="0" borderId="35" xfId="434" applyFont="1" applyFill="1" applyBorder="1" applyAlignment="1" applyProtection="1">
      <alignment horizontal="center" vertical="center" wrapText="1"/>
      <protection locked="0"/>
    </xf>
    <xf numFmtId="49" fontId="28" fillId="0" borderId="35" xfId="0" applyNumberFormat="1" applyFont="1" applyFill="1" applyBorder="1" applyAlignment="1" applyProtection="1">
      <alignment horizontal="center" vertical="center" wrapText="1"/>
      <protection locked="0"/>
    </xf>
    <xf numFmtId="181" fontId="28" fillId="0" borderId="27" xfId="0" applyNumberFormat="1" applyFont="1" applyFill="1" applyBorder="1" applyAlignment="1" applyProtection="1">
      <alignment horizontal="center" vertical="center"/>
      <protection locked="0"/>
    </xf>
    <xf numFmtId="9" fontId="28" fillId="0" borderId="35" xfId="434" applyFont="1" applyFill="1" applyBorder="1" applyAlignment="1" applyProtection="1">
      <alignment horizontal="center" vertical="center"/>
      <protection locked="0"/>
    </xf>
    <xf numFmtId="181" fontId="28" fillId="0" borderId="35" xfId="0" applyNumberFormat="1" applyFont="1" applyFill="1" applyBorder="1" applyAlignment="1" applyProtection="1">
      <alignment horizontal="center" vertical="center" wrapText="1"/>
      <protection locked="0"/>
    </xf>
    <xf numFmtId="0" fontId="28" fillId="0" borderId="35" xfId="0" applyNumberFormat="1" applyFont="1" applyFill="1" applyBorder="1" applyAlignment="1" applyProtection="1">
      <alignment horizontal="center" vertical="center" wrapText="1"/>
      <protection locked="0"/>
    </xf>
    <xf numFmtId="1" fontId="28" fillId="0" borderId="27" xfId="0" applyNumberFormat="1" applyFont="1" applyFill="1" applyBorder="1" applyAlignment="1" applyProtection="1">
      <alignment horizontal="center" vertical="center"/>
      <protection locked="0"/>
    </xf>
    <xf numFmtId="189" fontId="28" fillId="0" borderId="35" xfId="434" applyNumberFormat="1" applyFont="1" applyFill="1" applyBorder="1" applyAlignment="1" applyProtection="1">
      <alignment horizontal="center" vertical="center"/>
      <protection locked="0"/>
    </xf>
    <xf numFmtId="1" fontId="28" fillId="0" borderId="35" xfId="0" applyNumberFormat="1" applyFont="1" applyFill="1" applyBorder="1" applyAlignment="1" applyProtection="1">
      <alignment horizontal="center" vertical="center" wrapText="1"/>
      <protection locked="0"/>
    </xf>
    <xf numFmtId="9" fontId="28" fillId="0" borderId="35" xfId="0" applyNumberFormat="1" applyFont="1" applyFill="1" applyBorder="1" applyAlignment="1" applyProtection="1">
      <alignment horizontal="center" vertical="center" wrapText="1"/>
      <protection locked="0"/>
    </xf>
    <xf numFmtId="181" fontId="28" fillId="0" borderId="26" xfId="0" applyNumberFormat="1" applyFont="1" applyFill="1" applyBorder="1" applyAlignment="1" applyProtection="1">
      <alignment horizontal="center" vertical="center"/>
      <protection locked="0"/>
    </xf>
    <xf numFmtId="49" fontId="28" fillId="0" borderId="27" xfId="0" applyNumberFormat="1" applyFont="1" applyFill="1" applyBorder="1" applyAlignment="1" applyProtection="1">
      <alignment horizontal="center" vertical="center"/>
      <protection locked="0"/>
    </xf>
    <xf numFmtId="0" fontId="21" fillId="0" borderId="0" xfId="0" applyFont="1" applyBorder="1" applyAlignment="1" applyProtection="1">
      <alignment/>
      <protection/>
    </xf>
    <xf numFmtId="0" fontId="27" fillId="0" borderId="0" xfId="0" applyFont="1" applyAlignment="1" applyProtection="1">
      <alignment vertical="center"/>
      <protection/>
    </xf>
    <xf numFmtId="0" fontId="27" fillId="0" borderId="0" xfId="0" applyFont="1" applyFill="1" applyAlignment="1" applyProtection="1">
      <alignment vertical="center"/>
      <protection/>
    </xf>
    <xf numFmtId="0" fontId="28" fillId="55" borderId="0" xfId="0" applyFont="1" applyFill="1" applyAlignment="1" applyProtection="1">
      <alignment vertical="center"/>
      <protection/>
    </xf>
    <xf numFmtId="0" fontId="26" fillId="56" borderId="25" xfId="0" applyFont="1" applyFill="1" applyBorder="1" applyAlignment="1" applyProtection="1">
      <alignment horizontal="left" vertical="center"/>
      <protection/>
    </xf>
    <xf numFmtId="0" fontId="26" fillId="56" borderId="0" xfId="0" applyFont="1" applyFill="1" applyBorder="1" applyAlignment="1" applyProtection="1">
      <alignment horizontal="left" vertical="center"/>
      <protection/>
    </xf>
    <xf numFmtId="0" fontId="28" fillId="0" borderId="0" xfId="0" applyFont="1" applyFill="1" applyBorder="1" applyAlignment="1" applyProtection="1">
      <alignment vertical="center"/>
      <protection/>
    </xf>
    <xf numFmtId="0" fontId="26" fillId="55" borderId="0" xfId="0" applyFont="1" applyFill="1" applyBorder="1" applyAlignment="1" applyProtection="1">
      <alignment vertical="center"/>
      <protection/>
    </xf>
    <xf numFmtId="0" fontId="27" fillId="55" borderId="0" xfId="0" applyFont="1" applyFill="1" applyBorder="1" applyAlignment="1" applyProtection="1">
      <alignment horizontal="left" vertical="center" indent="1"/>
      <protection/>
    </xf>
    <xf numFmtId="0" fontId="27" fillId="55" borderId="0" xfId="0" applyFont="1" applyFill="1" applyAlignment="1" applyProtection="1">
      <alignment vertical="center"/>
      <protection/>
    </xf>
    <xf numFmtId="0" fontId="39" fillId="0" borderId="0"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0" fontId="27"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27" fillId="0" borderId="0" xfId="0" applyFont="1" applyFill="1" applyAlignment="1" applyProtection="1">
      <alignment horizontal="center" vertical="center"/>
      <protection/>
    </xf>
    <xf numFmtId="0" fontId="27" fillId="0" borderId="0" xfId="0" applyFont="1" applyFill="1" applyAlignment="1" applyProtection="1">
      <alignment horizontal="left" vertical="center" indent="1"/>
      <protection/>
    </xf>
    <xf numFmtId="0" fontId="27" fillId="0" borderId="0" xfId="0" applyNumberFormat="1" applyFont="1" applyFill="1" applyAlignment="1" applyProtection="1">
      <alignment horizontal="center" vertical="center"/>
      <protection/>
    </xf>
    <xf numFmtId="191" fontId="27" fillId="0" borderId="0" xfId="0" applyNumberFormat="1" applyFont="1" applyFill="1" applyAlignment="1" applyProtection="1">
      <alignment horizontal="center" vertical="center"/>
      <protection/>
    </xf>
    <xf numFmtId="0" fontId="42" fillId="56" borderId="25" xfId="0" applyFont="1" applyFill="1" applyBorder="1" applyAlignment="1" applyProtection="1">
      <alignment horizontal="left" vertical="center"/>
      <protection/>
    </xf>
    <xf numFmtId="0" fontId="42" fillId="56" borderId="0" xfId="0" applyFont="1" applyFill="1" applyBorder="1" applyAlignment="1" applyProtection="1">
      <alignment horizontal="left" vertical="center"/>
      <protection/>
    </xf>
    <xf numFmtId="0" fontId="42" fillId="56" borderId="22" xfId="0" applyFont="1" applyFill="1" applyBorder="1" applyAlignment="1" applyProtection="1">
      <alignment vertical="center"/>
      <protection/>
    </xf>
    <xf numFmtId="0" fontId="42" fillId="56" borderId="27" xfId="0" applyFont="1" applyFill="1" applyBorder="1" applyAlignment="1" applyProtection="1">
      <alignment horizontal="left" vertical="center"/>
      <protection/>
    </xf>
    <xf numFmtId="0" fontId="42" fillId="56" borderId="25" xfId="0" applyFont="1" applyFill="1" applyBorder="1" applyAlignment="1" applyProtection="1">
      <alignment vertical="center"/>
      <protection/>
    </xf>
    <xf numFmtId="0" fontId="42" fillId="56" borderId="0" xfId="0" applyFont="1" applyFill="1" applyBorder="1" applyAlignment="1" applyProtection="1">
      <alignment vertical="center"/>
      <protection/>
    </xf>
    <xf numFmtId="0" fontId="42" fillId="56" borderId="26" xfId="0" applyFont="1" applyFill="1" applyBorder="1" applyAlignment="1" applyProtection="1">
      <alignment vertical="center"/>
      <protection/>
    </xf>
    <xf numFmtId="0" fontId="42" fillId="56" borderId="28" xfId="0" applyFont="1" applyFill="1" applyBorder="1" applyAlignment="1" applyProtection="1">
      <alignment vertical="center"/>
      <protection/>
    </xf>
    <xf numFmtId="0" fontId="42" fillId="56" borderId="30" xfId="0" applyFont="1" applyFill="1" applyBorder="1" applyAlignment="1" applyProtection="1">
      <alignment vertical="center"/>
      <protection/>
    </xf>
    <xf numFmtId="0" fontId="42" fillId="56" borderId="29" xfId="0" applyFont="1" applyFill="1" applyBorder="1" applyAlignment="1" applyProtection="1">
      <alignment vertical="center"/>
      <protection/>
    </xf>
    <xf numFmtId="0" fontId="0" fillId="0" borderId="21" xfId="0" applyBorder="1" applyAlignment="1" applyProtection="1">
      <alignment/>
      <protection/>
    </xf>
    <xf numFmtId="0" fontId="0" fillId="0" borderId="0" xfId="0" applyAlignment="1" applyProtection="1">
      <alignment/>
      <protection/>
    </xf>
    <xf numFmtId="0" fontId="19" fillId="0" borderId="0" xfId="0" applyFont="1" applyFill="1" applyBorder="1" applyAlignment="1" applyProtection="1">
      <alignment horizontal="left" vertical="center"/>
      <protection/>
    </xf>
    <xf numFmtId="0" fontId="19" fillId="55" borderId="0" xfId="0" applyFont="1" applyFill="1" applyBorder="1" applyAlignment="1" applyProtection="1">
      <alignment horizontal="left" vertical="center"/>
      <protection/>
    </xf>
    <xf numFmtId="0" fontId="43" fillId="56" borderId="25" xfId="0" applyFont="1" applyFill="1" applyBorder="1" applyAlignment="1" applyProtection="1">
      <alignment horizontal="left" vertical="center"/>
      <protection/>
    </xf>
    <xf numFmtId="0" fontId="43" fillId="56" borderId="0" xfId="0" applyFont="1" applyFill="1" applyBorder="1" applyAlignment="1" applyProtection="1">
      <alignment horizontal="left" vertical="center"/>
      <protection/>
    </xf>
    <xf numFmtId="0" fontId="0" fillId="55" borderId="0" xfId="0" applyFill="1" applyAlignment="1" applyProtection="1">
      <alignment/>
      <protection/>
    </xf>
    <xf numFmtId="0" fontId="0" fillId="55" borderId="0" xfId="0" applyFont="1" applyFill="1" applyAlignment="1" applyProtection="1">
      <alignment/>
      <protection/>
    </xf>
    <xf numFmtId="0" fontId="30" fillId="4" borderId="19" xfId="0" applyFont="1" applyFill="1" applyBorder="1" applyAlignment="1" applyProtection="1">
      <alignment horizontal="center" vertical="center" wrapText="1"/>
      <protection/>
    </xf>
    <xf numFmtId="0" fontId="20" fillId="0" borderId="27" xfId="0" applyFont="1" applyFill="1" applyBorder="1" applyAlignment="1" applyProtection="1">
      <alignment horizontal="center" vertical="center" wrapText="1"/>
      <protection locked="0"/>
    </xf>
    <xf numFmtId="0" fontId="28" fillId="0" borderId="36" xfId="0" applyFont="1" applyFill="1" applyBorder="1" applyAlignment="1" applyProtection="1">
      <alignment horizontal="left" vertical="center" wrapText="1"/>
      <protection locked="0"/>
    </xf>
    <xf numFmtId="0" fontId="28" fillId="0" borderId="37"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xf>
    <xf numFmtId="0" fontId="28" fillId="55" borderId="0" xfId="0" applyFont="1" applyFill="1" applyBorder="1" applyAlignment="1" applyProtection="1">
      <alignment horizontal="left" vertical="center" wrapText="1"/>
      <protection/>
    </xf>
    <xf numFmtId="0" fontId="43" fillId="55" borderId="25" xfId="0" applyFont="1" applyFill="1" applyBorder="1" applyAlignment="1" applyProtection="1">
      <alignment horizontal="left"/>
      <protection/>
    </xf>
    <xf numFmtId="0" fontId="43" fillId="55" borderId="0" xfId="0" applyFont="1" applyFill="1" applyBorder="1" applyAlignment="1" applyProtection="1">
      <alignment horizontal="left"/>
      <protection/>
    </xf>
    <xf numFmtId="0" fontId="0" fillId="55" borderId="0" xfId="0" applyFont="1" applyFill="1" applyAlignment="1" applyProtection="1">
      <alignment/>
      <protection/>
    </xf>
    <xf numFmtId="0" fontId="30" fillId="4" borderId="24" xfId="0" applyFont="1" applyFill="1" applyBorder="1" applyAlignment="1" applyProtection="1">
      <alignment horizontal="center" vertical="center" wrapText="1"/>
      <protection/>
    </xf>
    <xf numFmtId="0" fontId="0" fillId="0" borderId="0" xfId="0" applyFill="1" applyAlignment="1" applyProtection="1">
      <alignment/>
      <protection/>
    </xf>
    <xf numFmtId="187" fontId="0" fillId="55" borderId="0" xfId="317" applyNumberFormat="1" applyFont="1" applyFill="1" applyBorder="1" applyAlignment="1" applyProtection="1">
      <alignment/>
      <protection/>
    </xf>
    <xf numFmtId="0" fontId="50" fillId="0" borderId="0" xfId="0" applyFont="1" applyBorder="1" applyAlignment="1" applyProtection="1">
      <alignment/>
      <protection/>
    </xf>
    <xf numFmtId="0" fontId="0" fillId="0" borderId="0" xfId="0" applyBorder="1" applyAlignment="1" applyProtection="1">
      <alignment/>
      <protection/>
    </xf>
    <xf numFmtId="0" fontId="28" fillId="39" borderId="35" xfId="0" applyFont="1" applyFill="1" applyBorder="1" applyAlignment="1" applyProtection="1">
      <alignment horizontal="left" vertical="center" indent="1"/>
      <protection/>
    </xf>
    <xf numFmtId="0" fontId="28" fillId="39" borderId="36" xfId="0" applyFont="1" applyFill="1" applyBorder="1" applyAlignment="1" applyProtection="1">
      <alignment horizontal="left" vertical="center" indent="1"/>
      <protection/>
    </xf>
    <xf numFmtId="194" fontId="28" fillId="39" borderId="38" xfId="0" applyNumberFormat="1" applyFont="1" applyFill="1" applyBorder="1" applyAlignment="1" applyProtection="1">
      <alignment horizontal="left" vertical="center" indent="1"/>
      <protection/>
    </xf>
    <xf numFmtId="194" fontId="28" fillId="39" borderId="39" xfId="0" applyNumberFormat="1" applyFont="1" applyFill="1" applyBorder="1" applyAlignment="1" applyProtection="1">
      <alignment horizontal="left" vertical="center" indent="1"/>
      <protection/>
    </xf>
    <xf numFmtId="0" fontId="42" fillId="56" borderId="40" xfId="0" applyFont="1" applyFill="1" applyBorder="1" applyAlignment="1" applyProtection="1">
      <alignment vertical="center"/>
      <protection/>
    </xf>
    <xf numFmtId="0" fontId="0" fillId="0" borderId="0" xfId="0" applyFont="1" applyFill="1" applyAlignment="1" applyProtection="1">
      <alignment vertical="center"/>
      <protection/>
    </xf>
    <xf numFmtId="0" fontId="51" fillId="0" borderId="30" xfId="0" applyFont="1" applyFill="1" applyBorder="1" applyAlignment="1" applyProtection="1">
      <alignment horizontal="left" vertical="center"/>
      <protection/>
    </xf>
    <xf numFmtId="0" fontId="31" fillId="0" borderId="30" xfId="0" applyFont="1" applyFill="1" applyBorder="1" applyAlignment="1" applyProtection="1">
      <alignment horizontal="left" vertical="center"/>
      <protection/>
    </xf>
    <xf numFmtId="0" fontId="30" fillId="4" borderId="24" xfId="0" applyFont="1" applyFill="1" applyBorder="1" applyAlignment="1" applyProtection="1">
      <alignment horizontal="center" vertical="center"/>
      <protection/>
    </xf>
    <xf numFmtId="0" fontId="30" fillId="4" borderId="19" xfId="0" applyFont="1" applyFill="1" applyBorder="1" applyAlignment="1" applyProtection="1">
      <alignment horizontal="center" vertical="center"/>
      <protection/>
    </xf>
    <xf numFmtId="195" fontId="31" fillId="39" borderId="27" xfId="0" applyNumberFormat="1" applyFont="1" applyFill="1" applyBorder="1" applyAlignment="1" applyProtection="1">
      <alignment horizontal="center" vertical="center"/>
      <protection/>
    </xf>
    <xf numFmtId="195" fontId="49" fillId="39" borderId="27" xfId="0" applyNumberFormat="1" applyFont="1" applyFill="1" applyBorder="1" applyAlignment="1" applyProtection="1">
      <alignment horizontal="center" vertical="center"/>
      <protection/>
    </xf>
    <xf numFmtId="0" fontId="52" fillId="57" borderId="36" xfId="0" applyFont="1" applyFill="1" applyBorder="1" applyAlignment="1" applyProtection="1">
      <alignment horizontal="left" vertical="center"/>
      <protection/>
    </xf>
    <xf numFmtId="196" fontId="35" fillId="0" borderId="27" xfId="0" applyNumberFormat="1" applyFont="1" applyFill="1" applyBorder="1" applyAlignment="1" applyProtection="1">
      <alignment horizontal="center" vertical="center"/>
      <protection locked="0"/>
    </xf>
    <xf numFmtId="196" fontId="35" fillId="39" borderId="27" xfId="0" applyNumberFormat="1" applyFont="1" applyFill="1" applyBorder="1" applyAlignment="1" applyProtection="1">
      <alignment horizontal="center" vertical="center"/>
      <protection/>
    </xf>
    <xf numFmtId="191" fontId="28" fillId="0" borderId="27" xfId="0" applyNumberFormat="1" applyFont="1" applyFill="1" applyBorder="1" applyAlignment="1" applyProtection="1">
      <alignment horizontal="center" vertical="center"/>
      <protection locked="0"/>
    </xf>
    <xf numFmtId="191" fontId="35" fillId="39" borderId="27" xfId="0" applyNumberFormat="1" applyFont="1" applyFill="1" applyBorder="1" applyAlignment="1" applyProtection="1">
      <alignment horizontal="center" vertical="center"/>
      <protection/>
    </xf>
    <xf numFmtId="0" fontId="35" fillId="0" borderId="36" xfId="0" applyFont="1" applyFill="1" applyBorder="1" applyAlignment="1" applyProtection="1">
      <alignment horizontal="left" vertical="center" wrapText="1"/>
      <protection locked="0"/>
    </xf>
    <xf numFmtId="0" fontId="28" fillId="0" borderId="30" xfId="0" applyFont="1" applyFill="1" applyBorder="1" applyAlignment="1" applyProtection="1">
      <alignment horizontal="left" vertical="center"/>
      <protection/>
    </xf>
    <xf numFmtId="195" fontId="28" fillId="0" borderId="30" xfId="0" applyNumberFormat="1" applyFont="1" applyFill="1" applyBorder="1" applyAlignment="1" applyProtection="1">
      <alignment horizontal="right" vertical="center"/>
      <protection/>
    </xf>
    <xf numFmtId="197" fontId="28" fillId="0" borderId="30" xfId="0" applyNumberFormat="1" applyFont="1" applyFill="1" applyBorder="1" applyAlignment="1" applyProtection="1">
      <alignment horizontal="right" vertical="center"/>
      <protection/>
    </xf>
    <xf numFmtId="0" fontId="28" fillId="0" borderId="30" xfId="0" applyFont="1" applyFill="1" applyBorder="1" applyAlignment="1" applyProtection="1">
      <alignment horizontal="left" vertical="center" indent="1"/>
      <protection/>
    </xf>
    <xf numFmtId="0" fontId="0" fillId="0" borderId="0" xfId="0" applyFont="1" applyFill="1" applyBorder="1" applyAlignment="1" applyProtection="1">
      <alignment/>
      <protection/>
    </xf>
    <xf numFmtId="0" fontId="0" fillId="55" borderId="0" xfId="0" applyFont="1" applyFill="1" applyBorder="1" applyAlignment="1" applyProtection="1">
      <alignment/>
      <protection/>
    </xf>
    <xf numFmtId="198" fontId="49" fillId="39" borderId="27" xfId="0" applyNumberFormat="1" applyFont="1" applyFill="1" applyBorder="1" applyAlignment="1" applyProtection="1">
      <alignment horizontal="center" vertical="center"/>
      <protection/>
    </xf>
    <xf numFmtId="197" fontId="30" fillId="57" borderId="36" xfId="0" applyNumberFormat="1" applyFont="1" applyFill="1" applyBorder="1" applyAlignment="1" applyProtection="1">
      <alignment horizontal="left" vertical="top" wrapText="1"/>
      <protection/>
    </xf>
    <xf numFmtId="199" fontId="49" fillId="0" borderId="27" xfId="0" applyNumberFormat="1" applyFont="1" applyFill="1" applyBorder="1" applyAlignment="1" applyProtection="1">
      <alignment horizontal="center" vertical="center"/>
      <protection locked="0"/>
    </xf>
    <xf numFmtId="199" fontId="49" fillId="39" borderId="35" xfId="0" applyNumberFormat="1" applyFont="1" applyFill="1" applyBorder="1" applyAlignment="1" applyProtection="1">
      <alignment horizontal="center" vertical="center"/>
      <protection/>
    </xf>
    <xf numFmtId="196" fontId="49" fillId="39" borderId="27" xfId="0" applyNumberFormat="1" applyFont="1" applyFill="1" applyBorder="1" applyAlignment="1" applyProtection="1">
      <alignment horizontal="center" vertical="center"/>
      <protection/>
    </xf>
    <xf numFmtId="197" fontId="49" fillId="0" borderId="36" xfId="0" applyNumberFormat="1" applyFont="1" applyFill="1" applyBorder="1" applyAlignment="1" applyProtection="1">
      <alignment horizontal="left" vertical="center" wrapText="1"/>
      <protection locked="0"/>
    </xf>
    <xf numFmtId="200" fontId="49" fillId="0" borderId="27" xfId="0" applyNumberFormat="1" applyFont="1" applyFill="1" applyBorder="1" applyAlignment="1" applyProtection="1">
      <alignment horizontal="center" vertical="center"/>
      <protection locked="0"/>
    </xf>
    <xf numFmtId="181" fontId="49" fillId="39" borderId="35" xfId="0" applyNumberFormat="1" applyFont="1" applyFill="1" applyBorder="1" applyAlignment="1" applyProtection="1">
      <alignment horizontal="center" vertical="center"/>
      <protection/>
    </xf>
    <xf numFmtId="191" fontId="49" fillId="39" borderId="33" xfId="0" applyNumberFormat="1" applyFont="1" applyFill="1" applyBorder="1" applyAlignment="1" applyProtection="1">
      <alignment horizontal="center" vertical="center"/>
      <protection/>
    </xf>
    <xf numFmtId="197" fontId="49" fillId="0" borderId="37" xfId="0" applyNumberFormat="1"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protection/>
    </xf>
    <xf numFmtId="197" fontId="28" fillId="0" borderId="0" xfId="0" applyNumberFormat="1" applyFont="1" applyFill="1" applyBorder="1" applyAlignment="1" applyProtection="1">
      <alignment horizontal="right" vertical="center"/>
      <protection/>
    </xf>
    <xf numFmtId="197" fontId="3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55" borderId="0" xfId="0" applyFill="1" applyAlignment="1">
      <alignment/>
    </xf>
    <xf numFmtId="0" fontId="47" fillId="55" borderId="0" xfId="0" applyFont="1" applyFill="1" applyBorder="1" applyAlignment="1" applyProtection="1">
      <alignment/>
      <protection/>
    </xf>
    <xf numFmtId="191" fontId="47" fillId="55" borderId="0" xfId="0" applyNumberFormat="1" applyFont="1" applyFill="1" applyAlignment="1" applyProtection="1">
      <alignment wrapText="1"/>
      <protection/>
    </xf>
    <xf numFmtId="0" fontId="0" fillId="55" borderId="0" xfId="0" applyFill="1" applyAlignment="1" applyProtection="1">
      <alignment/>
      <protection locked="0"/>
    </xf>
    <xf numFmtId="0" fontId="53" fillId="55" borderId="0" xfId="0" applyFont="1" applyFill="1" applyAlignment="1" applyProtection="1">
      <alignment horizontal="left"/>
      <protection/>
    </xf>
    <xf numFmtId="0" fontId="0" fillId="55" borderId="0" xfId="0" applyFill="1" applyAlignment="1" applyProtection="1">
      <alignment horizontal="center"/>
      <protection/>
    </xf>
    <xf numFmtId="191" fontId="0" fillId="55" borderId="0" xfId="0" applyNumberFormat="1" applyFill="1" applyAlignment="1" applyProtection="1">
      <alignment horizontal="center"/>
      <protection/>
    </xf>
    <xf numFmtId="0" fontId="47" fillId="55" borderId="0" xfId="0" applyFont="1" applyFill="1" applyAlignment="1" applyProtection="1">
      <alignment/>
      <protection/>
    </xf>
    <xf numFmtId="191" fontId="53" fillId="55" borderId="0" xfId="0" applyNumberFormat="1" applyFont="1" applyFill="1" applyAlignment="1" applyProtection="1">
      <alignment horizontal="left"/>
      <protection/>
    </xf>
    <xf numFmtId="0" fontId="47" fillId="0" borderId="27" xfId="0" applyFont="1" applyFill="1" applyBorder="1" applyAlignment="1" applyProtection="1">
      <alignment horizontal="center"/>
      <protection/>
    </xf>
    <xf numFmtId="0" fontId="47" fillId="55" borderId="0" xfId="0" applyFont="1" applyFill="1" applyBorder="1" applyAlignment="1" applyProtection="1">
      <alignment/>
      <protection/>
    </xf>
    <xf numFmtId="0" fontId="47" fillId="6" borderId="35" xfId="0" applyFont="1" applyFill="1" applyBorder="1" applyAlignment="1" applyProtection="1">
      <alignment/>
      <protection/>
    </xf>
    <xf numFmtId="194" fontId="47" fillId="0" borderId="27" xfId="0" applyNumberFormat="1" applyFont="1" applyFill="1" applyBorder="1" applyAlignment="1" applyProtection="1">
      <alignment horizontal="center"/>
      <protection locked="0"/>
    </xf>
    <xf numFmtId="194" fontId="47" fillId="55" borderId="0" xfId="0" applyNumberFormat="1" applyFont="1" applyFill="1" applyBorder="1" applyAlignment="1" applyProtection="1">
      <alignment horizontal="center"/>
      <protection/>
    </xf>
    <xf numFmtId="191" fontId="47" fillId="55" borderId="0" xfId="0" applyNumberFormat="1" applyFont="1" applyFill="1" applyBorder="1" applyAlignment="1" applyProtection="1">
      <alignment horizontal="center" wrapText="1"/>
      <protection/>
    </xf>
    <xf numFmtId="191" fontId="47" fillId="55" borderId="30" xfId="0" applyNumberFormat="1" applyFont="1" applyFill="1" applyBorder="1" applyAlignment="1" applyProtection="1">
      <alignment horizontal="center" wrapText="1"/>
      <protection/>
    </xf>
    <xf numFmtId="0" fontId="55" fillId="39" borderId="41" xfId="0" applyFont="1" applyFill="1" applyBorder="1" applyAlignment="1" applyProtection="1">
      <alignment horizontal="left"/>
      <protection/>
    </xf>
    <xf numFmtId="0" fontId="0" fillId="39" borderId="42" xfId="0" applyFill="1" applyBorder="1" applyAlignment="1" applyProtection="1">
      <alignment horizontal="center"/>
      <protection/>
    </xf>
    <xf numFmtId="0" fontId="53" fillId="39" borderId="42" xfId="0" applyFont="1" applyFill="1" applyBorder="1" applyAlignment="1" applyProtection="1">
      <alignment horizontal="left"/>
      <protection/>
    </xf>
    <xf numFmtId="0" fontId="30" fillId="6" borderId="28" xfId="0" applyFont="1" applyFill="1" applyBorder="1" applyAlignment="1" applyProtection="1">
      <alignment horizontal="center"/>
      <protection/>
    </xf>
    <xf numFmtId="0" fontId="30" fillId="6" borderId="0" xfId="0" applyFont="1" applyFill="1" applyBorder="1" applyAlignment="1" applyProtection="1">
      <alignment/>
      <protection/>
    </xf>
    <xf numFmtId="191" fontId="30" fillId="6" borderId="41" xfId="0" applyNumberFormat="1" applyFont="1" applyFill="1" applyBorder="1" applyAlignment="1" applyProtection="1">
      <alignment horizontal="center" wrapText="1"/>
      <protection/>
    </xf>
    <xf numFmtId="191" fontId="30" fillId="6" borderId="43" xfId="0" applyNumberFormat="1" applyFont="1" applyFill="1" applyBorder="1" applyAlignment="1" applyProtection="1">
      <alignment horizontal="center" wrapText="1"/>
      <protection/>
    </xf>
    <xf numFmtId="191" fontId="30" fillId="6" borderId="44" xfId="0" applyNumberFormat="1" applyFont="1" applyFill="1" applyBorder="1" applyAlignment="1" applyProtection="1">
      <alignment horizontal="center" wrapText="1"/>
      <protection/>
    </xf>
    <xf numFmtId="191" fontId="30" fillId="6" borderId="30" xfId="0" applyNumberFormat="1" applyFont="1" applyFill="1" applyBorder="1" applyAlignment="1" applyProtection="1">
      <alignment horizontal="center" wrapText="1"/>
      <protection/>
    </xf>
    <xf numFmtId="191" fontId="30" fillId="6" borderId="45" xfId="0" applyNumberFormat="1" applyFont="1" applyFill="1" applyBorder="1" applyAlignment="1" applyProtection="1">
      <alignment horizontal="center" wrapText="1"/>
      <protection/>
    </xf>
    <xf numFmtId="191" fontId="30" fillId="6" borderId="46" xfId="0" applyNumberFormat="1" applyFont="1" applyFill="1" applyBorder="1" applyAlignment="1" applyProtection="1">
      <alignment horizontal="center" wrapText="1"/>
      <protection/>
    </xf>
    <xf numFmtId="191" fontId="30" fillId="6" borderId="47" xfId="0" applyNumberFormat="1" applyFont="1" applyFill="1" applyBorder="1" applyAlignment="1" applyProtection="1">
      <alignment horizontal="center" wrapText="1"/>
      <protection/>
    </xf>
    <xf numFmtId="191" fontId="30" fillId="6" borderId="48" xfId="0" applyNumberFormat="1" applyFont="1" applyFill="1" applyBorder="1" applyAlignment="1" applyProtection="1">
      <alignment horizontal="center" wrapText="1"/>
      <protection/>
    </xf>
    <xf numFmtId="191" fontId="30" fillId="39" borderId="27" xfId="0" applyNumberFormat="1" applyFont="1" applyFill="1" applyBorder="1" applyAlignment="1" applyProtection="1">
      <alignment horizontal="center" vertical="center"/>
      <protection/>
    </xf>
    <xf numFmtId="191" fontId="28" fillId="39" borderId="27" xfId="0" applyNumberFormat="1" applyFont="1" applyFill="1" applyBorder="1" applyAlignment="1" applyProtection="1">
      <alignment horizontal="center" vertical="center"/>
      <protection/>
    </xf>
    <xf numFmtId="0" fontId="0" fillId="0" borderId="49" xfId="0" applyBorder="1" applyAlignment="1" applyProtection="1">
      <alignment horizontal="center"/>
      <protection/>
    </xf>
    <xf numFmtId="195" fontId="0" fillId="0" borderId="50" xfId="0" applyNumberFormat="1" applyFont="1" applyFill="1" applyBorder="1" applyAlignment="1" applyProtection="1">
      <alignment horizontal="center" vertical="center" wrapText="1"/>
      <protection locked="0"/>
    </xf>
    <xf numFmtId="195" fontId="0" fillId="0" borderId="51" xfId="0" applyNumberFormat="1" applyFont="1" applyFill="1" applyBorder="1" applyAlignment="1" applyProtection="1">
      <alignment horizontal="center" vertical="center" wrapText="1"/>
      <protection locked="0"/>
    </xf>
    <xf numFmtId="195" fontId="0" fillId="0" borderId="52" xfId="317" applyNumberFormat="1" applyFont="1" applyFill="1" applyBorder="1" applyAlignment="1" applyProtection="1">
      <alignment horizontal="center" vertical="center"/>
      <protection locked="0"/>
    </xf>
    <xf numFmtId="49" fontId="0" fillId="0" borderId="53" xfId="317" applyNumberFormat="1" applyFont="1" applyFill="1" applyBorder="1" applyAlignment="1" applyProtection="1">
      <alignment horizontal="left" wrapText="1"/>
      <protection locked="0"/>
    </xf>
    <xf numFmtId="195" fontId="0" fillId="0" borderId="54" xfId="0" applyNumberFormat="1" applyFont="1" applyFill="1" applyBorder="1" applyAlignment="1" applyProtection="1">
      <alignment horizontal="center" vertical="center" wrapText="1"/>
      <protection locked="0"/>
    </xf>
    <xf numFmtId="195" fontId="0" fillId="0" borderId="55" xfId="0" applyNumberFormat="1" applyFont="1" applyFill="1" applyBorder="1" applyAlignment="1" applyProtection="1">
      <alignment horizontal="center" vertical="center" wrapText="1"/>
      <protection locked="0"/>
    </xf>
    <xf numFmtId="191" fontId="28" fillId="0" borderId="33" xfId="0" applyNumberFormat="1" applyFont="1" applyFill="1" applyBorder="1" applyAlignment="1" applyProtection="1">
      <alignment horizontal="center" vertical="center"/>
      <protection locked="0"/>
    </xf>
    <xf numFmtId="191" fontId="28" fillId="39" borderId="33" xfId="0" applyNumberFormat="1" applyFont="1" applyFill="1" applyBorder="1" applyAlignment="1" applyProtection="1">
      <alignment horizontal="center" vertical="center"/>
      <protection/>
    </xf>
    <xf numFmtId="0" fontId="0" fillId="0" borderId="56" xfId="0" applyBorder="1" applyAlignment="1" applyProtection="1">
      <alignment horizontal="center"/>
      <protection/>
    </xf>
    <xf numFmtId="195" fontId="0" fillId="0" borderId="57" xfId="0" applyNumberFormat="1" applyFont="1" applyFill="1" applyBorder="1" applyAlignment="1" applyProtection="1">
      <alignment horizontal="center" vertical="center" wrapText="1"/>
      <protection locked="0"/>
    </xf>
    <xf numFmtId="195" fontId="0" fillId="0" borderId="55" xfId="220" applyNumberFormat="1" applyFont="1" applyFill="1" applyBorder="1" applyAlignment="1" applyProtection="1">
      <alignment horizontal="center" vertical="center"/>
      <protection locked="0"/>
    </xf>
    <xf numFmtId="191" fontId="28" fillId="39" borderId="35" xfId="0" applyNumberFormat="1" applyFont="1" applyFill="1" applyBorder="1" applyAlignment="1" applyProtection="1">
      <alignment horizontal="center" vertical="center"/>
      <protection/>
    </xf>
    <xf numFmtId="197" fontId="28" fillId="0" borderId="36" xfId="0" applyNumberFormat="1" applyFont="1" applyFill="1" applyBorder="1" applyAlignment="1" applyProtection="1">
      <alignment horizontal="left" vertical="center" wrapText="1"/>
      <protection locked="0"/>
    </xf>
    <xf numFmtId="191" fontId="28" fillId="39" borderId="40" xfId="0" applyNumberFormat="1" applyFont="1" applyFill="1" applyBorder="1" applyAlignment="1" applyProtection="1">
      <alignment horizontal="center" vertical="center"/>
      <protection/>
    </xf>
    <xf numFmtId="197" fontId="28" fillId="0" borderId="37" xfId="0" applyNumberFormat="1" applyFont="1" applyFill="1" applyBorder="1" applyAlignment="1" applyProtection="1">
      <alignment horizontal="left" vertical="center" wrapText="1"/>
      <protection locked="0"/>
    </xf>
    <xf numFmtId="195" fontId="0" fillId="0" borderId="58" xfId="0" applyNumberFormat="1" applyFont="1" applyFill="1" applyBorder="1" applyAlignment="1" applyProtection="1">
      <alignment horizontal="center" vertical="center" wrapText="1"/>
      <protection locked="0"/>
    </xf>
    <xf numFmtId="195" fontId="0" fillId="0" borderId="59" xfId="220" applyNumberFormat="1" applyFont="1" applyFill="1" applyBorder="1" applyAlignment="1" applyProtection="1">
      <alignment horizontal="center" vertical="center"/>
      <protection locked="0"/>
    </xf>
    <xf numFmtId="195" fontId="0" fillId="0" borderId="60" xfId="0" applyNumberFormat="1" applyFont="1" applyFill="1" applyBorder="1" applyAlignment="1" applyProtection="1">
      <alignment horizontal="center" vertical="center" wrapText="1"/>
      <protection locked="0"/>
    </xf>
    <xf numFmtId="195" fontId="0" fillId="0" borderId="61" xfId="0" applyNumberFormat="1" applyFont="1" applyFill="1" applyBorder="1" applyAlignment="1" applyProtection="1">
      <alignment horizontal="center" vertical="center" wrapText="1"/>
      <protection locked="0"/>
    </xf>
    <xf numFmtId="200" fontId="0" fillId="0" borderId="62" xfId="0" applyNumberFormat="1" applyFont="1" applyBorder="1" applyAlignment="1" applyProtection="1">
      <alignment horizontal="left" wrapText="1"/>
      <protection locked="0"/>
    </xf>
    <xf numFmtId="200" fontId="0" fillId="0" borderId="63" xfId="0" applyNumberFormat="1" applyFont="1" applyBorder="1" applyAlignment="1" applyProtection="1">
      <alignment horizontal="left" wrapText="1"/>
      <protection locked="0"/>
    </xf>
    <xf numFmtId="0" fontId="47" fillId="52" borderId="64" xfId="0" applyFont="1" applyFill="1" applyBorder="1" applyAlignment="1" applyProtection="1">
      <alignment horizontal="right" vertical="center"/>
      <protection/>
    </xf>
    <xf numFmtId="195" fontId="47" fillId="52" borderId="41" xfId="0" applyNumberFormat="1" applyFont="1" applyFill="1" applyBorder="1" applyAlignment="1" applyProtection="1">
      <alignment horizontal="center" vertical="center" wrapText="1"/>
      <protection/>
    </xf>
    <xf numFmtId="195" fontId="47" fillId="52" borderId="48" xfId="0" applyNumberFormat="1" applyFont="1" applyFill="1" applyBorder="1" applyAlignment="1" applyProtection="1">
      <alignment horizontal="center" vertical="center" wrapText="1"/>
      <protection/>
    </xf>
    <xf numFmtId="0" fontId="0" fillId="52" borderId="30" xfId="0" applyNumberFormat="1" applyFont="1" applyFill="1" applyBorder="1" applyAlignment="1" applyProtection="1">
      <alignment horizontal="left" vertical="center" wrapText="1" indent="1"/>
      <protection/>
    </xf>
    <xf numFmtId="195" fontId="47" fillId="52" borderId="65" xfId="0" applyNumberFormat="1" applyFont="1" applyFill="1" applyBorder="1" applyAlignment="1" applyProtection="1">
      <alignment horizontal="center" vertical="center" wrapText="1"/>
      <protection/>
    </xf>
    <xf numFmtId="0" fontId="0" fillId="52" borderId="66" xfId="0" applyNumberFormat="1" applyFont="1" applyFill="1" applyBorder="1" applyAlignment="1" applyProtection="1">
      <alignment horizontal="left" vertical="center" wrapText="1" indent="1"/>
      <protection/>
    </xf>
    <xf numFmtId="0" fontId="0" fillId="55" borderId="0" xfId="0" applyFill="1" applyAlignment="1" applyProtection="1">
      <alignment horizontal="center" vertical="center"/>
      <protection locked="0"/>
    </xf>
    <xf numFmtId="0" fontId="0" fillId="55" borderId="0" xfId="0" applyFill="1" applyAlignment="1" applyProtection="1">
      <alignment wrapText="1"/>
      <protection/>
    </xf>
    <xf numFmtId="0" fontId="0" fillId="55" borderId="0" xfId="0" applyFill="1" applyBorder="1" applyAlignment="1" applyProtection="1">
      <alignment horizontal="center" wrapText="1"/>
      <protection/>
    </xf>
    <xf numFmtId="0" fontId="47" fillId="55" borderId="0" xfId="0" applyFont="1" applyFill="1" applyAlignment="1" applyProtection="1">
      <alignment horizontal="left" wrapText="1"/>
      <protection/>
    </xf>
    <xf numFmtId="0" fontId="0" fillId="55" borderId="0" xfId="0" applyFill="1" applyAlignment="1" applyProtection="1">
      <alignment horizontal="center" wrapText="1"/>
      <protection/>
    </xf>
    <xf numFmtId="0" fontId="0" fillId="39" borderId="42" xfId="0" applyFill="1" applyBorder="1" applyAlignment="1" applyProtection="1">
      <alignment horizontal="left"/>
      <protection/>
    </xf>
    <xf numFmtId="0" fontId="30" fillId="6" borderId="43" xfId="0" applyFont="1" applyFill="1" applyBorder="1" applyAlignment="1" applyProtection="1">
      <alignment horizontal="center"/>
      <protection/>
    </xf>
    <xf numFmtId="0" fontId="30" fillId="6" borderId="46" xfId="0" applyFont="1" applyFill="1" applyBorder="1" applyAlignment="1" applyProtection="1">
      <alignment horizontal="center"/>
      <protection/>
    </xf>
    <xf numFmtId="0" fontId="30" fillId="6" borderId="67" xfId="0" applyFont="1" applyFill="1" applyBorder="1" applyAlignment="1" applyProtection="1">
      <alignment horizontal="center" wrapText="1"/>
      <protection/>
    </xf>
    <xf numFmtId="191" fontId="30" fillId="6" borderId="68" xfId="0" applyNumberFormat="1" applyFont="1" applyFill="1" applyBorder="1" applyAlignment="1" applyProtection="1">
      <alignment horizontal="center" wrapText="1"/>
      <protection/>
    </xf>
    <xf numFmtId="0" fontId="28" fillId="55" borderId="0" xfId="0" applyFont="1" applyFill="1" applyAlignment="1" applyProtection="1">
      <alignment/>
      <protection locked="0"/>
    </xf>
    <xf numFmtId="0" fontId="0" fillId="0" borderId="69" xfId="0" applyBorder="1" applyAlignment="1" applyProtection="1">
      <alignment horizontal="center"/>
      <protection locked="0"/>
    </xf>
    <xf numFmtId="0" fontId="0" fillId="0" borderId="51" xfId="0" applyFont="1" applyBorder="1" applyAlignment="1" applyProtection="1">
      <alignment horizontal="center" wrapText="1"/>
      <protection locked="0"/>
    </xf>
    <xf numFmtId="0" fontId="0" fillId="0" borderId="70" xfId="0" applyBorder="1" applyAlignment="1" applyProtection="1">
      <alignment horizontal="left" wrapText="1"/>
      <protection locked="0"/>
    </xf>
    <xf numFmtId="0" fontId="0" fillId="0" borderId="71" xfId="0" applyFont="1" applyBorder="1" applyAlignment="1" applyProtection="1">
      <alignment horizontal="center" wrapText="1" shrinkToFit="1"/>
      <protection locked="0"/>
    </xf>
    <xf numFmtId="0" fontId="0" fillId="55" borderId="0" xfId="0" applyFill="1" applyAlignment="1" applyProtection="1">
      <alignment wrapText="1"/>
      <protection locked="0"/>
    </xf>
    <xf numFmtId="0" fontId="0" fillId="0" borderId="49" xfId="0" applyBorder="1" applyAlignment="1" applyProtection="1">
      <alignment horizontal="center"/>
      <protection locked="0"/>
    </xf>
    <xf numFmtId="0" fontId="0" fillId="0" borderId="72" xfId="0" applyFont="1" applyBorder="1" applyAlignment="1" applyProtection="1">
      <alignment horizontal="center" wrapText="1"/>
      <protection locked="0"/>
    </xf>
    <xf numFmtId="0" fontId="0" fillId="0" borderId="57" xfId="0" applyBorder="1" applyAlignment="1" applyProtection="1">
      <alignment horizontal="left" wrapText="1"/>
      <protection locked="0"/>
    </xf>
    <xf numFmtId="0" fontId="0" fillId="0" borderId="52" xfId="0" applyFont="1" applyBorder="1" applyAlignment="1" applyProtection="1">
      <alignment horizontal="center" wrapText="1"/>
      <protection locked="0"/>
    </xf>
    <xf numFmtId="0" fontId="0" fillId="0" borderId="55" xfId="0" applyFont="1" applyBorder="1" applyAlignment="1" applyProtection="1">
      <alignment horizontal="center" wrapText="1"/>
      <protection locked="0"/>
    </xf>
    <xf numFmtId="0" fontId="0" fillId="0" borderId="27" xfId="374" applyFont="1" applyBorder="1" applyAlignment="1" applyProtection="1">
      <alignment horizontal="left" vertical="top" wrapText="1"/>
      <protection locked="0"/>
    </xf>
    <xf numFmtId="0" fontId="0" fillId="0" borderId="36" xfId="374" applyFont="1" applyBorder="1" applyAlignment="1" applyProtection="1">
      <alignment horizontal="left" vertical="top" wrapText="1"/>
      <protection locked="0"/>
    </xf>
    <xf numFmtId="0" fontId="0" fillId="0" borderId="56" xfId="0" applyBorder="1" applyAlignment="1" applyProtection="1">
      <alignment horizontal="center"/>
      <protection locked="0"/>
    </xf>
    <xf numFmtId="0" fontId="0" fillId="0" borderId="58" xfId="0" applyBorder="1" applyAlignment="1" applyProtection="1">
      <alignment horizontal="left" wrapText="1"/>
      <protection locked="0"/>
    </xf>
    <xf numFmtId="0" fontId="0" fillId="0" borderId="73" xfId="0" applyFont="1" applyBorder="1" applyAlignment="1" applyProtection="1">
      <alignment horizontal="center" wrapText="1"/>
      <protection locked="0"/>
    </xf>
    <xf numFmtId="0" fontId="0" fillId="0" borderId="74" xfId="0" applyFont="1" applyBorder="1" applyAlignment="1" applyProtection="1">
      <alignment horizontal="center" wrapText="1"/>
      <protection locked="0"/>
    </xf>
    <xf numFmtId="0" fontId="0" fillId="52" borderId="41" xfId="0" applyNumberFormat="1" applyFont="1" applyFill="1" applyBorder="1" applyAlignment="1" applyProtection="1">
      <alignment horizontal="left" vertical="center" wrapText="1" indent="1"/>
      <protection/>
    </xf>
    <xf numFmtId="0" fontId="0" fillId="52" borderId="48" xfId="0" applyNumberFormat="1" applyFont="1" applyFill="1" applyBorder="1" applyAlignment="1" applyProtection="1">
      <alignment horizontal="left" vertical="center" wrapText="1" indent="1"/>
      <protection/>
    </xf>
    <xf numFmtId="0" fontId="0" fillId="39" borderId="42" xfId="0" applyFill="1" applyBorder="1" applyAlignment="1" applyProtection="1">
      <alignment/>
      <protection/>
    </xf>
    <xf numFmtId="0" fontId="30" fillId="6" borderId="46" xfId="0" applyFont="1" applyFill="1" applyBorder="1" applyAlignment="1" applyProtection="1">
      <alignment horizontal="center" wrapText="1"/>
      <protection/>
    </xf>
    <xf numFmtId="0" fontId="30" fillId="6" borderId="44" xfId="0" applyFont="1" applyFill="1" applyBorder="1" applyAlignment="1" applyProtection="1">
      <alignment horizontal="center" wrapText="1"/>
      <protection/>
    </xf>
    <xf numFmtId="0" fontId="0" fillId="0" borderId="55" xfId="0" applyFont="1" applyBorder="1" applyAlignment="1" applyProtection="1">
      <alignment horizontal="left" wrapText="1"/>
      <protection locked="0"/>
    </xf>
    <xf numFmtId="0" fontId="0" fillId="0" borderId="75" xfId="0" applyFont="1" applyBorder="1" applyAlignment="1" applyProtection="1">
      <alignment horizontal="center" wrapText="1"/>
      <protection locked="0"/>
    </xf>
    <xf numFmtId="195" fontId="0" fillId="0" borderId="76" xfId="0" applyNumberFormat="1" applyFont="1" applyFill="1" applyBorder="1" applyAlignment="1" applyProtection="1">
      <alignment horizontal="center" vertical="center" wrapText="1"/>
      <protection locked="0"/>
    </xf>
    <xf numFmtId="200" fontId="0" fillId="0" borderId="53" xfId="317" applyNumberFormat="1" applyFont="1" applyFill="1" applyBorder="1" applyAlignment="1" applyProtection="1">
      <alignment horizontal="left" wrapText="1"/>
      <protection locked="0"/>
    </xf>
    <xf numFmtId="0" fontId="0" fillId="0" borderId="59" xfId="0" applyBorder="1" applyAlignment="1" applyProtection="1">
      <alignment horizontal="left" wrapText="1"/>
      <protection locked="0"/>
    </xf>
    <xf numFmtId="200" fontId="0" fillId="0" borderId="77" xfId="0" applyNumberFormat="1" applyFont="1" applyBorder="1" applyAlignment="1" applyProtection="1">
      <alignment horizontal="left" wrapText="1"/>
      <protection locked="0"/>
    </xf>
    <xf numFmtId="200" fontId="0" fillId="0" borderId="78" xfId="0" applyNumberFormat="1" applyFont="1" applyBorder="1" applyAlignment="1" applyProtection="1">
      <alignment horizontal="left" wrapText="1"/>
      <protection locked="0"/>
    </xf>
    <xf numFmtId="0" fontId="0" fillId="52" borderId="41" xfId="0" applyFill="1" applyBorder="1" applyAlignment="1" applyProtection="1">
      <alignment horizontal="center" vertical="center"/>
      <protection/>
    </xf>
    <xf numFmtId="0" fontId="0" fillId="52" borderId="42" xfId="0" applyFill="1" applyBorder="1" applyAlignment="1" applyProtection="1">
      <alignment horizontal="center"/>
      <protection/>
    </xf>
    <xf numFmtId="0" fontId="0" fillId="55" borderId="0" xfId="0" applyFill="1" applyAlignment="1" applyProtection="1">
      <alignment/>
      <protection locked="0"/>
    </xf>
    <xf numFmtId="0" fontId="59" fillId="55" borderId="0" xfId="0" applyFont="1" applyFill="1" applyAlignment="1" applyProtection="1">
      <alignment/>
      <protection locked="0"/>
    </xf>
    <xf numFmtId="0" fontId="0" fillId="55" borderId="0" xfId="0" applyFill="1" applyAlignment="1" applyProtection="1">
      <alignment horizontal="center"/>
      <protection locked="0"/>
    </xf>
    <xf numFmtId="191" fontId="0" fillId="55" borderId="0" xfId="0" applyNumberFormat="1" applyFill="1" applyAlignment="1" applyProtection="1">
      <alignment horizontal="center"/>
      <protection locked="0"/>
    </xf>
    <xf numFmtId="0" fontId="55" fillId="42" borderId="41" xfId="0" applyFont="1" applyFill="1" applyBorder="1" applyAlignment="1" applyProtection="1">
      <alignment horizontal="left"/>
      <protection/>
    </xf>
    <xf numFmtId="0" fontId="0" fillId="42" borderId="42" xfId="0" applyFill="1" applyBorder="1" applyAlignment="1" applyProtection="1">
      <alignment horizontal="center"/>
      <protection/>
    </xf>
    <xf numFmtId="0" fontId="0" fillId="42" borderId="64" xfId="0" applyFill="1" applyBorder="1" applyAlignment="1" applyProtection="1">
      <alignment/>
      <protection/>
    </xf>
    <xf numFmtId="0" fontId="0" fillId="0" borderId="75" xfId="0" applyBorder="1" applyAlignment="1" applyProtection="1">
      <alignment horizontal="center" wrapText="1"/>
      <protection locked="0"/>
    </xf>
    <xf numFmtId="195" fontId="0" fillId="0" borderId="79" xfId="0" applyNumberFormat="1" applyFont="1" applyFill="1" applyBorder="1" applyAlignment="1" applyProtection="1">
      <alignment horizontal="center" vertical="center" wrapText="1"/>
      <protection locked="0"/>
    </xf>
    <xf numFmtId="49" fontId="0" fillId="55" borderId="25" xfId="221" applyNumberFormat="1" applyFont="1" applyFill="1" applyBorder="1" applyAlignment="1" applyProtection="1">
      <alignment wrapText="1"/>
      <protection locked="0"/>
    </xf>
    <xf numFmtId="49" fontId="0" fillId="55" borderId="0" xfId="221" applyNumberFormat="1" applyFont="1" applyFill="1" applyBorder="1" applyAlignment="1" applyProtection="1">
      <alignment wrapText="1"/>
      <protection locked="0"/>
    </xf>
    <xf numFmtId="0" fontId="28" fillId="55" borderId="20" xfId="0" applyFont="1" applyFill="1" applyBorder="1" applyAlignment="1" applyProtection="1">
      <alignment horizontal="left" vertical="center"/>
      <protection/>
    </xf>
    <xf numFmtId="0" fontId="28" fillId="55" borderId="21" xfId="0" applyFont="1" applyFill="1" applyBorder="1" applyAlignment="1" applyProtection="1">
      <alignment horizontal="left" vertical="center"/>
      <protection/>
    </xf>
    <xf numFmtId="195" fontId="28" fillId="55" borderId="21" xfId="0" applyNumberFormat="1" applyFont="1" applyFill="1" applyBorder="1" applyAlignment="1" applyProtection="1">
      <alignment horizontal="right" vertical="center"/>
      <protection/>
    </xf>
    <xf numFmtId="197" fontId="28" fillId="55" borderId="21" xfId="0" applyNumberFormat="1" applyFont="1" applyFill="1" applyBorder="1" applyAlignment="1" applyProtection="1">
      <alignment horizontal="right" vertical="center"/>
      <protection/>
    </xf>
    <xf numFmtId="0" fontId="30" fillId="0" borderId="48" xfId="0" applyFont="1" applyFill="1" applyBorder="1" applyAlignment="1" applyProtection="1">
      <alignment horizontal="center" vertical="center"/>
      <protection/>
    </xf>
    <xf numFmtId="0" fontId="30" fillId="0" borderId="80" xfId="0" applyFont="1" applyFill="1" applyBorder="1" applyAlignment="1" applyProtection="1">
      <alignment horizontal="center" vertical="center"/>
      <protection locked="0"/>
    </xf>
    <xf numFmtId="0" fontId="30" fillId="0" borderId="81"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wrapText="1"/>
      <protection/>
    </xf>
    <xf numFmtId="0" fontId="0" fillId="0" borderId="0" xfId="0" applyFill="1" applyAlignment="1" applyProtection="1">
      <alignment vertical="center" wrapText="1"/>
      <protection/>
    </xf>
    <xf numFmtId="0" fontId="0" fillId="0" borderId="0" xfId="0" applyFill="1" applyBorder="1" applyAlignment="1" applyProtection="1">
      <alignment vertical="center" wrapText="1"/>
      <protection/>
    </xf>
    <xf numFmtId="0" fontId="30" fillId="55" borderId="0" xfId="0" applyFont="1" applyFill="1" applyBorder="1" applyAlignment="1" applyProtection="1">
      <alignment horizontal="center" vertical="center"/>
      <protection/>
    </xf>
    <xf numFmtId="187" fontId="28" fillId="0" borderId="0" xfId="317" applyNumberFormat="1" applyFont="1" applyFill="1" applyBorder="1" applyAlignment="1" applyProtection="1">
      <alignment vertical="center"/>
      <protection/>
    </xf>
    <xf numFmtId="0" fontId="19" fillId="0" borderId="82" xfId="0" applyFont="1" applyBorder="1" applyAlignment="1" applyProtection="1">
      <alignment wrapText="1"/>
      <protection/>
    </xf>
    <xf numFmtId="0" fontId="19" fillId="0" borderId="83" xfId="0" applyFont="1" applyBorder="1" applyAlignment="1" applyProtection="1">
      <alignment wrapText="1"/>
      <protection/>
    </xf>
    <xf numFmtId="0" fontId="65" fillId="0" borderId="83" xfId="0" applyFont="1" applyBorder="1" applyAlignment="1" applyProtection="1">
      <alignment wrapText="1"/>
      <protection/>
    </xf>
    <xf numFmtId="0" fontId="0" fillId="0" borderId="83" xfId="0" applyBorder="1" applyAlignment="1" applyProtection="1">
      <alignment/>
      <protection/>
    </xf>
    <xf numFmtId="0" fontId="0" fillId="0" borderId="82" xfId="0" applyBorder="1" applyAlignment="1" applyProtection="1">
      <alignment/>
      <protection/>
    </xf>
    <xf numFmtId="0" fontId="20" fillId="0" borderId="84" xfId="0" applyFont="1" applyFill="1" applyBorder="1" applyAlignment="1" applyProtection="1">
      <alignment vertical="center"/>
      <protection/>
    </xf>
    <xf numFmtId="0" fontId="20" fillId="0" borderId="84" xfId="0" applyFont="1" applyBorder="1" applyAlignment="1" applyProtection="1">
      <alignment vertical="center"/>
      <protection/>
    </xf>
    <xf numFmtId="187" fontId="20" fillId="0" borderId="85" xfId="317" applyNumberFormat="1" applyFont="1" applyFill="1" applyBorder="1" applyAlignment="1" applyProtection="1">
      <alignment vertical="center"/>
      <protection/>
    </xf>
    <xf numFmtId="0" fontId="20" fillId="0" borderId="82" xfId="0" applyFont="1" applyBorder="1" applyAlignment="1" applyProtection="1">
      <alignment vertical="center"/>
      <protection/>
    </xf>
    <xf numFmtId="0" fontId="0" fillId="0" borderId="83" xfId="0" applyBorder="1" applyAlignment="1" applyProtection="1">
      <alignment vertical="center"/>
      <protection/>
    </xf>
    <xf numFmtId="0" fontId="0" fillId="0" borderId="82" xfId="0" applyBorder="1" applyAlignment="1" applyProtection="1">
      <alignment vertical="center"/>
      <protection/>
    </xf>
    <xf numFmtId="0" fontId="28" fillId="0" borderId="82" xfId="0" applyFont="1" applyBorder="1" applyAlignment="1" applyProtection="1">
      <alignment vertical="center"/>
      <protection/>
    </xf>
    <xf numFmtId="0" fontId="28" fillId="55" borderId="0" xfId="0" applyFont="1" applyFill="1" applyBorder="1" applyAlignment="1" applyProtection="1">
      <alignment vertical="center"/>
      <protection/>
    </xf>
    <xf numFmtId="0" fontId="28" fillId="55" borderId="86" xfId="0" applyFont="1" applyFill="1" applyBorder="1" applyAlignment="1" applyProtection="1">
      <alignment vertical="center"/>
      <protection/>
    </xf>
    <xf numFmtId="0" fontId="28" fillId="55" borderId="82" xfId="0" applyFont="1" applyFill="1" applyBorder="1" applyAlignment="1" applyProtection="1">
      <alignment vertical="center"/>
      <protection/>
    </xf>
    <xf numFmtId="0" fontId="28" fillId="55" borderId="83" xfId="0" applyFont="1" applyFill="1" applyBorder="1" applyAlignment="1" applyProtection="1">
      <alignment vertical="center"/>
      <protection/>
    </xf>
    <xf numFmtId="0" fontId="20" fillId="0" borderId="87" xfId="0" applyFont="1" applyBorder="1" applyAlignment="1" applyProtection="1">
      <alignment/>
      <protection/>
    </xf>
    <xf numFmtId="0" fontId="20" fillId="0" borderId="88" xfId="0" applyFont="1" applyBorder="1" applyAlignment="1" applyProtection="1">
      <alignment/>
      <protection/>
    </xf>
    <xf numFmtId="0" fontId="20" fillId="0" borderId="0" xfId="0" applyFont="1" applyFill="1" applyBorder="1" applyAlignment="1" applyProtection="1">
      <alignment/>
      <protection/>
    </xf>
    <xf numFmtId="0" fontId="20" fillId="0" borderId="89" xfId="0" applyFont="1" applyBorder="1" applyAlignment="1" applyProtection="1">
      <alignment/>
      <protection/>
    </xf>
    <xf numFmtId="0" fontId="20" fillId="55" borderId="83" xfId="0" applyFont="1" applyFill="1" applyBorder="1" applyAlignment="1" applyProtection="1">
      <alignment/>
      <protection/>
    </xf>
    <xf numFmtId="187" fontId="20" fillId="55" borderId="82" xfId="317" applyNumberFormat="1" applyFont="1" applyFill="1" applyBorder="1" applyAlignment="1" applyProtection="1">
      <alignment/>
      <protection/>
    </xf>
    <xf numFmtId="187" fontId="20" fillId="55" borderId="83" xfId="317" applyNumberFormat="1" applyFont="1" applyFill="1" applyBorder="1" applyAlignment="1" applyProtection="1">
      <alignment/>
      <protection/>
    </xf>
    <xf numFmtId="0" fontId="0" fillId="55" borderId="83" xfId="0" applyFill="1" applyBorder="1" applyAlignment="1" applyProtection="1">
      <alignment/>
      <protection/>
    </xf>
    <xf numFmtId="0" fontId="0" fillId="55" borderId="82" xfId="0" applyFill="1" applyBorder="1" applyAlignment="1" applyProtection="1">
      <alignment/>
      <protection/>
    </xf>
    <xf numFmtId="0" fontId="31" fillId="0" borderId="0" xfId="0" applyFont="1" applyFill="1" applyBorder="1" applyAlignment="1" applyProtection="1">
      <alignment vertical="center"/>
      <protection/>
    </xf>
    <xf numFmtId="0" fontId="31" fillId="0" borderId="90" xfId="0" applyFont="1" applyFill="1" applyBorder="1" applyAlignment="1" applyProtection="1">
      <alignment/>
      <protection/>
    </xf>
    <xf numFmtId="0" fontId="31" fillId="0" borderId="0" xfId="0" applyFont="1" applyFill="1" applyBorder="1" applyAlignment="1" applyProtection="1">
      <alignment/>
      <protection/>
    </xf>
    <xf numFmtId="0" fontId="20" fillId="55" borderId="90" xfId="0" applyFont="1" applyFill="1" applyBorder="1" applyAlignment="1" applyProtection="1">
      <alignment/>
      <protection/>
    </xf>
    <xf numFmtId="0" fontId="20" fillId="55" borderId="91" xfId="0" applyFont="1" applyFill="1" applyBorder="1" applyAlignment="1" applyProtection="1">
      <alignment/>
      <protection/>
    </xf>
    <xf numFmtId="0" fontId="20" fillId="0" borderId="92" xfId="0" applyFont="1" applyBorder="1" applyAlignment="1" applyProtection="1">
      <alignment/>
      <protection/>
    </xf>
    <xf numFmtId="0" fontId="20" fillId="0" borderId="91" xfId="0" applyFont="1" applyBorder="1" applyAlignment="1" applyProtection="1">
      <alignment/>
      <protection/>
    </xf>
    <xf numFmtId="0" fontId="20" fillId="0" borderId="0" xfId="0" applyFont="1" applyBorder="1" applyAlignment="1" applyProtection="1">
      <alignment/>
      <protection/>
    </xf>
    <xf numFmtId="0" fontId="20" fillId="0" borderId="85" xfId="0" applyFont="1" applyBorder="1" applyAlignment="1" applyProtection="1">
      <alignment/>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52" fillId="0" borderId="95" xfId="0" applyFont="1" applyFill="1" applyBorder="1" applyAlignment="1" applyProtection="1">
      <alignment/>
      <protection/>
    </xf>
    <xf numFmtId="0" fontId="42" fillId="0" borderId="83" xfId="0" applyFont="1" applyFill="1" applyBorder="1" applyAlignment="1" applyProtection="1">
      <alignment horizontal="center"/>
      <protection/>
    </xf>
    <xf numFmtId="196" fontId="42" fillId="0" borderId="83" xfId="0" applyNumberFormat="1" applyFont="1" applyFill="1" applyBorder="1" applyAlignment="1" applyProtection="1">
      <alignment horizontal="center"/>
      <protection/>
    </xf>
    <xf numFmtId="196" fontId="38" fillId="0" borderId="96" xfId="0" applyNumberFormat="1" applyFont="1" applyFill="1" applyBorder="1" applyAlignment="1" applyProtection="1">
      <alignment horizontal="center"/>
      <protection locked="0"/>
    </xf>
    <xf numFmtId="0" fontId="30" fillId="0" borderId="97" xfId="0" applyFont="1" applyFill="1" applyBorder="1" applyAlignment="1" applyProtection="1">
      <alignment vertical="center"/>
      <protection/>
    </xf>
    <xf numFmtId="0" fontId="30" fillId="0" borderId="98" xfId="0" applyFont="1" applyFill="1" applyBorder="1" applyAlignment="1" applyProtection="1">
      <alignment vertical="center"/>
      <protection/>
    </xf>
    <xf numFmtId="0" fontId="30" fillId="0" borderId="97" xfId="0" applyFont="1" applyFill="1" applyBorder="1" applyAlignment="1" applyProtection="1">
      <alignment vertical="top"/>
      <protection/>
    </xf>
    <xf numFmtId="0" fontId="30" fillId="0" borderId="99" xfId="0" applyFont="1" applyFill="1" applyBorder="1" applyAlignment="1" applyProtection="1">
      <alignment vertical="top"/>
      <protection/>
    </xf>
    <xf numFmtId="0" fontId="30" fillId="0" borderId="83" xfId="0" applyFont="1" applyFill="1" applyBorder="1" applyAlignment="1" applyProtection="1">
      <alignment vertical="top"/>
      <protection/>
    </xf>
    <xf numFmtId="196" fontId="30" fillId="0" borderId="100" xfId="0" applyNumberFormat="1" applyFont="1" applyFill="1" applyBorder="1" applyAlignment="1" applyProtection="1">
      <alignment vertical="top"/>
      <protection/>
    </xf>
    <xf numFmtId="196" fontId="30" fillId="0" borderId="83" xfId="0" applyNumberFormat="1" applyFont="1" applyFill="1" applyBorder="1" applyAlignment="1" applyProtection="1">
      <alignment vertical="top"/>
      <protection/>
    </xf>
    <xf numFmtId="196" fontId="30" fillId="0" borderId="94" xfId="0" applyNumberFormat="1" applyFont="1" applyFill="1" applyBorder="1" applyAlignment="1" applyProtection="1">
      <alignment vertical="top"/>
      <protection/>
    </xf>
    <xf numFmtId="0" fontId="28" fillId="55" borderId="92" xfId="0" applyFont="1" applyFill="1" applyBorder="1" applyAlignment="1" applyProtection="1">
      <alignment vertical="center"/>
      <protection/>
    </xf>
    <xf numFmtId="0" fontId="30" fillId="55" borderId="83" xfId="0" applyFont="1" applyFill="1" applyBorder="1" applyAlignment="1" applyProtection="1">
      <alignment vertical="top"/>
      <protection/>
    </xf>
    <xf numFmtId="0" fontId="30" fillId="55" borderId="92" xfId="0" applyFont="1" applyFill="1" applyBorder="1" applyAlignment="1" applyProtection="1">
      <alignment vertical="top"/>
      <protection/>
    </xf>
    <xf numFmtId="196" fontId="35" fillId="0" borderId="95" xfId="0" applyNumberFormat="1" applyFont="1" applyFill="1" applyBorder="1" applyAlignment="1" applyProtection="1">
      <alignment horizontal="right"/>
      <protection locked="0"/>
    </xf>
    <xf numFmtId="196" fontId="30" fillId="0" borderId="82" xfId="0" applyNumberFormat="1" applyFont="1" applyFill="1" applyBorder="1" applyAlignment="1" applyProtection="1">
      <alignment vertical="top"/>
      <protection/>
    </xf>
    <xf numFmtId="0" fontId="28" fillId="0" borderId="93" xfId="0" applyFont="1" applyFill="1" applyBorder="1" applyAlignment="1" applyProtection="1">
      <alignment vertical="center"/>
      <protection/>
    </xf>
    <xf numFmtId="0" fontId="30" fillId="55" borderId="82" xfId="0" applyFont="1" applyFill="1" applyBorder="1" applyAlignment="1" applyProtection="1">
      <alignment horizontal="center" vertical="top"/>
      <protection/>
    </xf>
    <xf numFmtId="0" fontId="30" fillId="55" borderId="0" xfId="0" applyFont="1" applyFill="1" applyBorder="1" applyAlignment="1" applyProtection="1">
      <alignment horizontal="center" vertical="top"/>
      <protection/>
    </xf>
    <xf numFmtId="0" fontId="30" fillId="55" borderId="101" xfId="0" applyFont="1" applyFill="1" applyBorder="1" applyAlignment="1" applyProtection="1">
      <alignment horizontal="center" vertical="top"/>
      <protection/>
    </xf>
    <xf numFmtId="196" fontId="35" fillId="0" borderId="102" xfId="0" applyNumberFormat="1" applyFont="1" applyFill="1" applyBorder="1" applyAlignment="1" applyProtection="1">
      <alignment horizontal="right"/>
      <protection locked="0"/>
    </xf>
    <xf numFmtId="196" fontId="28" fillId="0" borderId="94" xfId="0" applyNumberFormat="1" applyFont="1" applyBorder="1" applyAlignment="1" applyProtection="1">
      <alignment/>
      <protection/>
    </xf>
    <xf numFmtId="0" fontId="28" fillId="0" borderId="83" xfId="0" applyFont="1" applyFill="1" applyBorder="1" applyAlignment="1" applyProtection="1">
      <alignment horizontal="center" vertical="center"/>
      <protection/>
    </xf>
    <xf numFmtId="0" fontId="30" fillId="55" borderId="83" xfId="0" applyFont="1" applyFill="1" applyBorder="1" applyAlignment="1" applyProtection="1">
      <alignment horizontal="center" vertical="top"/>
      <protection/>
    </xf>
    <xf numFmtId="0" fontId="30" fillId="55" borderId="93" xfId="0" applyFont="1" applyFill="1" applyBorder="1" applyAlignment="1" applyProtection="1">
      <alignment horizontal="center" vertical="top"/>
      <protection/>
    </xf>
    <xf numFmtId="196" fontId="28" fillId="55" borderId="0" xfId="0" applyNumberFormat="1" applyFont="1" applyFill="1" applyAlignment="1" applyProtection="1">
      <alignment/>
      <protection/>
    </xf>
    <xf numFmtId="196" fontId="28" fillId="0" borderId="102" xfId="0" applyNumberFormat="1" applyFont="1" applyFill="1" applyBorder="1" applyAlignment="1" applyProtection="1">
      <alignment horizontal="right"/>
      <protection locked="0"/>
    </xf>
    <xf numFmtId="196" fontId="28" fillId="0" borderId="0" xfId="0" applyNumberFormat="1" applyFont="1" applyAlignment="1" applyProtection="1">
      <alignment/>
      <protection/>
    </xf>
    <xf numFmtId="196" fontId="38" fillId="39" borderId="103" xfId="0" applyNumberFormat="1" applyFont="1" applyFill="1" applyBorder="1" applyAlignment="1" applyProtection="1">
      <alignment horizontal="right"/>
      <protection/>
    </xf>
    <xf numFmtId="0" fontId="30" fillId="0" borderId="103" xfId="0" applyFont="1" applyFill="1" applyBorder="1" applyAlignment="1" applyProtection="1">
      <alignment vertical="center"/>
      <protection/>
    </xf>
    <xf numFmtId="0" fontId="30" fillId="0" borderId="95" xfId="0" applyFont="1" applyFill="1" applyBorder="1" applyAlignment="1" applyProtection="1">
      <alignment vertical="center"/>
      <protection/>
    </xf>
    <xf numFmtId="0" fontId="30" fillId="0" borderId="95" xfId="0" applyFont="1" applyFill="1" applyBorder="1" applyAlignment="1" applyProtection="1">
      <alignment horizontal="center" vertical="top"/>
      <protection/>
    </xf>
    <xf numFmtId="0" fontId="30" fillId="0" borderId="104" xfId="0" applyFont="1" applyFill="1" applyBorder="1" applyAlignment="1" applyProtection="1">
      <alignment horizontal="center" vertical="top"/>
      <protection/>
    </xf>
    <xf numFmtId="0" fontId="30" fillId="0" borderId="95" xfId="0" applyFont="1" applyFill="1" applyBorder="1" applyAlignment="1" applyProtection="1">
      <alignment vertical="top"/>
      <protection/>
    </xf>
    <xf numFmtId="0" fontId="30" fillId="0" borderId="103" xfId="0" applyFont="1" applyFill="1" applyBorder="1" applyAlignment="1" applyProtection="1">
      <alignment vertical="top"/>
      <protection/>
    </xf>
    <xf numFmtId="196" fontId="30" fillId="0" borderId="0" xfId="0" applyNumberFormat="1" applyFont="1" applyFill="1" applyBorder="1" applyAlignment="1" applyProtection="1">
      <alignment vertical="top"/>
      <protection/>
    </xf>
    <xf numFmtId="196" fontId="30" fillId="0" borderId="98" xfId="0" applyNumberFormat="1" applyFont="1" applyFill="1" applyBorder="1" applyAlignment="1" applyProtection="1">
      <alignment vertical="top"/>
      <protection/>
    </xf>
    <xf numFmtId="0" fontId="0" fillId="0" borderId="0" xfId="0" applyFont="1" applyFill="1" applyAlignment="1" applyProtection="1">
      <alignment/>
      <protection/>
    </xf>
    <xf numFmtId="0" fontId="28" fillId="0" borderId="98" xfId="0" applyFont="1" applyFill="1" applyBorder="1" applyAlignment="1" applyProtection="1">
      <alignment/>
      <protection/>
    </xf>
    <xf numFmtId="0" fontId="28" fillId="0" borderId="97" xfId="0" applyFont="1" applyFill="1" applyBorder="1" applyAlignment="1" applyProtection="1">
      <alignment/>
      <protection/>
    </xf>
    <xf numFmtId="0" fontId="28" fillId="0" borderId="99" xfId="0" applyFont="1" applyFill="1" applyBorder="1" applyAlignment="1" applyProtection="1">
      <alignment/>
      <protection/>
    </xf>
    <xf numFmtId="0" fontId="28" fillId="0" borderId="105" xfId="0" applyFont="1" applyFill="1" applyBorder="1" applyAlignment="1" applyProtection="1">
      <alignment/>
      <protection/>
    </xf>
    <xf numFmtId="0" fontId="28" fillId="0" borderId="106" xfId="0" applyFont="1" applyFill="1" applyBorder="1" applyAlignment="1" applyProtection="1">
      <alignment/>
      <protection/>
    </xf>
    <xf numFmtId="0" fontId="28" fillId="0" borderId="83" xfId="0" applyFont="1" applyFill="1" applyBorder="1" applyAlignment="1" applyProtection="1">
      <alignment/>
      <protection/>
    </xf>
    <xf numFmtId="196" fontId="28" fillId="0" borderId="92" xfId="0" applyNumberFormat="1" applyFont="1" applyFill="1" applyBorder="1" applyAlignment="1" applyProtection="1">
      <alignment/>
      <protection/>
    </xf>
    <xf numFmtId="196" fontId="28" fillId="0" borderId="83" xfId="0" applyNumberFormat="1" applyFont="1" applyFill="1" applyBorder="1" applyAlignment="1" applyProtection="1">
      <alignment/>
      <protection/>
    </xf>
    <xf numFmtId="196" fontId="28" fillId="0" borderId="0" xfId="0" applyNumberFormat="1" applyFont="1" applyFill="1" applyBorder="1" applyAlignment="1" applyProtection="1">
      <alignment horizontal="left"/>
      <protection/>
    </xf>
    <xf numFmtId="196" fontId="35" fillId="39" borderId="103" xfId="0" applyNumberFormat="1" applyFont="1" applyFill="1" applyBorder="1" applyAlignment="1" applyProtection="1">
      <alignment horizontal="right"/>
      <protection/>
    </xf>
    <xf numFmtId="196" fontId="30" fillId="55" borderId="85" xfId="0" applyNumberFormat="1" applyFont="1" applyFill="1" applyBorder="1" applyAlignment="1" applyProtection="1">
      <alignment vertical="top"/>
      <protection/>
    </xf>
    <xf numFmtId="0" fontId="28" fillId="55" borderId="83" xfId="0" applyFont="1" applyFill="1" applyBorder="1" applyAlignment="1" applyProtection="1">
      <alignment horizontal="center" vertical="center"/>
      <protection/>
    </xf>
    <xf numFmtId="0" fontId="30" fillId="55" borderId="107" xfId="0" applyFont="1" applyFill="1" applyBorder="1" applyAlignment="1" applyProtection="1">
      <alignment horizontal="center" vertical="top"/>
      <protection/>
    </xf>
    <xf numFmtId="0" fontId="30" fillId="55" borderId="94" xfId="0" applyFont="1" applyFill="1" applyBorder="1" applyAlignment="1" applyProtection="1">
      <alignment vertical="top"/>
      <protection/>
    </xf>
    <xf numFmtId="0" fontId="30" fillId="55" borderId="93" xfId="0" applyFont="1" applyFill="1" applyBorder="1" applyAlignment="1" applyProtection="1">
      <alignment vertical="top"/>
      <protection/>
    </xf>
    <xf numFmtId="196" fontId="28" fillId="0" borderId="103" xfId="0" applyNumberFormat="1" applyFont="1" applyFill="1" applyBorder="1" applyAlignment="1" applyProtection="1">
      <alignment horizontal="right"/>
      <protection locked="0"/>
    </xf>
    <xf numFmtId="196" fontId="30" fillId="55" borderId="83" xfId="0" applyNumberFormat="1" applyFont="1" applyFill="1" applyBorder="1" applyAlignment="1" applyProtection="1">
      <alignment vertical="top"/>
      <protection/>
    </xf>
    <xf numFmtId="196" fontId="30" fillId="55" borderId="103" xfId="0" applyNumberFormat="1" applyFont="1" applyFill="1" applyBorder="1" applyAlignment="1" applyProtection="1">
      <alignment horizontal="right"/>
      <protection/>
    </xf>
    <xf numFmtId="0" fontId="28" fillId="55" borderId="91" xfId="0" applyFont="1" applyFill="1" applyBorder="1" applyAlignment="1" applyProtection="1">
      <alignment horizontal="center" vertical="center"/>
      <protection/>
    </xf>
    <xf numFmtId="0" fontId="30" fillId="55" borderId="108" xfId="0" applyFont="1" applyFill="1" applyBorder="1" applyAlignment="1" applyProtection="1">
      <alignment vertical="top"/>
      <protection/>
    </xf>
    <xf numFmtId="0" fontId="30" fillId="55" borderId="109" xfId="0" applyFont="1" applyFill="1" applyBorder="1" applyAlignment="1" applyProtection="1">
      <alignment vertical="top"/>
      <protection/>
    </xf>
    <xf numFmtId="196" fontId="35" fillId="0" borderId="0" xfId="0" applyNumberFormat="1" applyFont="1" applyFill="1" applyBorder="1" applyAlignment="1" applyProtection="1">
      <alignment horizontal="right"/>
      <protection locked="0"/>
    </xf>
    <xf numFmtId="0" fontId="28" fillId="0" borderId="110" xfId="0" applyFont="1" applyFill="1" applyBorder="1" applyAlignment="1" applyProtection="1">
      <alignment/>
      <protection/>
    </xf>
    <xf numFmtId="0" fontId="28" fillId="0" borderId="0" xfId="0" applyFont="1" applyFill="1" applyBorder="1" applyAlignment="1" applyProtection="1">
      <alignment/>
      <protection/>
    </xf>
    <xf numFmtId="0" fontId="28" fillId="0" borderId="102" xfId="0" applyFont="1" applyFill="1" applyBorder="1" applyAlignment="1" applyProtection="1">
      <alignment/>
      <protection/>
    </xf>
    <xf numFmtId="0" fontId="28" fillId="0" borderId="111" xfId="0" applyFont="1" applyFill="1" applyBorder="1" applyAlignment="1" applyProtection="1">
      <alignment/>
      <protection/>
    </xf>
    <xf numFmtId="0" fontId="28" fillId="0" borderId="104" xfId="0" applyFont="1" applyFill="1" applyBorder="1" applyAlignment="1" applyProtection="1">
      <alignment/>
      <protection/>
    </xf>
    <xf numFmtId="0" fontId="28" fillId="0" borderId="95" xfId="0" applyFont="1" applyFill="1" applyBorder="1" applyAlignment="1" applyProtection="1">
      <alignment/>
      <protection/>
    </xf>
    <xf numFmtId="196" fontId="28" fillId="0" borderId="97" xfId="0" applyNumberFormat="1" applyFont="1" applyFill="1" applyBorder="1" applyAlignment="1" applyProtection="1">
      <alignment/>
      <protection/>
    </xf>
    <xf numFmtId="196" fontId="35" fillId="0" borderId="0" xfId="0" applyNumberFormat="1" applyFont="1" applyFill="1" applyBorder="1" applyAlignment="1" applyProtection="1">
      <alignment/>
      <protection/>
    </xf>
    <xf numFmtId="0" fontId="28" fillId="0" borderId="112" xfId="0" applyFont="1" applyFill="1" applyBorder="1" applyAlignment="1" applyProtection="1">
      <alignment/>
      <protection/>
    </xf>
    <xf numFmtId="196" fontId="38" fillId="39" borderId="113" xfId="0" applyNumberFormat="1" applyFont="1" applyFill="1" applyBorder="1" applyAlignment="1" applyProtection="1">
      <alignment horizontal="right"/>
      <protection/>
    </xf>
    <xf numFmtId="0" fontId="28" fillId="0" borderId="92" xfId="0" applyFont="1" applyFill="1" applyBorder="1" applyAlignment="1" applyProtection="1">
      <alignment/>
      <protection/>
    </xf>
    <xf numFmtId="0" fontId="28" fillId="0" borderId="90" xfId="0" applyFont="1" applyFill="1" applyBorder="1" applyAlignment="1" applyProtection="1">
      <alignment/>
      <protection/>
    </xf>
    <xf numFmtId="0" fontId="28" fillId="0" borderId="85" xfId="0" applyFont="1" applyFill="1" applyBorder="1" applyAlignment="1" applyProtection="1">
      <alignment/>
      <protection/>
    </xf>
    <xf numFmtId="0" fontId="28" fillId="0" borderId="114" xfId="0" applyFont="1" applyFill="1" applyBorder="1" applyAlignment="1" applyProtection="1">
      <alignment/>
      <protection/>
    </xf>
    <xf numFmtId="0" fontId="21" fillId="55" borderId="83" xfId="0" applyFont="1" applyFill="1" applyBorder="1" applyAlignment="1" applyProtection="1">
      <alignment/>
      <protection/>
    </xf>
    <xf numFmtId="0" fontId="0" fillId="55" borderId="101" xfId="0" applyFill="1" applyBorder="1" applyAlignment="1" applyProtection="1">
      <alignment/>
      <protection/>
    </xf>
    <xf numFmtId="0" fontId="28" fillId="55" borderId="83" xfId="0" applyFont="1" applyFill="1" applyBorder="1" applyAlignment="1" applyProtection="1">
      <alignment/>
      <protection/>
    </xf>
    <xf numFmtId="0" fontId="28" fillId="55" borderId="82" xfId="0" applyFont="1" applyFill="1" applyBorder="1" applyAlignment="1" applyProtection="1">
      <alignment/>
      <protection/>
    </xf>
    <xf numFmtId="0" fontId="32" fillId="0" borderId="92" xfId="0" applyFont="1" applyBorder="1" applyAlignment="1" applyProtection="1">
      <alignment vertical="center"/>
      <protection/>
    </xf>
    <xf numFmtId="0" fontId="0" fillId="0" borderId="92" xfId="0" applyBorder="1" applyAlignment="1" applyProtection="1">
      <alignment/>
      <protection/>
    </xf>
    <xf numFmtId="0" fontId="0" fillId="0" borderId="91" xfId="0" applyBorder="1" applyAlignment="1" applyProtection="1">
      <alignment/>
      <protection/>
    </xf>
    <xf numFmtId="0" fontId="28" fillId="0" borderId="92" xfId="0" applyFont="1" applyBorder="1" applyAlignment="1" applyProtection="1">
      <alignment/>
      <protection/>
    </xf>
    <xf numFmtId="0" fontId="28" fillId="0" borderId="85" xfId="0" applyFont="1" applyBorder="1" applyAlignment="1" applyProtection="1">
      <alignment/>
      <protection/>
    </xf>
    <xf numFmtId="0" fontId="0" fillId="0" borderId="109" xfId="0" applyBorder="1" applyAlignment="1" applyProtection="1">
      <alignment/>
      <protection/>
    </xf>
    <xf numFmtId="0" fontId="0" fillId="0" borderId="115" xfId="0" applyBorder="1" applyAlignment="1" applyProtection="1">
      <alignment/>
      <protection/>
    </xf>
    <xf numFmtId="0" fontId="28" fillId="0" borderId="108" xfId="0" applyFont="1" applyBorder="1" applyAlignment="1" applyProtection="1">
      <alignment/>
      <protection/>
    </xf>
    <xf numFmtId="0" fontId="0" fillId="55" borderId="82" xfId="0" applyFill="1" applyBorder="1" applyAlignment="1" applyProtection="1">
      <alignment vertical="center"/>
      <protection/>
    </xf>
    <xf numFmtId="0" fontId="28" fillId="0" borderId="116" xfId="0" applyFont="1" applyBorder="1" applyAlignment="1" applyProtection="1">
      <alignment vertical="center"/>
      <protection/>
    </xf>
    <xf numFmtId="0" fontId="28" fillId="0" borderId="83" xfId="0" applyFont="1" applyBorder="1" applyAlignment="1" applyProtection="1">
      <alignment vertical="center"/>
      <protection/>
    </xf>
    <xf numFmtId="0" fontId="28" fillId="0" borderId="86" xfId="0" applyFont="1" applyBorder="1" applyAlignment="1" applyProtection="1">
      <alignment vertical="center"/>
      <protection/>
    </xf>
    <xf numFmtId="0" fontId="20" fillId="0" borderId="93" xfId="0" applyFont="1" applyBorder="1" applyAlignment="1" applyProtection="1">
      <alignment/>
      <protection/>
    </xf>
    <xf numFmtId="0" fontId="20" fillId="0" borderId="107" xfId="0" applyFont="1" applyBorder="1" applyAlignment="1" applyProtection="1">
      <alignment/>
      <protection/>
    </xf>
    <xf numFmtId="0" fontId="20" fillId="0" borderId="94" xfId="0" applyFont="1" applyBorder="1" applyAlignment="1" applyProtection="1">
      <alignment/>
      <protection/>
    </xf>
    <xf numFmtId="0" fontId="20" fillId="0" borderId="83" xfId="0" applyFont="1" applyBorder="1" applyAlignment="1" applyProtection="1">
      <alignment/>
      <protection/>
    </xf>
    <xf numFmtId="187" fontId="20" fillId="0" borderId="82" xfId="317" applyNumberFormat="1" applyFont="1" applyFill="1" applyBorder="1" applyAlignment="1" applyProtection="1">
      <alignment/>
      <protection/>
    </xf>
    <xf numFmtId="187" fontId="20" fillId="0" borderId="83" xfId="317" applyNumberFormat="1" applyFont="1" applyFill="1" applyBorder="1" applyAlignment="1" applyProtection="1">
      <alignment/>
      <protection/>
    </xf>
    <xf numFmtId="0" fontId="31" fillId="55" borderId="0" xfId="0" applyFont="1" applyFill="1" applyBorder="1" applyAlignment="1" applyProtection="1">
      <alignment vertical="center"/>
      <protection/>
    </xf>
    <xf numFmtId="0" fontId="20" fillId="0" borderId="90" xfId="0" applyFont="1" applyFill="1" applyBorder="1" applyAlignment="1" applyProtection="1">
      <alignment/>
      <protection/>
    </xf>
    <xf numFmtId="0" fontId="20" fillId="0" borderId="91" xfId="0" applyFont="1" applyFill="1" applyBorder="1" applyAlignment="1" applyProtection="1">
      <alignment/>
      <protection/>
    </xf>
    <xf numFmtId="0" fontId="0" fillId="0" borderId="92" xfId="0" applyFont="1" applyBorder="1" applyAlignment="1" applyProtection="1">
      <alignment/>
      <protection/>
    </xf>
    <xf numFmtId="0" fontId="0" fillId="55" borderId="82" xfId="0" applyFont="1" applyFill="1" applyBorder="1" applyAlignment="1" applyProtection="1">
      <alignment/>
      <protection/>
    </xf>
    <xf numFmtId="0" fontId="0" fillId="55" borderId="100" xfId="0" applyFont="1" applyFill="1" applyBorder="1" applyAlignment="1" applyProtection="1">
      <alignment/>
      <protection/>
    </xf>
    <xf numFmtId="0" fontId="42" fillId="0" borderId="117"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52" fillId="0" borderId="83" xfId="0" applyFont="1" applyFill="1" applyBorder="1" applyAlignment="1" applyProtection="1">
      <alignment/>
      <protection/>
    </xf>
    <xf numFmtId="0" fontId="42" fillId="0" borderId="100" xfId="0" applyFont="1" applyFill="1" applyBorder="1" applyAlignment="1" applyProtection="1">
      <alignment horizontal="center"/>
      <protection/>
    </xf>
    <xf numFmtId="0" fontId="42" fillId="0" borderId="82" xfId="0" applyFont="1" applyFill="1" applyBorder="1" applyAlignment="1" applyProtection="1">
      <alignment horizontal="center"/>
      <protection/>
    </xf>
    <xf numFmtId="0" fontId="42" fillId="0" borderId="101" xfId="0" applyFont="1" applyFill="1" applyBorder="1" applyAlignment="1" applyProtection="1">
      <alignment horizontal="center"/>
      <protection/>
    </xf>
    <xf numFmtId="0" fontId="28" fillId="0" borderId="83" xfId="0" applyFont="1" applyFill="1" applyBorder="1" applyAlignment="1" applyProtection="1">
      <alignment horizontal="left" vertical="top"/>
      <protection/>
    </xf>
    <xf numFmtId="0" fontId="34" fillId="0" borderId="101" xfId="0" applyFont="1" applyFill="1" applyBorder="1" applyAlignment="1" applyProtection="1">
      <alignment/>
      <protection/>
    </xf>
    <xf numFmtId="0" fontId="34" fillId="0" borderId="0" xfId="0" applyFont="1" applyFill="1" applyBorder="1" applyAlignment="1" applyProtection="1">
      <alignment/>
      <protection/>
    </xf>
    <xf numFmtId="0" fontId="34" fillId="0" borderId="82" xfId="0" applyFont="1" applyFill="1" applyBorder="1" applyAlignment="1" applyProtection="1">
      <alignment/>
      <protection/>
    </xf>
    <xf numFmtId="0" fontId="34" fillId="0" borderId="83" xfId="0" applyFont="1" applyFill="1" applyBorder="1" applyAlignment="1" applyProtection="1">
      <alignment/>
      <protection/>
    </xf>
    <xf numFmtId="195" fontId="28" fillId="0" borderId="83" xfId="0" applyNumberFormat="1" applyFont="1" applyFill="1" applyBorder="1" applyAlignment="1" applyProtection="1">
      <alignment horizontal="right" vertical="center"/>
      <protection/>
    </xf>
    <xf numFmtId="0" fontId="28" fillId="0" borderId="83" xfId="0" applyFont="1" applyFill="1" applyBorder="1" applyAlignment="1" applyProtection="1">
      <alignment/>
      <protection/>
    </xf>
    <xf numFmtId="0" fontId="28" fillId="0" borderId="101" xfId="0" applyFont="1" applyFill="1" applyBorder="1" applyAlignment="1" applyProtection="1">
      <alignment/>
      <protection/>
    </xf>
    <xf numFmtId="0" fontId="28" fillId="0" borderId="0" xfId="0" applyFont="1" applyFill="1" applyBorder="1" applyAlignment="1" applyProtection="1">
      <alignment/>
      <protection/>
    </xf>
    <xf numFmtId="194" fontId="20" fillId="39" borderId="103" xfId="0" applyNumberFormat="1" applyFont="1" applyFill="1" applyBorder="1" applyAlignment="1" applyProtection="1">
      <alignment horizontal="left"/>
      <protection/>
    </xf>
    <xf numFmtId="0" fontId="28" fillId="0" borderId="82" xfId="0" applyFont="1" applyFill="1" applyBorder="1" applyAlignment="1" applyProtection="1">
      <alignment/>
      <protection/>
    </xf>
    <xf numFmtId="0" fontId="20" fillId="0" borderId="83" xfId="0" applyFont="1" applyFill="1" applyBorder="1" applyAlignment="1" applyProtection="1">
      <alignment/>
      <protection/>
    </xf>
    <xf numFmtId="0" fontId="28" fillId="0" borderId="91" xfId="0" applyFont="1" applyBorder="1" applyAlignment="1" applyProtection="1">
      <alignment/>
      <protection/>
    </xf>
    <xf numFmtId="196" fontId="35" fillId="0" borderId="110" xfId="0" applyNumberFormat="1" applyFont="1" applyFill="1" applyBorder="1" applyAlignment="1" applyProtection="1">
      <alignment horizontal="right"/>
      <protection locked="0"/>
    </xf>
    <xf numFmtId="196" fontId="35" fillId="0" borderId="101" xfId="0" applyNumberFormat="1" applyFont="1" applyFill="1" applyBorder="1" applyAlignment="1" applyProtection="1">
      <alignment horizontal="right"/>
      <protection/>
    </xf>
    <xf numFmtId="196" fontId="35" fillId="0" borderId="83" xfId="0" applyNumberFormat="1" applyFont="1" applyFill="1" applyBorder="1" applyAlignment="1" applyProtection="1">
      <alignment horizontal="left"/>
      <protection/>
    </xf>
    <xf numFmtId="196" fontId="35" fillId="0" borderId="103" xfId="0" applyNumberFormat="1" applyFont="1" applyFill="1" applyBorder="1" applyAlignment="1" applyProtection="1">
      <alignment horizontal="right"/>
      <protection locked="0"/>
    </xf>
    <xf numFmtId="196" fontId="28" fillId="0" borderId="0" xfId="0" applyNumberFormat="1" applyFont="1" applyFill="1" applyBorder="1" applyAlignment="1" applyProtection="1">
      <alignment horizontal="right"/>
      <protection locked="0"/>
    </xf>
    <xf numFmtId="196" fontId="28" fillId="0" borderId="82" xfId="0" applyNumberFormat="1" applyFont="1" applyFill="1" applyBorder="1" applyAlignment="1" applyProtection="1">
      <alignment/>
      <protection/>
    </xf>
    <xf numFmtId="196" fontId="28" fillId="0" borderId="92" xfId="0" applyNumberFormat="1" applyFont="1" applyFill="1" applyBorder="1" applyAlignment="1" applyProtection="1">
      <alignment/>
      <protection/>
    </xf>
    <xf numFmtId="0" fontId="0" fillId="55" borderId="82" xfId="0" applyFont="1" applyFill="1" applyBorder="1" applyAlignment="1" applyProtection="1">
      <alignment/>
      <protection/>
    </xf>
    <xf numFmtId="0" fontId="0" fillId="55" borderId="0" xfId="0" applyFont="1" applyFill="1" applyBorder="1" applyAlignment="1" applyProtection="1">
      <alignment/>
      <protection/>
    </xf>
    <xf numFmtId="194" fontId="20" fillId="0" borderId="0" xfId="0" applyNumberFormat="1" applyFont="1" applyFill="1" applyBorder="1" applyAlignment="1" applyProtection="1">
      <alignment vertical="center"/>
      <protection/>
    </xf>
    <xf numFmtId="0" fontId="20" fillId="0" borderId="83" xfId="0" applyFont="1" applyBorder="1" applyAlignment="1" applyProtection="1">
      <alignment/>
      <protection/>
    </xf>
    <xf numFmtId="194" fontId="28" fillId="0" borderId="0" xfId="0" applyNumberFormat="1" applyFont="1" applyFill="1" applyBorder="1" applyAlignment="1" applyProtection="1">
      <alignment vertical="center"/>
      <protection/>
    </xf>
    <xf numFmtId="0" fontId="28" fillId="0" borderId="101" xfId="0" applyFont="1" applyBorder="1" applyAlignment="1" applyProtection="1">
      <alignment/>
      <protection/>
    </xf>
    <xf numFmtId="196" fontId="35" fillId="0" borderId="97" xfId="0" applyNumberFormat="1" applyFont="1" applyFill="1" applyBorder="1" applyAlignment="1" applyProtection="1">
      <alignment/>
      <protection/>
    </xf>
    <xf numFmtId="196" fontId="35" fillId="0" borderId="83" xfId="0" applyNumberFormat="1" applyFont="1" applyFill="1" applyBorder="1" applyAlignment="1" applyProtection="1">
      <alignment horizontal="left" vertical="center"/>
      <protection/>
    </xf>
    <xf numFmtId="196" fontId="35" fillId="0" borderId="112" xfId="0" applyNumberFormat="1" applyFont="1" applyFill="1" applyBorder="1" applyAlignment="1" applyProtection="1">
      <alignment horizontal="center"/>
      <protection/>
    </xf>
    <xf numFmtId="196" fontId="28" fillId="0" borderId="117" xfId="0" applyNumberFormat="1" applyFont="1" applyFill="1" applyBorder="1" applyAlignment="1" applyProtection="1">
      <alignment horizontal="center"/>
      <protection/>
    </xf>
    <xf numFmtId="196" fontId="0" fillId="55" borderId="0" xfId="0" applyNumberFormat="1" applyFont="1" applyFill="1" applyBorder="1" applyAlignment="1" applyProtection="1">
      <alignment/>
      <protection/>
    </xf>
    <xf numFmtId="0" fontId="0" fillId="55" borderId="90" xfId="0" applyFont="1" applyFill="1" applyBorder="1" applyAlignment="1" applyProtection="1">
      <alignment/>
      <protection/>
    </xf>
    <xf numFmtId="0" fontId="28" fillId="0" borderId="83" xfId="0" applyFont="1" applyFill="1" applyBorder="1" applyAlignment="1" applyProtection="1">
      <alignment horizontal="left" indent="1"/>
      <protection/>
    </xf>
    <xf numFmtId="196" fontId="35" fillId="0" borderId="82" xfId="0" applyNumberFormat="1" applyFont="1" applyFill="1" applyBorder="1" applyAlignment="1" applyProtection="1">
      <alignment horizontal="left"/>
      <protection/>
    </xf>
    <xf numFmtId="196" fontId="28" fillId="0" borderId="90" xfId="0" applyNumberFormat="1" applyFont="1" applyFill="1" applyBorder="1" applyAlignment="1" applyProtection="1">
      <alignment horizontal="right"/>
      <protection locked="0"/>
    </xf>
    <xf numFmtId="196" fontId="28" fillId="0" borderId="90" xfId="0" applyNumberFormat="1" applyFont="1" applyFill="1" applyBorder="1" applyAlignment="1" applyProtection="1">
      <alignment/>
      <protection/>
    </xf>
    <xf numFmtId="0" fontId="0" fillId="55" borderId="100" xfId="0" applyFont="1" applyFill="1" applyBorder="1" applyAlignment="1" applyProtection="1">
      <alignment/>
      <protection/>
    </xf>
    <xf numFmtId="0" fontId="28" fillId="55" borderId="0" xfId="0" applyFont="1" applyFill="1" applyBorder="1" applyAlignment="1" applyProtection="1">
      <alignment horizontal="left" indent="1"/>
      <protection/>
    </xf>
    <xf numFmtId="0" fontId="28" fillId="55" borderId="0" xfId="0" applyFont="1" applyFill="1" applyBorder="1" applyAlignment="1" applyProtection="1">
      <alignment/>
      <protection/>
    </xf>
    <xf numFmtId="194" fontId="20" fillId="55" borderId="0" xfId="0" applyNumberFormat="1" applyFont="1" applyFill="1" applyBorder="1" applyAlignment="1" applyProtection="1">
      <alignment horizontal="left"/>
      <protection/>
    </xf>
    <xf numFmtId="0" fontId="20" fillId="55" borderId="0" xfId="0" applyFont="1" applyFill="1" applyBorder="1" applyAlignment="1" applyProtection="1">
      <alignment/>
      <protection/>
    </xf>
    <xf numFmtId="194" fontId="28" fillId="55" borderId="0" xfId="0" applyNumberFormat="1" applyFont="1" applyFill="1" applyBorder="1" applyAlignment="1" applyProtection="1">
      <alignment horizontal="left"/>
      <protection/>
    </xf>
    <xf numFmtId="196" fontId="35" fillId="55" borderId="0" xfId="0" applyNumberFormat="1" applyFont="1" applyFill="1" applyBorder="1" applyAlignment="1" applyProtection="1">
      <alignment horizontal="right"/>
      <protection locked="0"/>
    </xf>
    <xf numFmtId="196" fontId="35" fillId="55" borderId="0" xfId="0" applyNumberFormat="1" applyFont="1" applyFill="1" applyBorder="1" applyAlignment="1" applyProtection="1">
      <alignment horizontal="right"/>
      <protection/>
    </xf>
    <xf numFmtId="196" fontId="35" fillId="55" borderId="0" xfId="0" applyNumberFormat="1" applyFont="1" applyFill="1" applyBorder="1" applyAlignment="1" applyProtection="1">
      <alignment horizontal="left"/>
      <protection/>
    </xf>
    <xf numFmtId="196" fontId="28" fillId="55" borderId="0" xfId="0" applyNumberFormat="1" applyFont="1" applyFill="1" applyBorder="1" applyAlignment="1" applyProtection="1">
      <alignment horizontal="right"/>
      <protection locked="0"/>
    </xf>
    <xf numFmtId="196" fontId="28" fillId="55" borderId="0" xfId="0" applyNumberFormat="1" applyFont="1" applyFill="1" applyBorder="1" applyAlignment="1" applyProtection="1">
      <alignment/>
      <protection/>
    </xf>
    <xf numFmtId="196" fontId="30" fillId="0" borderId="103" xfId="0" applyNumberFormat="1" applyFont="1" applyBorder="1" applyAlignment="1" applyProtection="1">
      <alignment horizontal="center"/>
      <protection/>
    </xf>
    <xf numFmtId="196" fontId="28" fillId="55" borderId="0" xfId="0" applyNumberFormat="1" applyFont="1" applyFill="1" applyBorder="1" applyAlignment="1" applyProtection="1">
      <alignment horizontal="right"/>
      <protection/>
    </xf>
    <xf numFmtId="196" fontId="28" fillId="55" borderId="0" xfId="0" applyNumberFormat="1" applyFont="1" applyFill="1" applyBorder="1" applyAlignment="1" applyProtection="1">
      <alignment horizontal="left"/>
      <protection/>
    </xf>
    <xf numFmtId="0" fontId="28" fillId="55" borderId="103" xfId="0" applyFont="1" applyFill="1" applyBorder="1" applyAlignment="1" applyProtection="1">
      <alignment horizontal="center"/>
      <protection locked="0"/>
    </xf>
    <xf numFmtId="191" fontId="28" fillId="55" borderId="0" xfId="0" applyNumberFormat="1" applyFont="1" applyFill="1" applyBorder="1" applyAlignment="1" applyProtection="1">
      <alignment horizontal="right"/>
      <protection locked="0"/>
    </xf>
    <xf numFmtId="191" fontId="28" fillId="55" borderId="0" xfId="0" applyNumberFormat="1" applyFont="1" applyFill="1" applyBorder="1" applyAlignment="1" applyProtection="1">
      <alignment horizontal="right"/>
      <protection/>
    </xf>
    <xf numFmtId="191" fontId="28" fillId="55" borderId="0" xfId="0" applyNumberFormat="1" applyFont="1" applyFill="1" applyBorder="1" applyAlignment="1" applyProtection="1">
      <alignment horizontal="left"/>
      <protection/>
    </xf>
    <xf numFmtId="201" fontId="28" fillId="55" borderId="0" xfId="0" applyNumberFormat="1" applyFont="1" applyFill="1" applyBorder="1" applyAlignment="1" applyProtection="1">
      <alignment horizontal="right"/>
      <protection locked="0"/>
    </xf>
    <xf numFmtId="201" fontId="28" fillId="55" borderId="0" xfId="0" applyNumberFormat="1" applyFont="1" applyFill="1" applyBorder="1" applyAlignment="1" applyProtection="1">
      <alignment/>
      <protection/>
    </xf>
    <xf numFmtId="201" fontId="30" fillId="55" borderId="0" xfId="0" applyNumberFormat="1" applyFont="1" applyFill="1" applyBorder="1" applyAlignment="1" applyProtection="1">
      <alignment horizontal="right"/>
      <protection/>
    </xf>
    <xf numFmtId="194" fontId="28" fillId="39" borderId="103" xfId="0" applyNumberFormat="1" applyFont="1" applyFill="1" applyBorder="1" applyAlignment="1" applyProtection="1">
      <alignment horizontal="left"/>
      <protection/>
    </xf>
    <xf numFmtId="191" fontId="28" fillId="55" borderId="103" xfId="0" applyNumberFormat="1" applyFont="1" applyFill="1" applyBorder="1" applyAlignment="1" applyProtection="1">
      <alignment horizontal="right"/>
      <protection locked="0"/>
    </xf>
    <xf numFmtId="201" fontId="28" fillId="55" borderId="103" xfId="0" applyNumberFormat="1" applyFont="1" applyFill="1" applyBorder="1" applyAlignment="1" applyProtection="1">
      <alignment horizontal="right"/>
      <protection locked="0"/>
    </xf>
    <xf numFmtId="191" fontId="28" fillId="55" borderId="0" xfId="0" applyNumberFormat="1" applyFont="1" applyFill="1" applyBorder="1" applyAlignment="1" applyProtection="1">
      <alignment/>
      <protection/>
    </xf>
    <xf numFmtId="191" fontId="30" fillId="55" borderId="0" xfId="0" applyNumberFormat="1" applyFont="1" applyFill="1" applyBorder="1" applyAlignment="1" applyProtection="1">
      <alignment horizontal="right"/>
      <protection/>
    </xf>
    <xf numFmtId="0" fontId="28" fillId="0" borderId="0" xfId="0" applyFont="1" applyFill="1" applyBorder="1" applyAlignment="1" applyProtection="1">
      <alignment horizontal="center"/>
      <protection/>
    </xf>
    <xf numFmtId="0" fontId="28" fillId="0" borderId="0" xfId="0" applyFont="1" applyBorder="1" applyAlignment="1" applyProtection="1">
      <alignment/>
      <protection/>
    </xf>
    <xf numFmtId="0" fontId="28" fillId="0" borderId="106" xfId="0" applyFont="1" applyFill="1" applyBorder="1" applyAlignment="1" applyProtection="1">
      <alignment/>
      <protection/>
    </xf>
    <xf numFmtId="0" fontId="28" fillId="0" borderId="99" xfId="0" applyFont="1" applyFill="1" applyBorder="1" applyAlignment="1" applyProtection="1">
      <alignment/>
      <protection/>
    </xf>
    <xf numFmtId="0" fontId="28" fillId="0" borderId="118" xfId="0" applyFont="1" applyFill="1" applyBorder="1" applyAlignment="1" applyProtection="1">
      <alignment/>
      <protection/>
    </xf>
    <xf numFmtId="0" fontId="28" fillId="0" borderId="119" xfId="0" applyFont="1" applyFill="1" applyBorder="1" applyAlignment="1" applyProtection="1">
      <alignment horizontal="center"/>
      <protection/>
    </xf>
    <xf numFmtId="0" fontId="28" fillId="0" borderId="108" xfId="0" applyFont="1" applyFill="1" applyBorder="1" applyAlignment="1" applyProtection="1">
      <alignment horizontal="center"/>
      <protection/>
    </xf>
    <xf numFmtId="0" fontId="28" fillId="0" borderId="109" xfId="0" applyFont="1" applyFill="1" applyBorder="1" applyAlignment="1" applyProtection="1">
      <alignment/>
      <protection/>
    </xf>
    <xf numFmtId="0" fontId="28" fillId="0" borderId="93" xfId="0" applyFont="1" applyFill="1" applyBorder="1" applyAlignment="1" applyProtection="1">
      <alignment/>
      <protection/>
    </xf>
    <xf numFmtId="0" fontId="28" fillId="0" borderId="107" xfId="0" applyFont="1" applyBorder="1" applyAlignment="1" applyProtection="1">
      <alignment/>
      <protection/>
    </xf>
    <xf numFmtId="0" fontId="28" fillId="0" borderId="93" xfId="0" applyFont="1" applyBorder="1" applyAlignment="1" applyProtection="1">
      <alignment/>
      <protection/>
    </xf>
    <xf numFmtId="0" fontId="28" fillId="0" borderId="111" xfId="0" applyFont="1" applyFill="1" applyBorder="1" applyAlignment="1" applyProtection="1">
      <alignment/>
      <protection/>
    </xf>
    <xf numFmtId="0" fontId="28" fillId="0" borderId="103" xfId="0" applyFont="1" applyFill="1" applyBorder="1" applyAlignment="1" applyProtection="1">
      <alignment/>
      <protection/>
    </xf>
    <xf numFmtId="0" fontId="28" fillId="0" borderId="120" xfId="0" applyFont="1" applyFill="1" applyBorder="1" applyAlignment="1" applyProtection="1">
      <alignment/>
      <protection/>
    </xf>
    <xf numFmtId="0" fontId="28" fillId="0" borderId="102" xfId="0" applyFont="1" applyFill="1" applyBorder="1" applyAlignment="1" applyProtection="1">
      <alignment horizontal="center"/>
      <protection/>
    </xf>
    <xf numFmtId="0" fontId="28" fillId="0" borderId="120" xfId="0" applyFont="1" applyFill="1" applyBorder="1" applyAlignment="1" applyProtection="1">
      <alignment horizontal="center"/>
      <protection/>
    </xf>
    <xf numFmtId="0" fontId="28" fillId="0" borderId="102" xfId="0" applyFont="1" applyFill="1" applyBorder="1" applyAlignment="1" applyProtection="1">
      <alignment/>
      <protection/>
    </xf>
    <xf numFmtId="0" fontId="28" fillId="0" borderId="103" xfId="0" applyFont="1" applyBorder="1" applyAlignment="1" applyProtection="1">
      <alignment/>
      <protection/>
    </xf>
    <xf numFmtId="0" fontId="28" fillId="0" borderId="102" xfId="0" applyFont="1" applyBorder="1" applyAlignment="1" applyProtection="1">
      <alignment/>
      <protection/>
    </xf>
    <xf numFmtId="0" fontId="28" fillId="0" borderId="117" xfId="0" applyFont="1" applyFill="1" applyBorder="1" applyAlignment="1" applyProtection="1">
      <alignment/>
      <protection/>
    </xf>
    <xf numFmtId="196" fontId="28" fillId="39" borderId="0" xfId="0" applyNumberFormat="1" applyFont="1" applyFill="1" applyBorder="1" applyAlignment="1" applyProtection="1">
      <alignment horizontal="right"/>
      <protection/>
    </xf>
    <xf numFmtId="196" fontId="28" fillId="0" borderId="93" xfId="0" applyNumberFormat="1" applyFont="1" applyFill="1" applyBorder="1" applyAlignment="1" applyProtection="1">
      <alignment/>
      <protection/>
    </xf>
    <xf numFmtId="196" fontId="28" fillId="0" borderId="109" xfId="0" applyNumberFormat="1" applyFont="1" applyFill="1" applyBorder="1" applyAlignment="1" applyProtection="1">
      <alignment horizontal="left"/>
      <protection/>
    </xf>
    <xf numFmtId="0" fontId="0" fillId="0" borderId="83" xfId="0" applyFont="1" applyBorder="1" applyAlignment="1" applyProtection="1">
      <alignment/>
      <protection/>
    </xf>
    <xf numFmtId="196" fontId="28" fillId="55" borderId="99" xfId="0" applyNumberFormat="1" applyFont="1" applyFill="1" applyBorder="1" applyAlignment="1" applyProtection="1">
      <alignment/>
      <protection/>
    </xf>
    <xf numFmtId="196" fontId="28" fillId="0" borderId="83" xfId="0" applyNumberFormat="1" applyFont="1" applyFill="1" applyBorder="1" applyAlignment="1" applyProtection="1">
      <alignment/>
      <protection/>
    </xf>
    <xf numFmtId="0" fontId="28" fillId="0" borderId="92" xfId="0" applyFont="1" applyFill="1" applyBorder="1" applyAlignment="1" applyProtection="1">
      <alignment/>
      <protection/>
    </xf>
    <xf numFmtId="0" fontId="28" fillId="55" borderId="92" xfId="0" applyFont="1" applyFill="1" applyBorder="1" applyAlignment="1" applyProtection="1">
      <alignment/>
      <protection/>
    </xf>
    <xf numFmtId="0" fontId="28" fillId="55" borderId="83" xfId="0" applyFont="1" applyFill="1" applyBorder="1" applyAlignment="1" applyProtection="1">
      <alignment/>
      <protection/>
    </xf>
    <xf numFmtId="0" fontId="28" fillId="0" borderId="90" xfId="0" applyFont="1" applyFill="1" applyBorder="1" applyAlignment="1" applyProtection="1">
      <alignment/>
      <protection/>
    </xf>
    <xf numFmtId="196" fontId="28" fillId="55" borderId="103" xfId="0" applyNumberFormat="1" applyFont="1" applyFill="1" applyBorder="1" applyAlignment="1" applyProtection="1">
      <alignment horizontal="right"/>
      <protection locked="0"/>
    </xf>
    <xf numFmtId="0" fontId="28" fillId="0" borderId="91" xfId="0" applyFont="1" applyFill="1" applyBorder="1" applyAlignment="1" applyProtection="1">
      <alignment horizontal="center" vertical="center"/>
      <protection/>
    </xf>
    <xf numFmtId="0" fontId="28" fillId="55" borderId="85" xfId="0" applyFont="1" applyFill="1" applyBorder="1" applyAlignment="1" applyProtection="1">
      <alignment/>
      <protection/>
    </xf>
    <xf numFmtId="0" fontId="28" fillId="55" borderId="90" xfId="0" applyFont="1" applyFill="1" applyBorder="1" applyAlignment="1" applyProtection="1">
      <alignment/>
      <protection/>
    </xf>
    <xf numFmtId="196" fontId="28" fillId="0" borderId="101" xfId="0" applyNumberFormat="1" applyFont="1" applyFill="1" applyBorder="1" applyAlignment="1" applyProtection="1">
      <alignment/>
      <protection/>
    </xf>
    <xf numFmtId="0" fontId="0" fillId="55" borderId="85" xfId="0" applyFont="1" applyFill="1" applyBorder="1" applyAlignment="1" applyProtection="1">
      <alignment/>
      <protection/>
    </xf>
    <xf numFmtId="0" fontId="28" fillId="0" borderId="110" xfId="0" applyFont="1" applyFill="1" applyBorder="1" applyAlignment="1" applyProtection="1">
      <alignment/>
      <protection/>
    </xf>
    <xf numFmtId="0" fontId="28" fillId="0" borderId="95" xfId="0" applyFont="1" applyFill="1" applyBorder="1" applyAlignment="1" applyProtection="1">
      <alignment/>
      <protection/>
    </xf>
    <xf numFmtId="0" fontId="28" fillId="0" borderId="104" xfId="0" applyFont="1" applyFill="1" applyBorder="1" applyAlignment="1" applyProtection="1">
      <alignment/>
      <protection/>
    </xf>
    <xf numFmtId="0" fontId="28" fillId="0" borderId="95" xfId="0" applyFont="1" applyFill="1" applyBorder="1" applyAlignment="1" applyProtection="1">
      <alignment/>
      <protection locked="0"/>
    </xf>
    <xf numFmtId="196" fontId="28" fillId="0" borderId="95" xfId="0" applyNumberFormat="1" applyFont="1" applyFill="1" applyBorder="1" applyAlignment="1" applyProtection="1">
      <alignment/>
      <protection/>
    </xf>
    <xf numFmtId="196" fontId="28" fillId="0" borderId="110" xfId="0" applyNumberFormat="1" applyFont="1" applyFill="1" applyBorder="1" applyAlignment="1" applyProtection="1">
      <alignment/>
      <protection/>
    </xf>
    <xf numFmtId="196" fontId="35" fillId="0" borderId="103" xfId="0" applyNumberFormat="1" applyFont="1" applyFill="1" applyBorder="1" applyAlignment="1" applyProtection="1">
      <alignment/>
      <protection/>
    </xf>
    <xf numFmtId="196" fontId="28" fillId="0" borderId="0" xfId="0" applyNumberFormat="1" applyFont="1" applyFill="1" applyBorder="1" applyAlignment="1" applyProtection="1">
      <alignment/>
      <protection/>
    </xf>
    <xf numFmtId="0" fontId="0" fillId="55" borderId="94" xfId="0" applyFont="1" applyFill="1" applyBorder="1" applyAlignment="1" applyProtection="1">
      <alignment/>
      <protection/>
    </xf>
    <xf numFmtId="0" fontId="28" fillId="0" borderId="83" xfId="0" applyFont="1" applyBorder="1" applyAlignment="1" applyProtection="1">
      <alignment/>
      <protection/>
    </xf>
    <xf numFmtId="0" fontId="28" fillId="0" borderId="95" xfId="0" applyFont="1" applyBorder="1" applyAlignment="1" applyProtection="1">
      <alignment/>
      <protection/>
    </xf>
    <xf numFmtId="0" fontId="28" fillId="0" borderId="0" xfId="0" applyFont="1" applyAlignment="1" applyProtection="1">
      <alignment/>
      <protection/>
    </xf>
    <xf numFmtId="0" fontId="28" fillId="0" borderId="121" xfId="0" applyFont="1" applyBorder="1" applyAlignment="1" applyProtection="1">
      <alignment/>
      <protection/>
    </xf>
    <xf numFmtId="0" fontId="30" fillId="0" borderId="35" xfId="0" applyFont="1" applyBorder="1" applyAlignment="1" applyProtection="1">
      <alignment horizontal="center" vertical="center"/>
      <protection locked="0"/>
    </xf>
    <xf numFmtId="0" fontId="0" fillId="0" borderId="122" xfId="0" applyFont="1" applyBorder="1" applyAlignment="1" applyProtection="1">
      <alignment/>
      <protection/>
    </xf>
    <xf numFmtId="0" fontId="30" fillId="0" borderId="0" xfId="0" applyFont="1" applyBorder="1" applyAlignment="1" applyProtection="1">
      <alignment horizontal="center" vertical="center"/>
      <protection/>
    </xf>
    <xf numFmtId="0" fontId="0" fillId="0" borderId="101" xfId="0" applyFont="1" applyBorder="1" applyAlignment="1" applyProtection="1">
      <alignment/>
      <protection/>
    </xf>
    <xf numFmtId="0" fontId="28" fillId="0" borderId="83" xfId="0" applyFont="1" applyFill="1" applyBorder="1" applyAlignment="1" applyProtection="1">
      <alignment horizontal="left" vertical="center"/>
      <protection/>
    </xf>
    <xf numFmtId="200" fontId="28" fillId="0" borderId="0" xfId="0" applyNumberFormat="1" applyFont="1" applyBorder="1" applyAlignment="1" applyProtection="1">
      <alignment/>
      <protection/>
    </xf>
    <xf numFmtId="0" fontId="28" fillId="0" borderId="85" xfId="0" applyFont="1" applyBorder="1" applyAlignment="1" applyProtection="1">
      <alignment/>
      <protection/>
    </xf>
    <xf numFmtId="0" fontId="30" fillId="55" borderId="92" xfId="0" applyFont="1" applyFill="1" applyBorder="1" applyAlignment="1" applyProtection="1">
      <alignment/>
      <protection/>
    </xf>
    <xf numFmtId="0" fontId="0" fillId="55" borderId="83" xfId="0" applyFont="1" applyFill="1" applyBorder="1" applyAlignment="1" applyProtection="1">
      <alignment/>
      <protection/>
    </xf>
    <xf numFmtId="0" fontId="28" fillId="55" borderId="101" xfId="0" applyFont="1" applyFill="1" applyBorder="1" applyAlignment="1" applyProtection="1">
      <alignment/>
      <protection/>
    </xf>
    <xf numFmtId="0" fontId="28" fillId="0" borderId="123" xfId="0" applyFont="1" applyFill="1" applyBorder="1" applyAlignment="1" applyProtection="1">
      <alignment/>
      <protection/>
    </xf>
    <xf numFmtId="202" fontId="28" fillId="0" borderId="48" xfId="0" applyNumberFormat="1" applyFont="1" applyFill="1" applyBorder="1" applyAlignment="1" applyProtection="1">
      <alignment/>
      <protection locked="0"/>
    </xf>
    <xf numFmtId="0" fontId="28" fillId="0" borderId="124" xfId="0" applyFont="1" applyBorder="1" applyAlignment="1" applyProtection="1">
      <alignment/>
      <protection/>
    </xf>
    <xf numFmtId="0" fontId="28" fillId="0" borderId="125" xfId="0" applyFont="1" applyFill="1" applyBorder="1" applyAlignment="1" applyProtection="1">
      <alignment/>
      <protection/>
    </xf>
    <xf numFmtId="0" fontId="28" fillId="0" borderId="109" xfId="0" applyFont="1" applyBorder="1" applyAlignment="1" applyProtection="1">
      <alignment/>
      <protection/>
    </xf>
    <xf numFmtId="0" fontId="28" fillId="0" borderId="83" xfId="0" applyFont="1" applyFill="1" applyBorder="1" applyAlignment="1" applyProtection="1">
      <alignment vertical="center"/>
      <protection/>
    </xf>
    <xf numFmtId="0" fontId="28" fillId="0" borderId="126" xfId="0" applyFont="1" applyFill="1" applyBorder="1" applyAlignment="1" applyProtection="1">
      <alignment/>
      <protection/>
    </xf>
    <xf numFmtId="0" fontId="28" fillId="0" borderId="85" xfId="0" applyFont="1" applyFill="1" applyBorder="1" applyAlignment="1" applyProtection="1">
      <alignment/>
      <protection/>
    </xf>
    <xf numFmtId="0" fontId="0" fillId="0" borderId="91" xfId="0" applyFont="1" applyBorder="1" applyAlignment="1" applyProtection="1">
      <alignment/>
      <protection/>
    </xf>
    <xf numFmtId="0" fontId="0" fillId="0" borderId="92" xfId="0" applyFont="1" applyBorder="1" applyAlignment="1" applyProtection="1">
      <alignment/>
      <protection/>
    </xf>
    <xf numFmtId="0" fontId="28" fillId="0" borderId="85"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31" fillId="0" borderId="0" xfId="0" applyFont="1" applyFill="1" applyBorder="1" applyAlignment="1" applyProtection="1">
      <alignment horizontal="left"/>
      <protection/>
    </xf>
    <xf numFmtId="0" fontId="28" fillId="55" borderId="0" xfId="0" applyFont="1" applyFill="1" applyBorder="1" applyAlignment="1" applyProtection="1">
      <alignment horizontal="left" vertical="center" wrapText="1" indent="1"/>
      <protection/>
    </xf>
    <xf numFmtId="0" fontId="19" fillId="0" borderId="0" xfId="0" applyFont="1" applyAlignment="1" applyProtection="1">
      <alignment wrapText="1"/>
      <protection/>
    </xf>
    <xf numFmtId="187" fontId="0" fillId="0" borderId="0" xfId="317" applyNumberFormat="1" applyFont="1" applyFill="1" applyBorder="1" applyAlignment="1" applyProtection="1">
      <alignment vertical="center"/>
      <protection/>
    </xf>
    <xf numFmtId="0" fontId="42" fillId="56" borderId="20" xfId="0" applyFont="1" applyFill="1" applyBorder="1" applyAlignment="1" applyProtection="1">
      <alignment horizontal="left" vertical="center"/>
      <protection/>
    </xf>
    <xf numFmtId="0" fontId="42" fillId="56" borderId="21" xfId="0" applyFont="1" applyFill="1" applyBorder="1" applyAlignment="1" applyProtection="1">
      <alignment horizontal="left" vertical="center"/>
      <protection/>
    </xf>
    <xf numFmtId="0" fontId="44" fillId="56" borderId="22" xfId="0" applyFont="1" applyFill="1" applyBorder="1" applyAlignment="1" applyProtection="1">
      <alignment vertical="center"/>
      <protection/>
    </xf>
    <xf numFmtId="0" fontId="20" fillId="39" borderId="23" xfId="0" applyFont="1" applyFill="1" applyBorder="1" applyAlignment="1" applyProtection="1">
      <alignment horizontal="left" vertical="center" indent="1"/>
      <protection/>
    </xf>
    <xf numFmtId="0" fontId="44" fillId="56" borderId="24" xfId="0" applyFont="1" applyFill="1" applyBorder="1" applyAlignment="1" applyProtection="1">
      <alignment horizontal="left" vertical="center"/>
      <protection/>
    </xf>
    <xf numFmtId="0" fontId="20" fillId="39" borderId="19" xfId="0" applyFont="1" applyFill="1" applyBorder="1" applyAlignment="1" applyProtection="1">
      <alignment horizontal="left" vertical="center" indent="1"/>
      <protection/>
    </xf>
    <xf numFmtId="0" fontId="44" fillId="56" borderId="26" xfId="0" applyFont="1" applyFill="1" applyBorder="1" applyAlignment="1" applyProtection="1">
      <alignment vertical="center"/>
      <protection/>
    </xf>
    <xf numFmtId="194" fontId="20" fillId="39" borderId="38" xfId="0" applyNumberFormat="1" applyFont="1" applyFill="1" applyBorder="1" applyAlignment="1" applyProtection="1">
      <alignment horizontal="left" vertical="center" indent="1"/>
      <protection/>
    </xf>
    <xf numFmtId="0" fontId="44" fillId="56" borderId="27" xfId="0" applyFont="1" applyFill="1" applyBorder="1" applyAlignment="1" applyProtection="1">
      <alignment horizontal="left" vertical="center"/>
      <protection/>
    </xf>
    <xf numFmtId="194" fontId="20" fillId="39" borderId="39" xfId="0" applyNumberFormat="1" applyFont="1" applyFill="1" applyBorder="1" applyAlignment="1" applyProtection="1">
      <alignment horizontal="left" vertical="center" indent="1"/>
      <protection/>
    </xf>
    <xf numFmtId="0" fontId="42" fillId="0" borderId="0" xfId="0" applyFont="1" applyFill="1" applyBorder="1" applyAlignment="1" applyProtection="1">
      <alignment horizontal="left"/>
      <protection/>
    </xf>
    <xf numFmtId="0" fontId="28" fillId="0" borderId="0" xfId="0" applyFont="1" applyFill="1" applyBorder="1" applyAlignment="1" applyProtection="1">
      <alignment horizontal="left" indent="1"/>
      <protection/>
    </xf>
    <xf numFmtId="187" fontId="20" fillId="0" borderId="0" xfId="317" applyNumberFormat="1" applyFont="1" applyFill="1" applyBorder="1" applyAlignment="1" applyProtection="1">
      <alignment/>
      <protection/>
    </xf>
    <xf numFmtId="0" fontId="28" fillId="0" borderId="0" xfId="0" applyFont="1" applyFill="1" applyBorder="1" applyAlignment="1" applyProtection="1">
      <alignment horizontal="left"/>
      <protection/>
    </xf>
    <xf numFmtId="0" fontId="44" fillId="0" borderId="0" xfId="0" applyFont="1" applyFill="1" applyBorder="1" applyAlignment="1" applyProtection="1">
      <alignment horizontal="center"/>
      <protection/>
    </xf>
    <xf numFmtId="196" fontId="38" fillId="39" borderId="103" xfId="0" applyNumberFormat="1" applyFont="1" applyFill="1" applyBorder="1" applyAlignment="1" applyProtection="1">
      <alignment/>
      <protection/>
    </xf>
    <xf numFmtId="191" fontId="21" fillId="55" borderId="0" xfId="0" applyNumberFormat="1" applyFont="1" applyFill="1" applyBorder="1" applyAlignment="1" applyProtection="1">
      <alignment/>
      <protection/>
    </xf>
    <xf numFmtId="187" fontId="0" fillId="0" borderId="0" xfId="317" applyNumberFormat="1" applyFont="1" applyFill="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28" fillId="0" borderId="0" xfId="0" applyFont="1" applyAlignment="1" applyProtection="1">
      <alignment horizontal="left" indent="1"/>
      <protection/>
    </xf>
    <xf numFmtId="0" fontId="28" fillId="0" borderId="0" xfId="0" applyFont="1" applyAlignment="1" applyProtection="1">
      <alignment horizontal="left"/>
      <protection/>
    </xf>
    <xf numFmtId="0" fontId="0" fillId="55" borderId="0" xfId="374" applyFill="1" applyProtection="1">
      <alignment/>
      <protection/>
    </xf>
    <xf numFmtId="0" fontId="46" fillId="55" borderId="0" xfId="374" applyFont="1" applyFill="1" applyAlignment="1" applyProtection="1">
      <alignment horizontal="left" wrapText="1"/>
      <protection/>
    </xf>
    <xf numFmtId="0" fontId="38" fillId="55" borderId="0" xfId="374" applyFont="1" applyFill="1" applyBorder="1" applyAlignment="1" applyProtection="1">
      <alignment horizontal="left"/>
      <protection/>
    </xf>
    <xf numFmtId="0" fontId="21" fillId="39" borderId="35" xfId="374" applyFont="1" applyFill="1" applyBorder="1" applyAlignment="1" applyProtection="1">
      <alignment vertical="center"/>
      <protection/>
    </xf>
    <xf numFmtId="49" fontId="21" fillId="55" borderId="27" xfId="374" applyNumberFormat="1" applyFont="1" applyFill="1" applyBorder="1" applyAlignment="1" applyProtection="1">
      <alignment vertical="center"/>
      <protection locked="0"/>
    </xf>
    <xf numFmtId="0" fontId="42" fillId="56" borderId="0" xfId="374" applyFont="1" applyFill="1" applyBorder="1" applyAlignment="1" applyProtection="1">
      <alignment horizontal="left" vertical="center"/>
      <protection/>
    </xf>
    <xf numFmtId="0" fontId="28" fillId="55" borderId="0" xfId="374" applyFont="1" applyFill="1" applyProtection="1">
      <alignment/>
      <protection/>
    </xf>
    <xf numFmtId="0" fontId="30" fillId="39" borderId="127" xfId="374" applyFont="1" applyFill="1" applyBorder="1" applyAlignment="1" applyProtection="1">
      <alignment/>
      <protection/>
    </xf>
    <xf numFmtId="0" fontId="30" fillId="39" borderId="23" xfId="374" applyFont="1" applyFill="1" applyBorder="1" applyAlignment="1" applyProtection="1">
      <alignment/>
      <protection/>
    </xf>
    <xf numFmtId="0" fontId="30" fillId="39" borderId="19" xfId="374" applyFont="1" applyFill="1" applyBorder="1" applyAlignment="1" applyProtection="1">
      <alignment wrapText="1"/>
      <protection/>
    </xf>
    <xf numFmtId="0" fontId="30" fillId="55" borderId="128" xfId="374" applyFont="1" applyFill="1" applyBorder="1" applyAlignment="1" applyProtection="1">
      <alignment vertical="center"/>
      <protection/>
    </xf>
    <xf numFmtId="181" fontId="30" fillId="4" borderId="35" xfId="374" applyNumberFormat="1" applyFont="1" applyFill="1" applyBorder="1" applyAlignment="1" applyProtection="1">
      <alignment vertical="center" wrapText="1"/>
      <protection/>
    </xf>
    <xf numFmtId="181" fontId="30" fillId="4" borderId="36" xfId="374" applyNumberFormat="1" applyFont="1" applyFill="1" applyBorder="1" applyAlignment="1" applyProtection="1">
      <alignment vertical="center" wrapText="1"/>
      <protection/>
    </xf>
    <xf numFmtId="0" fontId="30" fillId="55" borderId="129" xfId="374" applyFont="1" applyFill="1" applyBorder="1" applyAlignment="1" applyProtection="1">
      <alignment vertical="center"/>
      <protection/>
    </xf>
    <xf numFmtId="181" fontId="30" fillId="4" borderId="33" xfId="374" applyNumberFormat="1" applyFont="1" applyFill="1" applyBorder="1" applyAlignment="1" applyProtection="1">
      <alignment vertical="center" wrapText="1"/>
      <protection/>
    </xf>
    <xf numFmtId="181" fontId="30" fillId="4" borderId="37" xfId="374" applyNumberFormat="1" applyFont="1" applyFill="1" applyBorder="1" applyAlignment="1" applyProtection="1">
      <alignment vertical="center" wrapText="1"/>
      <protection/>
    </xf>
    <xf numFmtId="0" fontId="21" fillId="55" borderId="41" xfId="374" applyFont="1" applyFill="1" applyBorder="1" applyProtection="1">
      <alignment/>
      <protection/>
    </xf>
    <xf numFmtId="0" fontId="21" fillId="55" borderId="64" xfId="374" applyFont="1" applyFill="1" applyBorder="1" applyProtection="1">
      <alignment/>
      <protection/>
    </xf>
    <xf numFmtId="181" fontId="30" fillId="4" borderId="48" xfId="374" applyNumberFormat="1" applyFont="1" applyFill="1" applyBorder="1" applyAlignment="1" applyProtection="1">
      <alignment vertical="center" wrapText="1"/>
      <protection/>
    </xf>
    <xf numFmtId="0" fontId="28" fillId="0" borderId="0" xfId="374" applyFont="1" applyFill="1" applyProtection="1">
      <alignment/>
      <protection/>
    </xf>
    <xf numFmtId="0" fontId="28" fillId="55" borderId="0" xfId="374" applyFont="1" applyFill="1" applyBorder="1" applyProtection="1">
      <alignment/>
      <protection/>
    </xf>
    <xf numFmtId="0" fontId="42" fillId="56" borderId="0" xfId="374" applyFont="1" applyFill="1" applyBorder="1" applyAlignment="1" applyProtection="1">
      <alignment horizontal="center"/>
      <protection/>
    </xf>
    <xf numFmtId="0" fontId="28" fillId="55" borderId="0" xfId="374" applyFont="1" applyFill="1" applyBorder="1" applyAlignment="1" applyProtection="1">
      <alignment/>
      <protection/>
    </xf>
    <xf numFmtId="0" fontId="30" fillId="39" borderId="35" xfId="374" applyFont="1" applyFill="1" applyBorder="1" applyAlignment="1" applyProtection="1">
      <alignment vertical="center"/>
      <protection/>
    </xf>
    <xf numFmtId="181" fontId="28" fillId="55" borderId="27" xfId="374" applyNumberFormat="1" applyFont="1" applyFill="1" applyBorder="1" applyAlignment="1" applyProtection="1">
      <alignment horizontal="left" vertical="center" wrapText="1"/>
      <protection locked="0"/>
    </xf>
    <xf numFmtId="0" fontId="28" fillId="55" borderId="27" xfId="374" applyFont="1" applyFill="1" applyBorder="1" applyAlignment="1" applyProtection="1">
      <alignment horizontal="left" vertical="center"/>
      <protection/>
    </xf>
    <xf numFmtId="181" fontId="28" fillId="55" borderId="38" xfId="374" applyNumberFormat="1" applyFont="1" applyFill="1" applyBorder="1" applyAlignment="1" applyProtection="1">
      <alignment horizontal="left" vertical="center" wrapText="1"/>
      <protection locked="0"/>
    </xf>
    <xf numFmtId="0" fontId="28" fillId="55" borderId="0" xfId="374" applyFont="1" applyFill="1" applyAlignment="1" applyProtection="1">
      <alignment horizontal="left"/>
      <protection/>
    </xf>
    <xf numFmtId="0" fontId="28" fillId="55" borderId="0" xfId="374" applyFont="1" applyFill="1" applyBorder="1" applyAlignment="1" applyProtection="1">
      <alignment horizontal="left"/>
      <protection/>
    </xf>
    <xf numFmtId="0" fontId="30" fillId="39" borderId="27" xfId="374" applyFont="1" applyFill="1" applyBorder="1" applyAlignment="1" applyProtection="1">
      <alignment vertical="center" wrapText="1"/>
      <protection/>
    </xf>
    <xf numFmtId="0" fontId="28" fillId="55" borderId="27" xfId="374" applyFont="1" applyFill="1" applyBorder="1" applyAlignment="1" applyProtection="1">
      <alignment/>
      <protection locked="0"/>
    </xf>
    <xf numFmtId="0" fontId="30" fillId="39" borderId="35" xfId="374" applyFont="1" applyFill="1" applyBorder="1" applyAlignment="1" applyProtection="1">
      <alignment vertical="center" wrapText="1"/>
      <protection/>
    </xf>
    <xf numFmtId="195" fontId="28" fillId="55" borderId="27" xfId="374" applyNumberFormat="1" applyFont="1" applyFill="1" applyBorder="1" applyAlignment="1" applyProtection="1">
      <alignment horizontal="right" vertical="center" wrapText="1"/>
      <protection locked="0"/>
    </xf>
    <xf numFmtId="0" fontId="28" fillId="0" borderId="0" xfId="374" applyFont="1" applyProtection="1">
      <alignment/>
      <protection/>
    </xf>
    <xf numFmtId="203" fontId="28" fillId="55" borderId="27" xfId="374" applyNumberFormat="1" applyFont="1" applyFill="1" applyBorder="1" applyAlignment="1" applyProtection="1">
      <alignment horizontal="right" vertical="center" wrapText="1"/>
      <protection locked="0"/>
    </xf>
    <xf numFmtId="0" fontId="0" fillId="55" borderId="0" xfId="374" applyFill="1" applyAlignment="1" applyProtection="1">
      <alignment horizontal="left"/>
      <protection/>
    </xf>
    <xf numFmtId="0" fontId="28" fillId="55" borderId="0" xfId="374" applyFont="1" applyFill="1" applyBorder="1" applyAlignment="1" applyProtection="1">
      <alignment vertical="center"/>
      <protection/>
    </xf>
    <xf numFmtId="181" fontId="28" fillId="55" borderId="0" xfId="374" applyNumberFormat="1" applyFont="1" applyFill="1" applyBorder="1" applyAlignment="1" applyProtection="1">
      <alignment horizontal="left" vertical="center" wrapText="1"/>
      <protection locked="0"/>
    </xf>
    <xf numFmtId="0" fontId="19" fillId="55" borderId="0" xfId="0" applyFont="1" applyFill="1" applyBorder="1" applyAlignment="1" applyProtection="1">
      <alignment horizontal="left" wrapText="1"/>
      <protection/>
    </xf>
    <xf numFmtId="0" fontId="19" fillId="55" borderId="0" xfId="0" applyFont="1" applyFill="1" applyBorder="1" applyAlignment="1" applyProtection="1">
      <alignment wrapText="1"/>
      <protection/>
    </xf>
    <xf numFmtId="0" fontId="31" fillId="55" borderId="0" xfId="0" applyFont="1" applyFill="1" applyBorder="1" applyAlignment="1" applyProtection="1">
      <alignment/>
      <protection/>
    </xf>
    <xf numFmtId="0" fontId="38" fillId="55" borderId="41" xfId="0" applyFont="1" applyFill="1" applyBorder="1" applyAlignment="1" applyProtection="1">
      <alignment/>
      <protection/>
    </xf>
    <xf numFmtId="0" fontId="38" fillId="55" borderId="42" xfId="0" applyFont="1" applyFill="1" applyBorder="1" applyAlignment="1" applyProtection="1">
      <alignment/>
      <protection/>
    </xf>
    <xf numFmtId="0" fontId="38" fillId="55" borderId="64" xfId="0" applyFont="1" applyFill="1" applyBorder="1" applyAlignment="1" applyProtection="1">
      <alignment/>
      <protection/>
    </xf>
    <xf numFmtId="0" fontId="0" fillId="55" borderId="27" xfId="0" applyFill="1" applyBorder="1" applyAlignment="1" applyProtection="1">
      <alignment horizontal="center" vertical="center"/>
      <protection locked="0"/>
    </xf>
    <xf numFmtId="0" fontId="0" fillId="0" borderId="0" xfId="0" applyFill="1" applyAlignment="1" applyProtection="1">
      <alignment horizontal="center"/>
      <protection/>
    </xf>
    <xf numFmtId="0" fontId="42" fillId="56" borderId="35" xfId="0" applyFont="1" applyFill="1" applyBorder="1" applyAlignment="1" applyProtection="1">
      <alignment horizontal="left" vertical="center"/>
      <protection/>
    </xf>
    <xf numFmtId="0" fontId="42" fillId="56" borderId="130" xfId="0" applyFont="1" applyFill="1" applyBorder="1" applyAlignment="1" applyProtection="1">
      <alignment vertical="center"/>
      <protection/>
    </xf>
    <xf numFmtId="0" fontId="69" fillId="55" borderId="0" xfId="0" applyFont="1" applyFill="1" applyAlignment="1" applyProtection="1">
      <alignment horizontal="center"/>
      <protection/>
    </xf>
    <xf numFmtId="0" fontId="0" fillId="55" borderId="0" xfId="0" applyFill="1" applyAlignment="1" applyProtection="1">
      <alignment vertical="top"/>
      <protection/>
    </xf>
    <xf numFmtId="0" fontId="30" fillId="4" borderId="131" xfId="0" applyFont="1" applyFill="1" applyBorder="1" applyAlignment="1" applyProtection="1">
      <alignment horizontal="center" vertical="center" wrapText="1"/>
      <protection/>
    </xf>
    <xf numFmtId="0" fontId="30" fillId="58" borderId="26" xfId="0" applyFont="1" applyFill="1" applyBorder="1" applyAlignment="1" applyProtection="1">
      <alignment horizontal="center" vertical="center" wrapText="1"/>
      <protection/>
    </xf>
    <xf numFmtId="0" fontId="30" fillId="4" borderId="26" xfId="0" applyFont="1" applyFill="1" applyBorder="1" applyAlignment="1" applyProtection="1">
      <alignment horizontal="center" vertical="center" wrapText="1"/>
      <protection/>
    </xf>
    <xf numFmtId="0" fontId="30" fillId="55" borderId="27" xfId="0" applyFont="1" applyFill="1" applyBorder="1" applyAlignment="1" applyProtection="1">
      <alignment horizontal="center" vertical="center"/>
      <protection/>
    </xf>
    <xf numFmtId="0" fontId="30" fillId="4" borderId="27" xfId="0" applyFont="1" applyFill="1" applyBorder="1" applyAlignment="1" applyProtection="1">
      <alignment horizontal="center" vertical="center" wrapText="1"/>
      <protection/>
    </xf>
    <xf numFmtId="0" fontId="28" fillId="55" borderId="99" xfId="0" applyFont="1" applyFill="1" applyBorder="1" applyAlignment="1" applyProtection="1">
      <alignment vertical="center"/>
      <protection/>
    </xf>
    <xf numFmtId="0" fontId="30" fillId="58" borderId="27" xfId="0" applyFont="1" applyFill="1" applyBorder="1" applyAlignment="1" applyProtection="1">
      <alignment horizontal="center" vertical="center" wrapText="1"/>
      <protection/>
    </xf>
    <xf numFmtId="0" fontId="0" fillId="55" borderId="0" xfId="0" applyFill="1" applyBorder="1" applyAlignment="1" applyProtection="1">
      <alignment vertical="top"/>
      <protection/>
    </xf>
    <xf numFmtId="181" fontId="28" fillId="55" borderId="27" xfId="0" applyNumberFormat="1" applyFont="1" applyFill="1" applyBorder="1" applyAlignment="1" applyProtection="1">
      <alignment horizontal="left" vertical="center"/>
      <protection locked="0"/>
    </xf>
    <xf numFmtId="181" fontId="28" fillId="59" borderId="132" xfId="0" applyNumberFormat="1" applyFont="1" applyFill="1" applyBorder="1" applyAlignment="1" applyProtection="1">
      <alignment/>
      <protection locked="0"/>
    </xf>
    <xf numFmtId="204" fontId="28" fillId="55" borderId="27" xfId="0" applyNumberFormat="1" applyFont="1" applyFill="1" applyBorder="1" applyAlignment="1" applyProtection="1">
      <alignment horizontal="right" vertical="center"/>
      <protection locked="0"/>
    </xf>
    <xf numFmtId="0" fontId="28" fillId="55" borderId="132" xfId="0" applyFont="1" applyFill="1" applyBorder="1" applyAlignment="1" applyProtection="1">
      <alignment/>
      <protection/>
    </xf>
    <xf numFmtId="38" fontId="28" fillId="55" borderId="132" xfId="0" applyNumberFormat="1" applyFont="1" applyFill="1" applyBorder="1" applyAlignment="1" applyProtection="1">
      <alignment/>
      <protection/>
    </xf>
    <xf numFmtId="38" fontId="28" fillId="55" borderId="132" xfId="0" applyNumberFormat="1" applyFont="1" applyFill="1" applyBorder="1" applyAlignment="1" applyProtection="1">
      <alignment/>
      <protection/>
    </xf>
    <xf numFmtId="204" fontId="28" fillId="55" borderId="132" xfId="0" applyNumberFormat="1" applyFont="1" applyFill="1" applyBorder="1" applyAlignment="1" applyProtection="1">
      <alignment horizontal="right" vertical="center"/>
      <protection locked="0"/>
    </xf>
    <xf numFmtId="181" fontId="28" fillId="42" borderId="27" xfId="0" applyNumberFormat="1" applyFont="1" applyFill="1" applyBorder="1" applyAlignment="1" applyProtection="1">
      <alignment horizontal="left" vertical="center"/>
      <protection/>
    </xf>
    <xf numFmtId="181" fontId="28" fillId="59" borderId="132" xfId="0" applyNumberFormat="1" applyFont="1" applyFill="1" applyBorder="1" applyAlignment="1" applyProtection="1">
      <alignment/>
      <protection/>
    </xf>
    <xf numFmtId="0" fontId="28" fillId="55" borderId="132" xfId="0" applyFont="1" applyFill="1" applyBorder="1" applyAlignment="1" applyProtection="1">
      <alignment vertical="center" wrapText="1"/>
      <protection locked="0"/>
    </xf>
    <xf numFmtId="181" fontId="28" fillId="59" borderId="27" xfId="0" applyNumberFormat="1" applyFont="1" applyFill="1" applyBorder="1" applyAlignment="1" applyProtection="1">
      <alignment/>
      <protection locked="0"/>
    </xf>
    <xf numFmtId="0" fontId="28" fillId="55" borderId="27" xfId="0" applyFont="1" applyFill="1" applyBorder="1" applyAlignment="1" applyProtection="1">
      <alignment/>
      <protection/>
    </xf>
    <xf numFmtId="38" fontId="28" fillId="55" borderId="27" xfId="0" applyNumberFormat="1" applyFont="1" applyFill="1" applyBorder="1" applyAlignment="1" applyProtection="1">
      <alignment/>
      <protection/>
    </xf>
    <xf numFmtId="38" fontId="28" fillId="55" borderId="27" xfId="0" applyNumberFormat="1" applyFont="1" applyFill="1" applyBorder="1" applyAlignment="1" applyProtection="1">
      <alignment/>
      <protection/>
    </xf>
    <xf numFmtId="181" fontId="28" fillId="59" borderId="27" xfId="0" applyNumberFormat="1" applyFont="1" applyFill="1" applyBorder="1" applyAlignment="1" applyProtection="1">
      <alignment/>
      <protection/>
    </xf>
    <xf numFmtId="0" fontId="28" fillId="55" borderId="131" xfId="0" applyFont="1" applyFill="1" applyBorder="1" applyAlignment="1" applyProtection="1">
      <alignment/>
      <protection/>
    </xf>
    <xf numFmtId="38" fontId="28" fillId="55" borderId="131" xfId="0" applyNumberFormat="1" applyFont="1" applyFill="1" applyBorder="1" applyAlignment="1" applyProtection="1">
      <alignment/>
      <protection/>
    </xf>
    <xf numFmtId="38" fontId="28" fillId="55" borderId="131" xfId="0" applyNumberFormat="1" applyFont="1" applyFill="1" applyBorder="1" applyAlignment="1" applyProtection="1">
      <alignment/>
      <protection/>
    </xf>
    <xf numFmtId="0" fontId="28" fillId="55" borderId="0" xfId="0" applyFont="1" applyFill="1" applyBorder="1" applyAlignment="1" applyProtection="1">
      <alignment/>
      <protection/>
    </xf>
    <xf numFmtId="0" fontId="28" fillId="59" borderId="0" xfId="0" applyFont="1" applyFill="1" applyBorder="1" applyAlignment="1" applyProtection="1">
      <alignment/>
      <protection/>
    </xf>
    <xf numFmtId="0" fontId="28" fillId="55" borderId="0" xfId="0" applyFont="1" applyFill="1" applyAlignment="1" applyProtection="1">
      <alignment/>
      <protection/>
    </xf>
    <xf numFmtId="0" fontId="28" fillId="59" borderId="0" xfId="0" applyFont="1" applyFill="1" applyBorder="1" applyAlignment="1" applyProtection="1">
      <alignment horizontal="center"/>
      <protection/>
    </xf>
    <xf numFmtId="191" fontId="28" fillId="39" borderId="27" xfId="0" applyNumberFormat="1" applyFont="1" applyFill="1" applyBorder="1" applyAlignment="1" applyProtection="1">
      <alignment/>
      <protection/>
    </xf>
    <xf numFmtId="191" fontId="28" fillId="55" borderId="0" xfId="0" applyNumberFormat="1" applyFont="1" applyFill="1" applyAlignment="1" applyProtection="1">
      <alignment/>
      <protection/>
    </xf>
    <xf numFmtId="191" fontId="28" fillId="55" borderId="0" xfId="0" applyNumberFormat="1" applyFont="1" applyFill="1" applyBorder="1" applyAlignment="1" applyProtection="1">
      <alignment/>
      <protection/>
    </xf>
    <xf numFmtId="0" fontId="70" fillId="55" borderId="0" xfId="0" applyFont="1" applyFill="1" applyBorder="1" applyAlignment="1" applyProtection="1">
      <alignment/>
      <protection/>
    </xf>
    <xf numFmtId="0" fontId="28" fillId="55" borderId="0" xfId="0" applyFont="1" applyFill="1" applyAlignment="1" applyProtection="1">
      <alignment horizontal="center"/>
      <protection/>
    </xf>
    <xf numFmtId="0" fontId="1" fillId="0" borderId="0" xfId="0" applyFont="1" applyAlignment="1" applyProtection="1">
      <alignment/>
      <protection/>
    </xf>
    <xf numFmtId="0" fontId="1" fillId="55" borderId="0" xfId="0" applyFont="1" applyFill="1" applyAlignment="1" applyProtection="1">
      <alignment/>
      <protection/>
    </xf>
    <xf numFmtId="0" fontId="71" fillId="55" borderId="0" xfId="0" applyFont="1" applyFill="1" applyAlignment="1" applyProtection="1">
      <alignment/>
      <protection/>
    </xf>
    <xf numFmtId="0" fontId="72" fillId="55" borderId="0" xfId="0" applyFont="1" applyFill="1" applyAlignment="1" applyProtection="1">
      <alignment/>
      <protection/>
    </xf>
    <xf numFmtId="0" fontId="73" fillId="4" borderId="48" xfId="0" applyFont="1" applyFill="1" applyBorder="1" applyAlignment="1" applyProtection="1">
      <alignment horizontal="center" wrapText="1"/>
      <protection/>
    </xf>
    <xf numFmtId="0" fontId="75" fillId="4" borderId="48" xfId="0" applyFont="1" applyFill="1" applyBorder="1" applyAlignment="1" applyProtection="1">
      <alignment horizontal="center" wrapText="1"/>
      <protection/>
    </xf>
    <xf numFmtId="0" fontId="76" fillId="0" borderId="128" xfId="0" applyFont="1" applyBorder="1" applyAlignment="1" applyProtection="1">
      <alignment wrapText="1"/>
      <protection/>
    </xf>
    <xf numFmtId="0" fontId="76" fillId="0" borderId="27" xfId="0" applyFont="1" applyBorder="1" applyAlignment="1" applyProtection="1">
      <alignment horizontal="center" wrapText="1"/>
      <protection/>
    </xf>
    <xf numFmtId="0" fontId="76" fillId="0" borderId="27" xfId="0" applyFont="1" applyBorder="1" applyAlignment="1" applyProtection="1">
      <alignment wrapText="1"/>
      <protection/>
    </xf>
    <xf numFmtId="0" fontId="76" fillId="0" borderId="36" xfId="0" applyFont="1" applyBorder="1" applyAlignment="1" applyProtection="1">
      <alignment wrapText="1"/>
      <protection/>
    </xf>
    <xf numFmtId="0" fontId="76" fillId="55" borderId="0" xfId="0" applyFont="1" applyFill="1" applyBorder="1" applyAlignment="1" applyProtection="1">
      <alignment wrapText="1"/>
      <protection/>
    </xf>
    <xf numFmtId="0" fontId="76" fillId="0" borderId="133" xfId="0" applyFont="1" applyBorder="1" applyAlignment="1" applyProtection="1">
      <alignment/>
      <protection/>
    </xf>
    <xf numFmtId="0" fontId="76" fillId="0" borderId="36" xfId="0" applyFont="1" applyBorder="1" applyAlignment="1" applyProtection="1">
      <alignment/>
      <protection/>
    </xf>
    <xf numFmtId="0" fontId="76" fillId="55" borderId="36" xfId="0" applyFont="1" applyFill="1" applyBorder="1" applyAlignment="1" applyProtection="1">
      <alignment wrapText="1"/>
      <protection/>
    </xf>
    <xf numFmtId="0" fontId="76" fillId="0" borderId="27" xfId="0" applyFont="1" applyFill="1" applyBorder="1" applyAlignment="1" applyProtection="1">
      <alignment horizontal="center" wrapText="1"/>
      <protection/>
    </xf>
    <xf numFmtId="0" fontId="73" fillId="0" borderId="27" xfId="0" applyFont="1" applyFill="1" applyBorder="1" applyAlignment="1" applyProtection="1">
      <alignment horizontal="center" wrapText="1"/>
      <protection/>
    </xf>
    <xf numFmtId="0" fontId="73" fillId="0" borderId="36" xfId="0" applyFont="1" applyFill="1" applyBorder="1" applyAlignment="1" applyProtection="1">
      <alignment horizontal="center" wrapText="1"/>
      <protection/>
    </xf>
    <xf numFmtId="0" fontId="76" fillId="0" borderId="129" xfId="0" applyFont="1" applyBorder="1" applyAlignment="1" applyProtection="1">
      <alignment/>
      <protection/>
    </xf>
    <xf numFmtId="0" fontId="76" fillId="0" borderId="33" xfId="0" applyFont="1" applyBorder="1" applyAlignment="1" applyProtection="1">
      <alignment wrapText="1"/>
      <protection/>
    </xf>
    <xf numFmtId="0" fontId="76" fillId="0" borderId="37" xfId="0" applyFont="1" applyBorder="1" applyAlignment="1" applyProtection="1">
      <alignment wrapText="1"/>
      <protection/>
    </xf>
    <xf numFmtId="0" fontId="1" fillId="55" borderId="0" xfId="0" applyFont="1" applyFill="1" applyAlignment="1" applyProtection="1">
      <alignment wrapText="1"/>
      <protection/>
    </xf>
    <xf numFmtId="187" fontId="0" fillId="55" borderId="0" xfId="317" applyNumberFormat="1" applyFont="1" applyFill="1" applyBorder="1" applyAlignment="1" applyProtection="1">
      <alignment vertical="center"/>
      <protection/>
    </xf>
    <xf numFmtId="0" fontId="19" fillId="55" borderId="0" xfId="0" applyFont="1" applyFill="1" applyAlignment="1" applyProtection="1">
      <alignment horizontal="left" wrapText="1"/>
      <protection/>
    </xf>
    <xf numFmtId="0" fontId="28" fillId="55" borderId="0" xfId="0" applyFont="1" applyFill="1" applyBorder="1" applyAlignment="1" applyProtection="1">
      <alignment horizontal="left" vertical="center" indent="1"/>
      <protection/>
    </xf>
    <xf numFmtId="0" fontId="0" fillId="55" borderId="0" xfId="0" applyFill="1" applyAlignment="1" applyProtection="1">
      <alignment horizontal="left" vertical="center"/>
      <protection/>
    </xf>
    <xf numFmtId="0" fontId="30" fillId="55" borderId="0" xfId="0" applyFont="1" applyFill="1" applyBorder="1" applyAlignment="1" applyProtection="1">
      <alignment horizontal="left" vertical="center" indent="1"/>
      <protection/>
    </xf>
    <xf numFmtId="194" fontId="28" fillId="39" borderId="36" xfId="0" applyNumberFormat="1" applyFont="1" applyFill="1" applyBorder="1" applyAlignment="1" applyProtection="1">
      <alignment horizontal="left" vertical="center" indent="1"/>
      <protection/>
    </xf>
    <xf numFmtId="194" fontId="28" fillId="55" borderId="0" xfId="0" applyNumberFormat="1" applyFont="1" applyFill="1" applyBorder="1" applyAlignment="1" applyProtection="1">
      <alignment horizontal="left" vertical="center" indent="1"/>
      <protection/>
    </xf>
    <xf numFmtId="0" fontId="28" fillId="39" borderId="24" xfId="0" applyFont="1" applyFill="1" applyBorder="1" applyAlignment="1" applyProtection="1">
      <alignment horizontal="left" vertical="center" indent="1"/>
      <protection/>
    </xf>
    <xf numFmtId="0" fontId="42" fillId="56" borderId="24" xfId="0" applyFont="1" applyFill="1" applyBorder="1" applyAlignment="1" applyProtection="1">
      <alignment horizontal="left" vertical="center"/>
      <protection/>
    </xf>
    <xf numFmtId="0" fontId="28" fillId="39" borderId="134" xfId="0" applyFont="1" applyFill="1" applyBorder="1" applyAlignment="1" applyProtection="1">
      <alignment horizontal="left" vertical="center" indent="1"/>
      <protection/>
    </xf>
    <xf numFmtId="194" fontId="28" fillId="39" borderId="27" xfId="0" applyNumberFormat="1" applyFont="1" applyFill="1" applyBorder="1" applyAlignment="1" applyProtection="1">
      <alignment horizontal="left" vertical="center" indent="1"/>
      <protection/>
    </xf>
    <xf numFmtId="194" fontId="28" fillId="39" borderId="135" xfId="0" applyNumberFormat="1" applyFont="1" applyFill="1" applyBorder="1" applyAlignment="1" applyProtection="1">
      <alignment horizontal="left" vertical="center" indent="1"/>
      <protection/>
    </xf>
    <xf numFmtId="0" fontId="20" fillId="55" borderId="0" xfId="0" applyFont="1" applyFill="1" applyBorder="1" applyAlignment="1" applyProtection="1">
      <alignment vertical="center"/>
      <protection/>
    </xf>
    <xf numFmtId="187" fontId="20" fillId="55" borderId="0" xfId="317" applyNumberFormat="1" applyFont="1" applyFill="1" applyBorder="1" applyAlignment="1" applyProtection="1">
      <alignment vertical="center"/>
      <protection/>
    </xf>
    <xf numFmtId="0" fontId="77" fillId="55" borderId="0" xfId="0" applyFont="1" applyFill="1" applyAlignment="1" applyProtection="1">
      <alignment vertical="center"/>
      <protection/>
    </xf>
    <xf numFmtId="0" fontId="0" fillId="0" borderId="0" xfId="0" applyFont="1" applyFill="1" applyBorder="1" applyAlignment="1" applyProtection="1">
      <alignment horizontal="left" vertical="center" wrapText="1" indent="1"/>
      <protection/>
    </xf>
    <xf numFmtId="0" fontId="33" fillId="39" borderId="31" xfId="0" applyFont="1" applyFill="1" applyBorder="1" applyAlignment="1" applyProtection="1">
      <alignment vertical="center"/>
      <protection/>
    </xf>
    <xf numFmtId="0" fontId="34" fillId="39" borderId="32" xfId="0" applyFont="1" applyFill="1" applyBorder="1" applyAlignment="1" applyProtection="1">
      <alignment vertical="center"/>
      <protection/>
    </xf>
    <xf numFmtId="0" fontId="0" fillId="39" borderId="32" xfId="0" applyFill="1" applyBorder="1" applyAlignment="1" applyProtection="1">
      <alignment horizontal="center" vertical="center"/>
      <protection/>
    </xf>
    <xf numFmtId="0" fontId="78" fillId="39" borderId="32" xfId="0" applyFont="1" applyFill="1" applyBorder="1" applyAlignment="1" applyProtection="1">
      <alignment vertical="center"/>
      <protection/>
    </xf>
    <xf numFmtId="0" fontId="78" fillId="39" borderId="136" xfId="0" applyFont="1" applyFill="1" applyBorder="1" applyAlignment="1" applyProtection="1">
      <alignment vertical="center"/>
      <protection/>
    </xf>
    <xf numFmtId="0" fontId="34" fillId="39" borderId="136" xfId="0" applyFont="1" applyFill="1" applyBorder="1" applyAlignment="1" applyProtection="1">
      <alignment vertical="center"/>
      <protection/>
    </xf>
    <xf numFmtId="0" fontId="30" fillId="4" borderId="132" xfId="0" applyFont="1" applyFill="1" applyBorder="1" applyAlignment="1" applyProtection="1">
      <alignment horizontal="center" vertical="center" wrapText="1"/>
      <protection/>
    </xf>
    <xf numFmtId="0" fontId="28" fillId="39" borderId="128" xfId="0" applyFont="1" applyFill="1" applyBorder="1" applyAlignment="1" applyProtection="1">
      <alignment horizontal="center" vertical="center" wrapText="1"/>
      <protection/>
    </xf>
    <xf numFmtId="49" fontId="28" fillId="55" borderId="131" xfId="0" applyNumberFormat="1" applyFont="1" applyFill="1" applyBorder="1" applyAlignment="1" applyProtection="1">
      <alignment horizontal="center" vertical="center" wrapText="1"/>
      <protection locked="0"/>
    </xf>
    <xf numFmtId="181" fontId="28" fillId="55" borderId="131" xfId="0" applyNumberFormat="1" applyFont="1" applyFill="1" applyBorder="1" applyAlignment="1" applyProtection="1">
      <alignment horizontal="center" vertical="center" wrapText="1"/>
      <protection locked="0"/>
    </xf>
    <xf numFmtId="205" fontId="28" fillId="42" borderId="131" xfId="0" applyNumberFormat="1" applyFont="1" applyFill="1" applyBorder="1" applyAlignment="1" applyProtection="1">
      <alignment horizontal="center" vertical="center" wrapText="1"/>
      <protection/>
    </xf>
    <xf numFmtId="191" fontId="28" fillId="55" borderId="27" xfId="0" applyNumberFormat="1" applyFont="1" applyFill="1" applyBorder="1" applyAlignment="1" applyProtection="1">
      <alignment horizontal="center" vertical="center" wrapText="1"/>
      <protection locked="0"/>
    </xf>
    <xf numFmtId="0" fontId="28" fillId="55" borderId="27" xfId="0" applyNumberFormat="1" applyFont="1" applyFill="1" applyBorder="1" applyAlignment="1" applyProtection="1">
      <alignment horizontal="center" vertical="center" wrapText="1"/>
      <protection locked="0"/>
    </xf>
    <xf numFmtId="0" fontId="28" fillId="39" borderId="27" xfId="0" applyFont="1" applyFill="1" applyBorder="1" applyAlignment="1" applyProtection="1">
      <alignment horizontal="center" vertical="center" wrapText="1"/>
      <protection/>
    </xf>
    <xf numFmtId="0" fontId="28" fillId="42" borderId="27" xfId="0" applyNumberFormat="1" applyFont="1" applyFill="1" applyBorder="1" applyAlignment="1" applyProtection="1">
      <alignment horizontal="center" vertical="center" wrapText="1"/>
      <protection/>
    </xf>
    <xf numFmtId="0" fontId="28" fillId="39" borderId="129" xfId="0" applyFont="1" applyFill="1" applyBorder="1" applyAlignment="1" applyProtection="1">
      <alignment horizontal="center" vertical="center" wrapText="1"/>
      <protection/>
    </xf>
    <xf numFmtId="49" fontId="28" fillId="55" borderId="33" xfId="0" applyNumberFormat="1" applyFont="1" applyFill="1" applyBorder="1" applyAlignment="1" applyProtection="1">
      <alignment horizontal="center" vertical="center" wrapText="1"/>
      <protection locked="0"/>
    </xf>
    <xf numFmtId="181" fontId="28" fillId="55" borderId="33" xfId="0" applyNumberFormat="1" applyFont="1" applyFill="1" applyBorder="1" applyAlignment="1" applyProtection="1">
      <alignment horizontal="center" vertical="center" wrapText="1"/>
      <protection locked="0"/>
    </xf>
    <xf numFmtId="205" fontId="28" fillId="42" borderId="33" xfId="0" applyNumberFormat="1" applyFont="1" applyFill="1" applyBorder="1" applyAlignment="1" applyProtection="1">
      <alignment horizontal="center" vertical="center" wrapText="1"/>
      <protection/>
    </xf>
    <xf numFmtId="191" fontId="28" fillId="55" borderId="33" xfId="0" applyNumberFormat="1" applyFont="1" applyFill="1" applyBorder="1" applyAlignment="1" applyProtection="1">
      <alignment horizontal="center" vertical="center" wrapText="1"/>
      <protection locked="0"/>
    </xf>
    <xf numFmtId="0" fontId="28" fillId="55" borderId="33" xfId="0" applyNumberFormat="1" applyFont="1" applyFill="1" applyBorder="1" applyAlignment="1" applyProtection="1">
      <alignment horizontal="center" vertical="center" wrapText="1"/>
      <protection locked="0"/>
    </xf>
    <xf numFmtId="0" fontId="0" fillId="55" borderId="0" xfId="0" applyFill="1" applyAlignment="1" applyProtection="1">
      <alignment horizontal="center" vertical="center"/>
      <protection/>
    </xf>
    <xf numFmtId="0" fontId="30" fillId="39" borderId="23" xfId="0" applyFont="1" applyFill="1" applyBorder="1" applyAlignment="1" applyProtection="1">
      <alignment horizontal="left" vertical="center" indent="1"/>
      <protection/>
    </xf>
    <xf numFmtId="0" fontId="30" fillId="39" borderId="32" xfId="0" applyFont="1" applyFill="1" applyBorder="1" applyAlignment="1" applyProtection="1">
      <alignment horizontal="left" vertical="center" indent="1"/>
      <protection/>
    </xf>
    <xf numFmtId="0" fontId="30" fillId="39" borderId="136" xfId="0" applyFont="1" applyFill="1" applyBorder="1" applyAlignment="1" applyProtection="1">
      <alignment horizontal="left" vertical="center" indent="1"/>
      <protection/>
    </xf>
    <xf numFmtId="0" fontId="28" fillId="0" borderId="137" xfId="0" applyFont="1" applyBorder="1" applyAlignment="1" applyProtection="1">
      <alignment vertical="center"/>
      <protection/>
    </xf>
    <xf numFmtId="0" fontId="28" fillId="0" borderId="94" xfId="0" applyFont="1" applyBorder="1" applyAlignment="1" applyProtection="1">
      <alignment horizontal="center" vertical="center"/>
      <protection/>
    </xf>
    <xf numFmtId="0" fontId="28" fillId="0" borderId="82" xfId="0" applyFont="1" applyBorder="1" applyAlignment="1" applyProtection="1">
      <alignment horizontal="center" vertical="center"/>
      <protection/>
    </xf>
    <xf numFmtId="0" fontId="28" fillId="39" borderId="138" xfId="0" applyFont="1" applyFill="1" applyBorder="1" applyAlignment="1" applyProtection="1">
      <alignment horizontal="left" vertical="center" indent="1"/>
      <protection/>
    </xf>
    <xf numFmtId="0" fontId="28" fillId="39" borderId="139" xfId="0" applyFont="1" applyFill="1" applyBorder="1" applyAlignment="1" applyProtection="1">
      <alignment horizontal="left" vertical="center" indent="1"/>
      <protection/>
    </xf>
    <xf numFmtId="0" fontId="28" fillId="0" borderId="92" xfId="0" applyFont="1" applyBorder="1" applyAlignment="1" applyProtection="1">
      <alignment vertical="center"/>
      <protection/>
    </xf>
    <xf numFmtId="0" fontId="28" fillId="0" borderId="0" xfId="0" applyFont="1" applyAlignment="1" applyProtection="1">
      <alignment horizontal="center" vertical="center"/>
      <protection/>
    </xf>
    <xf numFmtId="0" fontId="30" fillId="4" borderId="140" xfId="0" applyFont="1" applyFill="1" applyBorder="1" applyAlignment="1" applyProtection="1">
      <alignment horizontal="center" vertical="center" wrapText="1"/>
      <protection/>
    </xf>
    <xf numFmtId="0" fontId="30" fillId="4" borderId="130" xfId="0" applyFont="1" applyFill="1" applyBorder="1" applyAlignment="1" applyProtection="1">
      <alignment horizontal="center" vertical="center" wrapText="1"/>
      <protection/>
    </xf>
    <xf numFmtId="0" fontId="28" fillId="39" borderId="127" xfId="0" applyFont="1" applyFill="1" applyBorder="1" applyAlignment="1" applyProtection="1">
      <alignment horizontal="left" vertical="center" wrapText="1" indent="1"/>
      <protection/>
    </xf>
    <xf numFmtId="0" fontId="28" fillId="39" borderId="24" xfId="0" applyFont="1" applyFill="1" applyBorder="1" applyAlignment="1" applyProtection="1">
      <alignment horizontal="left" vertical="center" wrapText="1" indent="1"/>
      <protection/>
    </xf>
    <xf numFmtId="181" fontId="28" fillId="55" borderId="27" xfId="0" applyNumberFormat="1" applyFont="1" applyFill="1" applyBorder="1" applyAlignment="1" applyProtection="1">
      <alignment horizontal="center" vertical="center" wrapText="1"/>
      <protection locked="0"/>
    </xf>
    <xf numFmtId="181" fontId="28" fillId="42" borderId="27" xfId="0" applyNumberFormat="1" applyFont="1" applyFill="1" applyBorder="1" applyAlignment="1" applyProtection="1">
      <alignment horizontal="center" vertical="center" wrapText="1"/>
      <protection/>
    </xf>
    <xf numFmtId="0" fontId="28" fillId="55" borderId="141" xfId="0" applyNumberFormat="1" applyFont="1" applyFill="1" applyBorder="1" applyAlignment="1" applyProtection="1">
      <alignment horizontal="center" vertical="center" wrapText="1"/>
      <protection locked="0"/>
    </xf>
    <xf numFmtId="9" fontId="28" fillId="55" borderId="141" xfId="434" applyFont="1" applyFill="1" applyBorder="1" applyAlignment="1" applyProtection="1">
      <alignment horizontal="center" vertical="center" wrapText="1"/>
      <protection locked="0"/>
    </xf>
    <xf numFmtId="0" fontId="28" fillId="39" borderId="19" xfId="0" applyNumberFormat="1" applyFont="1" applyFill="1" applyBorder="1" applyAlignment="1" applyProtection="1">
      <alignment horizontal="center" vertical="center" wrapText="1"/>
      <protection/>
    </xf>
    <xf numFmtId="0" fontId="28" fillId="39" borderId="128" xfId="0" applyFont="1" applyFill="1" applyBorder="1" applyAlignment="1" applyProtection="1">
      <alignment horizontal="left" vertical="center" wrapText="1" indent="1"/>
      <protection/>
    </xf>
    <xf numFmtId="0" fontId="28" fillId="39" borderId="27" xfId="0" applyFont="1" applyFill="1" applyBorder="1" applyAlignment="1" applyProtection="1">
      <alignment horizontal="left" vertical="center" wrapText="1" indent="1"/>
      <protection/>
    </xf>
    <xf numFmtId="181" fontId="28" fillId="39" borderId="27" xfId="0" applyNumberFormat="1" applyFont="1" applyFill="1" applyBorder="1" applyAlignment="1" applyProtection="1">
      <alignment horizontal="center" vertical="center" wrapText="1"/>
      <protection/>
    </xf>
    <xf numFmtId="0" fontId="28" fillId="55" borderId="131" xfId="0" applyNumberFormat="1" applyFont="1" applyFill="1" applyBorder="1" applyAlignment="1" applyProtection="1">
      <alignment horizontal="center" vertical="center" wrapText="1"/>
      <protection locked="0"/>
    </xf>
    <xf numFmtId="9" fontId="28" fillId="55" borderId="131" xfId="434" applyFont="1" applyFill="1" applyBorder="1" applyAlignment="1" applyProtection="1">
      <alignment horizontal="center" vertical="center" wrapText="1"/>
      <protection locked="0"/>
    </xf>
    <xf numFmtId="0" fontId="28" fillId="39" borderId="36" xfId="0" applyNumberFormat="1" applyFont="1" applyFill="1" applyBorder="1" applyAlignment="1" applyProtection="1">
      <alignment horizontal="center" vertical="center" wrapText="1"/>
      <protection/>
    </xf>
    <xf numFmtId="9" fontId="28" fillId="55" borderId="27" xfId="434" applyFont="1" applyFill="1" applyBorder="1" applyAlignment="1" applyProtection="1">
      <alignment horizontal="center" vertical="center" wrapText="1"/>
      <protection locked="0"/>
    </xf>
    <xf numFmtId="181" fontId="28" fillId="39" borderId="131" xfId="0" applyNumberFormat="1" applyFont="1" applyFill="1" applyBorder="1" applyAlignment="1" applyProtection="1">
      <alignment horizontal="center" vertical="center" wrapText="1"/>
      <protection/>
    </xf>
    <xf numFmtId="0" fontId="28" fillId="39" borderId="142" xfId="0" applyNumberFormat="1" applyFont="1" applyFill="1" applyBorder="1" applyAlignment="1" applyProtection="1">
      <alignment horizontal="center" vertical="center" wrapText="1"/>
      <protection/>
    </xf>
    <xf numFmtId="0" fontId="28" fillId="39" borderId="35" xfId="0" applyFont="1" applyFill="1" applyBorder="1" applyAlignment="1" applyProtection="1">
      <alignment horizontal="left" vertical="center" wrapText="1"/>
      <protection/>
    </xf>
    <xf numFmtId="0" fontId="28" fillId="39" borderId="38" xfId="0" applyFont="1" applyFill="1" applyBorder="1" applyAlignment="1" applyProtection="1">
      <alignment horizontal="left" vertical="center" wrapText="1"/>
      <protection/>
    </xf>
    <xf numFmtId="0" fontId="28" fillId="39" borderId="26" xfId="0" applyFont="1" applyFill="1" applyBorder="1" applyAlignment="1" applyProtection="1">
      <alignment horizontal="left" vertical="center" wrapText="1"/>
      <protection/>
    </xf>
    <xf numFmtId="0" fontId="42" fillId="0" borderId="87" xfId="0" applyFont="1" applyFill="1" applyBorder="1" applyAlignment="1" applyProtection="1">
      <alignment vertical="center"/>
      <protection/>
    </xf>
    <xf numFmtId="0" fontId="42" fillId="0" borderId="143" xfId="0" applyFont="1" applyFill="1" applyBorder="1" applyAlignment="1" applyProtection="1">
      <alignment vertical="center"/>
      <protection/>
    </xf>
    <xf numFmtId="0" fontId="28" fillId="0" borderId="89" xfId="0" applyFont="1" applyFill="1" applyBorder="1" applyAlignment="1" applyProtection="1">
      <alignment horizontal="left" vertical="center" indent="1"/>
      <protection/>
    </xf>
    <xf numFmtId="0" fontId="28" fillId="0" borderId="88" xfId="0" applyFont="1" applyFill="1" applyBorder="1" applyAlignment="1" applyProtection="1">
      <alignment horizontal="left" vertical="center" indent="1"/>
      <protection/>
    </xf>
    <xf numFmtId="0" fontId="28" fillId="0" borderId="94" xfId="0" applyFont="1" applyFill="1" applyBorder="1" applyAlignment="1" applyProtection="1">
      <alignment vertical="center"/>
      <protection/>
    </xf>
    <xf numFmtId="0" fontId="31" fillId="0" borderId="90" xfId="0" applyFont="1" applyFill="1" applyBorder="1" applyAlignment="1" applyProtection="1">
      <alignment vertical="center"/>
      <protection/>
    </xf>
    <xf numFmtId="0" fontId="42" fillId="0" borderId="82" xfId="0" applyFont="1" applyFill="1" applyBorder="1" applyAlignment="1" applyProtection="1">
      <alignment vertical="center"/>
      <protection/>
    </xf>
    <xf numFmtId="0" fontId="28" fillId="0" borderId="82" xfId="0" applyFont="1" applyFill="1" applyBorder="1" applyAlignment="1" applyProtection="1">
      <alignment horizontal="left" vertical="center" indent="1"/>
      <protection/>
    </xf>
    <xf numFmtId="0" fontId="28" fillId="0" borderId="83" xfId="0" applyFont="1" applyFill="1" applyBorder="1" applyAlignment="1" applyProtection="1">
      <alignment horizontal="left" vertical="center" indent="1"/>
      <protection/>
    </xf>
    <xf numFmtId="0" fontId="28" fillId="0" borderId="100" xfId="0" applyFont="1" applyFill="1" applyBorder="1" applyAlignment="1" applyProtection="1">
      <alignment horizontal="left" vertical="center" indent="1"/>
      <protection/>
    </xf>
    <xf numFmtId="0" fontId="28" fillId="0" borderId="100" xfId="0" applyFont="1" applyFill="1" applyBorder="1" applyAlignment="1" applyProtection="1">
      <alignment vertical="center"/>
      <protection/>
    </xf>
    <xf numFmtId="0" fontId="28" fillId="0" borderId="82" xfId="0" applyFont="1" applyFill="1" applyBorder="1" applyAlignment="1" applyProtection="1">
      <alignment vertical="center"/>
      <protection/>
    </xf>
    <xf numFmtId="0" fontId="42" fillId="0" borderId="90" xfId="0" applyFont="1" applyFill="1" applyBorder="1" applyAlignment="1" applyProtection="1">
      <alignment vertical="center"/>
      <protection/>
    </xf>
    <xf numFmtId="0" fontId="0" fillId="0" borderId="92" xfId="0" applyBorder="1" applyAlignment="1" applyProtection="1">
      <alignment/>
      <protection/>
    </xf>
    <xf numFmtId="0" fontId="0" fillId="0" borderId="85" xfId="0" applyBorder="1" applyAlignment="1" applyProtection="1">
      <alignment/>
      <protection/>
    </xf>
    <xf numFmtId="0" fontId="0" fillId="0" borderId="0" xfId="0" applyAlignment="1" applyProtection="1">
      <alignment/>
      <protection/>
    </xf>
    <xf numFmtId="0" fontId="0" fillId="0" borderId="108" xfId="0" applyBorder="1" applyAlignment="1" applyProtection="1">
      <alignment/>
      <protection/>
    </xf>
    <xf numFmtId="0" fontId="0" fillId="55" borderId="0" xfId="0" applyFill="1" applyBorder="1" applyAlignment="1" applyProtection="1">
      <alignment/>
      <protection/>
    </xf>
    <xf numFmtId="0" fontId="0" fillId="39" borderId="0" xfId="0" applyFont="1" applyFill="1" applyBorder="1" applyAlignment="1" applyProtection="1">
      <alignment/>
      <protection/>
    </xf>
    <xf numFmtId="0" fontId="0" fillId="39" borderId="0" xfId="0" applyFont="1" applyFill="1" applyAlignment="1" applyProtection="1">
      <alignment/>
      <protection/>
    </xf>
    <xf numFmtId="0" fontId="21" fillId="0" borderId="144" xfId="0" applyFont="1" applyFill="1" applyBorder="1" applyAlignment="1" applyProtection="1">
      <alignment horizontal="center" wrapText="1"/>
      <protection/>
    </xf>
    <xf numFmtId="0" fontId="21" fillId="0" borderId="145" xfId="0" applyFont="1" applyFill="1" applyBorder="1" applyAlignment="1" applyProtection="1">
      <alignment horizontal="center" wrapText="1"/>
      <protection/>
    </xf>
    <xf numFmtId="0" fontId="21" fillId="0" borderId="146" xfId="0" applyFont="1" applyFill="1" applyBorder="1" applyAlignment="1" applyProtection="1">
      <alignment horizontal="center" wrapText="1"/>
      <protection/>
    </xf>
    <xf numFmtId="0" fontId="21" fillId="0" borderId="48" xfId="0" applyFont="1" applyFill="1" applyBorder="1" applyAlignment="1" applyProtection="1">
      <alignment horizontal="center" vertical="center" wrapText="1"/>
      <protection/>
    </xf>
    <xf numFmtId="0" fontId="0" fillId="55" borderId="0" xfId="0" applyFont="1" applyFill="1" applyBorder="1" applyAlignment="1" applyProtection="1">
      <alignment wrapText="1"/>
      <protection/>
    </xf>
    <xf numFmtId="0" fontId="0" fillId="0" borderId="0" xfId="0" applyFont="1" applyFill="1" applyAlignment="1" applyProtection="1">
      <alignment wrapText="1"/>
      <protection/>
    </xf>
    <xf numFmtId="0" fontId="30" fillId="4" borderId="147" xfId="0" applyFont="1" applyFill="1" applyBorder="1" applyAlignment="1" applyProtection="1">
      <alignment horizontal="center" vertical="center" wrapText="1"/>
      <protection/>
    </xf>
    <xf numFmtId="0" fontId="28" fillId="39" borderId="148" xfId="0" applyNumberFormat="1" applyFont="1" applyFill="1" applyBorder="1" applyAlignment="1" applyProtection="1">
      <alignment horizontal="center" vertical="center" wrapText="1"/>
      <protection/>
    </xf>
    <xf numFmtId="0" fontId="28" fillId="55" borderId="147" xfId="0" applyFont="1" applyFill="1" applyBorder="1" applyAlignment="1" applyProtection="1">
      <alignment horizontal="center" vertical="center" wrapText="1"/>
      <protection locked="0"/>
    </xf>
    <xf numFmtId="0" fontId="28" fillId="39" borderId="149" xfId="0" applyNumberFormat="1" applyFont="1" applyFill="1" applyBorder="1" applyAlignment="1" applyProtection="1">
      <alignment horizontal="center" vertical="center" wrapText="1"/>
      <protection/>
    </xf>
    <xf numFmtId="0" fontId="28" fillId="55" borderId="149" xfId="0" applyFont="1" applyFill="1" applyBorder="1" applyAlignment="1" applyProtection="1">
      <alignment horizontal="center" vertical="center" wrapText="1"/>
      <protection locked="0"/>
    </xf>
    <xf numFmtId="0" fontId="28" fillId="55" borderId="115" xfId="0" applyFont="1" applyFill="1" applyBorder="1" applyAlignment="1" applyProtection="1">
      <alignment horizontal="left" vertical="center" wrapText="1"/>
      <protection locked="0"/>
    </xf>
    <xf numFmtId="0" fontId="28" fillId="55" borderId="109" xfId="0" applyFont="1" applyFill="1" applyBorder="1" applyAlignment="1" applyProtection="1">
      <alignment horizontal="left" vertical="center" wrapText="1"/>
      <protection locked="0"/>
    </xf>
    <xf numFmtId="0" fontId="28" fillId="55" borderId="0" xfId="0" applyFont="1" applyFill="1" applyBorder="1" applyAlignment="1" applyProtection="1">
      <alignment horizontal="left" vertical="center" wrapText="1"/>
      <protection locked="0"/>
    </xf>
    <xf numFmtId="0" fontId="28" fillId="55" borderId="108" xfId="0" applyFont="1" applyFill="1" applyBorder="1" applyAlignment="1" applyProtection="1">
      <alignment horizontal="left" vertical="center" wrapText="1"/>
      <protection locked="0"/>
    </xf>
    <xf numFmtId="0" fontId="28" fillId="0" borderId="115" xfId="0" applyFont="1" applyFill="1" applyBorder="1" applyAlignment="1" applyProtection="1">
      <alignment horizontal="left" vertical="center" wrapText="1" indent="1"/>
      <protection locked="0"/>
    </xf>
    <xf numFmtId="0" fontId="28" fillId="0" borderId="0" xfId="0" applyFont="1" applyFill="1" applyBorder="1" applyAlignment="1" applyProtection="1">
      <alignment horizontal="left" vertical="center" wrapText="1" indent="1"/>
      <protection locked="0"/>
    </xf>
    <xf numFmtId="0" fontId="28" fillId="0" borderId="108" xfId="0" applyFont="1" applyFill="1" applyBorder="1" applyAlignment="1" applyProtection="1">
      <alignment horizontal="left" vertical="center" wrapText="1" indent="1"/>
      <protection locked="0"/>
    </xf>
    <xf numFmtId="0" fontId="28" fillId="0" borderId="109" xfId="0" applyFont="1" applyFill="1" applyBorder="1" applyAlignment="1" applyProtection="1">
      <alignment horizontal="left" vertical="center" wrapText="1" indent="1"/>
      <protection locked="0"/>
    </xf>
    <xf numFmtId="0" fontId="0" fillId="0" borderId="0" xfId="0" applyFill="1" applyBorder="1" applyAlignment="1" applyProtection="1">
      <alignment horizontal="left" vertical="center" wrapText="1" indent="1"/>
      <protection locked="0"/>
    </xf>
    <xf numFmtId="0" fontId="0" fillId="0" borderId="109" xfId="0" applyFill="1" applyBorder="1" applyAlignment="1" applyProtection="1">
      <alignment horizontal="left" vertical="center" wrapText="1" indent="1"/>
      <protection locked="0"/>
    </xf>
    <xf numFmtId="0" fontId="0" fillId="0" borderId="0" xfId="0" applyFill="1" applyAlignment="1" applyProtection="1">
      <alignment/>
      <protection/>
    </xf>
    <xf numFmtId="0" fontId="42" fillId="0" borderId="41" xfId="0" applyFont="1" applyFill="1" applyBorder="1" applyAlignment="1" applyProtection="1">
      <alignment vertical="center"/>
      <protection/>
    </xf>
    <xf numFmtId="0" fontId="0" fillId="0" borderId="150" xfId="0" applyFill="1" applyBorder="1" applyAlignment="1" applyProtection="1">
      <alignment/>
      <protection/>
    </xf>
    <xf numFmtId="0" fontId="30" fillId="4" borderId="132" xfId="0" applyFont="1" applyFill="1" applyBorder="1" applyAlignment="1" applyProtection="1">
      <alignment horizontal="center" vertical="center"/>
      <protection/>
    </xf>
    <xf numFmtId="206" fontId="28" fillId="39" borderId="27" xfId="0" applyNumberFormat="1" applyFont="1" applyFill="1" applyBorder="1" applyAlignment="1" applyProtection="1">
      <alignment horizontal="center" vertical="center" wrapText="1"/>
      <protection/>
    </xf>
    <xf numFmtId="207" fontId="28" fillId="55" borderId="27" xfId="0" applyNumberFormat="1" applyFont="1" applyFill="1" applyBorder="1" applyAlignment="1" applyProtection="1">
      <alignment horizontal="center" vertical="center"/>
      <protection locked="0"/>
    </xf>
    <xf numFmtId="206" fontId="28" fillId="39" borderId="33" xfId="0" applyNumberFormat="1" applyFont="1" applyFill="1" applyBorder="1" applyAlignment="1" applyProtection="1">
      <alignment horizontal="center" vertical="center" wrapText="1"/>
      <protection/>
    </xf>
    <xf numFmtId="0" fontId="28" fillId="39" borderId="33" xfId="0" applyFont="1" applyFill="1" applyBorder="1" applyAlignment="1" applyProtection="1">
      <alignment horizontal="center" vertical="center" wrapText="1"/>
      <protection/>
    </xf>
    <xf numFmtId="207" fontId="28" fillId="55" borderId="33" xfId="0" applyNumberFormat="1" applyFont="1" applyFill="1" applyBorder="1" applyAlignment="1" applyProtection="1">
      <alignment horizontal="center" vertical="center"/>
      <protection locked="0"/>
    </xf>
    <xf numFmtId="0" fontId="42" fillId="56" borderId="127" xfId="0" applyFont="1" applyFill="1" applyBorder="1" applyAlignment="1" applyProtection="1">
      <alignment vertical="center"/>
      <protection/>
    </xf>
    <xf numFmtId="0" fontId="42" fillId="56" borderId="128" xfId="0" applyFont="1" applyFill="1" applyBorder="1" applyAlignment="1" applyProtection="1">
      <alignment vertical="center"/>
      <protection/>
    </xf>
    <xf numFmtId="0" fontId="42" fillId="56" borderId="151" xfId="0" applyFont="1" applyFill="1" applyBorder="1" applyAlignment="1" applyProtection="1">
      <alignment vertical="center"/>
      <protection/>
    </xf>
    <xf numFmtId="0" fontId="20" fillId="55" borderId="0" xfId="0" applyFont="1" applyFill="1" applyBorder="1" applyAlignment="1" applyProtection="1">
      <alignment/>
      <protection/>
    </xf>
    <xf numFmtId="187" fontId="20" fillId="55" borderId="0" xfId="317" applyNumberFormat="1" applyFont="1" applyFill="1" applyBorder="1" applyAlignment="1" applyProtection="1">
      <alignment/>
      <protection/>
    </xf>
    <xf numFmtId="0" fontId="31" fillId="0" borderId="83" xfId="0" applyFont="1" applyFill="1" applyBorder="1" applyAlignment="1" applyProtection="1">
      <alignment horizontal="left" vertical="top"/>
      <protection/>
    </xf>
    <xf numFmtId="0" fontId="43" fillId="0" borderId="83" xfId="0" applyFont="1" applyFill="1" applyBorder="1" applyAlignment="1" applyProtection="1">
      <alignment horizontal="left"/>
      <protection/>
    </xf>
    <xf numFmtId="0" fontId="43" fillId="0" borderId="93" xfId="0" applyFont="1" applyFill="1" applyBorder="1" applyAlignment="1" applyProtection="1">
      <alignment horizontal="left"/>
      <protection/>
    </xf>
    <xf numFmtId="0" fontId="43" fillId="0" borderId="94" xfId="0" applyFont="1" applyFill="1" applyBorder="1" applyAlignment="1" applyProtection="1">
      <alignment horizontal="left"/>
      <protection/>
    </xf>
    <xf numFmtId="0" fontId="30" fillId="4" borderId="141" xfId="0" applyFont="1" applyFill="1" applyBorder="1" applyAlignment="1" applyProtection="1">
      <alignment horizontal="center" vertical="center" wrapText="1"/>
      <protection/>
    </xf>
    <xf numFmtId="0" fontId="30" fillId="4" borderId="152" xfId="0" applyFont="1" applyFill="1" applyBorder="1" applyAlignment="1" applyProtection="1">
      <alignment horizontal="center" vertical="center" wrapText="1"/>
      <protection/>
    </xf>
    <xf numFmtId="0" fontId="30" fillId="4" borderId="134" xfId="0" applyFont="1" applyFill="1" applyBorder="1" applyAlignment="1" applyProtection="1">
      <alignment horizontal="center" vertical="center" wrapText="1"/>
      <protection/>
    </xf>
    <xf numFmtId="191" fontId="28" fillId="39" borderId="24" xfId="0" applyNumberFormat="1" applyFont="1" applyFill="1" applyBorder="1" applyAlignment="1" applyProtection="1">
      <alignment horizontal="center" vertical="center"/>
      <protection/>
    </xf>
    <xf numFmtId="191" fontId="28" fillId="57" borderId="23" xfId="0" applyNumberFormat="1" applyFont="1" applyFill="1" applyBorder="1" applyAlignment="1" applyProtection="1">
      <alignment horizontal="left" vertical="center"/>
      <protection/>
    </xf>
    <xf numFmtId="191" fontId="28" fillId="57" borderId="19" xfId="0" applyNumberFormat="1" applyFont="1" applyFill="1" applyBorder="1" applyAlignment="1" applyProtection="1">
      <alignment horizontal="left" vertical="center"/>
      <protection/>
    </xf>
    <xf numFmtId="191" fontId="28" fillId="55" borderId="131" xfId="0" applyNumberFormat="1" applyFont="1" applyFill="1" applyBorder="1" applyAlignment="1" applyProtection="1">
      <alignment horizontal="center" vertical="center"/>
      <protection locked="0"/>
    </xf>
    <xf numFmtId="191" fontId="28" fillId="39" borderId="131" xfId="0" applyNumberFormat="1" applyFont="1" applyFill="1" applyBorder="1" applyAlignment="1" applyProtection="1">
      <alignment horizontal="center" vertical="center"/>
      <protection/>
    </xf>
    <xf numFmtId="191" fontId="28" fillId="55" borderId="153" xfId="0" applyNumberFormat="1" applyFont="1" applyFill="1" applyBorder="1" applyAlignment="1" applyProtection="1">
      <alignment horizontal="center" vertical="center" wrapText="1"/>
      <protection locked="0"/>
    </xf>
    <xf numFmtId="191" fontId="28" fillId="55" borderId="142" xfId="0" applyNumberFormat="1" applyFont="1" applyFill="1" applyBorder="1" applyAlignment="1" applyProtection="1">
      <alignment horizontal="center" vertical="center" wrapText="1"/>
      <protection locked="0"/>
    </xf>
    <xf numFmtId="191" fontId="28" fillId="55" borderId="33" xfId="0" applyNumberFormat="1" applyFont="1" applyFill="1" applyBorder="1" applyAlignment="1" applyProtection="1">
      <alignment horizontal="center" vertical="center"/>
      <protection locked="0"/>
    </xf>
    <xf numFmtId="191" fontId="28" fillId="55" borderId="40" xfId="0" applyNumberFormat="1" applyFont="1" applyFill="1" applyBorder="1" applyAlignment="1" applyProtection="1">
      <alignment horizontal="center" vertical="center" wrapText="1"/>
      <protection locked="0"/>
    </xf>
    <xf numFmtId="191" fontId="28" fillId="55" borderId="37" xfId="0" applyNumberFormat="1" applyFont="1" applyFill="1" applyBorder="1" applyAlignment="1" applyProtection="1">
      <alignment horizontal="center" vertical="center" wrapText="1"/>
      <protection locked="0"/>
    </xf>
    <xf numFmtId="0" fontId="28" fillId="55" borderId="0" xfId="0" applyFont="1" applyFill="1" applyBorder="1" applyAlignment="1" applyProtection="1">
      <alignment horizontal="left" vertical="center"/>
      <protection/>
    </xf>
    <xf numFmtId="197" fontId="28" fillId="55" borderId="0" xfId="0" applyNumberFormat="1" applyFont="1" applyFill="1" applyBorder="1" applyAlignment="1" applyProtection="1">
      <alignment horizontal="right" vertical="center"/>
      <protection/>
    </xf>
    <xf numFmtId="0" fontId="28" fillId="55" borderId="25" xfId="0" applyFont="1" applyFill="1" applyBorder="1" applyAlignment="1" applyProtection="1">
      <alignment horizontal="left" vertical="center"/>
      <protection/>
    </xf>
    <xf numFmtId="0" fontId="28" fillId="55" borderId="67" xfId="0" applyFont="1" applyFill="1" applyBorder="1" applyAlignment="1" applyProtection="1">
      <alignment horizontal="left" vertical="center" indent="1"/>
      <protection/>
    </xf>
    <xf numFmtId="0" fontId="30" fillId="4" borderId="141" xfId="0" applyFont="1" applyFill="1" applyBorder="1" applyAlignment="1" applyProtection="1">
      <alignment horizontal="center" vertical="center"/>
      <protection/>
    </xf>
    <xf numFmtId="191" fontId="30" fillId="57" borderId="19" xfId="0" applyNumberFormat="1" applyFont="1" applyFill="1" applyBorder="1" applyAlignment="1" applyProtection="1">
      <alignment horizontal="center" vertical="center" wrapText="1"/>
      <protection/>
    </xf>
    <xf numFmtId="191" fontId="28" fillId="39" borderId="127" xfId="0" applyNumberFormat="1" applyFont="1" applyFill="1" applyBorder="1" applyAlignment="1" applyProtection="1">
      <alignment horizontal="center" vertical="center"/>
      <protection/>
    </xf>
    <xf numFmtId="191" fontId="28" fillId="55" borderId="36" xfId="0" applyNumberFormat="1" applyFont="1" applyFill="1" applyBorder="1" applyAlignment="1" applyProtection="1">
      <alignment horizontal="center" vertical="center" wrapText="1"/>
      <protection locked="0"/>
    </xf>
    <xf numFmtId="191" fontId="28" fillId="55" borderId="128" xfId="0" applyNumberFormat="1" applyFont="1" applyFill="1" applyBorder="1" applyAlignment="1" applyProtection="1">
      <alignment horizontal="center" vertical="center"/>
      <protection locked="0"/>
    </xf>
    <xf numFmtId="191" fontId="28" fillId="55" borderId="27" xfId="0" applyNumberFormat="1" applyFont="1" applyFill="1" applyBorder="1" applyAlignment="1" applyProtection="1">
      <alignment horizontal="center" vertical="center"/>
      <protection locked="0"/>
    </xf>
    <xf numFmtId="191" fontId="28" fillId="55" borderId="129" xfId="0" applyNumberFormat="1" applyFont="1" applyFill="1" applyBorder="1" applyAlignment="1" applyProtection="1">
      <alignment horizontal="center" vertical="center"/>
      <protection locked="0"/>
    </xf>
    <xf numFmtId="0" fontId="28" fillId="0" borderId="109" xfId="0" applyFont="1" applyFill="1" applyBorder="1" applyAlignment="1" applyProtection="1">
      <alignment horizontal="left" vertical="center" wrapText="1"/>
      <protection/>
    </xf>
    <xf numFmtId="197" fontId="28" fillId="0" borderId="109" xfId="0" applyNumberFormat="1" applyFont="1" applyFill="1" applyBorder="1" applyAlignment="1" applyProtection="1">
      <alignment horizontal="right" vertical="center"/>
      <protection/>
    </xf>
    <xf numFmtId="197" fontId="28" fillId="0" borderId="93" xfId="0" applyNumberFormat="1" applyFont="1" applyFill="1" applyBorder="1" applyAlignment="1" applyProtection="1">
      <alignment horizontal="right" vertical="center"/>
      <protection/>
    </xf>
    <xf numFmtId="197" fontId="28" fillId="0" borderId="94" xfId="0" applyNumberFormat="1" applyFont="1" applyFill="1" applyBorder="1" applyAlignment="1" applyProtection="1">
      <alignment horizontal="right" vertical="center"/>
      <protection/>
    </xf>
    <xf numFmtId="0" fontId="28" fillId="55" borderId="0" xfId="0" applyFont="1" applyFill="1" applyBorder="1" applyAlignment="1" applyProtection="1">
      <alignment vertical="center" wrapText="1"/>
      <protection/>
    </xf>
    <xf numFmtId="0" fontId="28" fillId="55" borderId="115" xfId="0" applyFont="1" applyFill="1" applyBorder="1" applyAlignment="1" applyProtection="1">
      <alignment vertical="center" wrapText="1"/>
      <protection/>
    </xf>
    <xf numFmtId="197" fontId="28" fillId="55" borderId="109" xfId="0" applyNumberFormat="1" applyFont="1" applyFill="1" applyBorder="1" applyAlignment="1" applyProtection="1">
      <alignment horizontal="right" vertical="center"/>
      <protection/>
    </xf>
    <xf numFmtId="197" fontId="28" fillId="55" borderId="108" xfId="0" applyNumberFormat="1" applyFont="1" applyFill="1" applyBorder="1" applyAlignment="1" applyProtection="1">
      <alignment horizontal="right" vertical="center"/>
      <protection/>
    </xf>
    <xf numFmtId="197" fontId="28" fillId="55" borderId="115" xfId="0" applyNumberFormat="1" applyFont="1" applyFill="1" applyBorder="1" applyAlignment="1" applyProtection="1">
      <alignment horizontal="right" vertical="center"/>
      <protection/>
    </xf>
    <xf numFmtId="197" fontId="28" fillId="55" borderId="108" xfId="0" applyNumberFormat="1" applyFont="1" applyFill="1" applyBorder="1" applyAlignment="1" applyProtection="1">
      <alignment horizontal="center" vertical="center"/>
      <protection/>
    </xf>
    <xf numFmtId="0" fontId="47" fillId="0" borderId="0" xfId="0" applyFont="1" applyBorder="1" applyAlignment="1" applyProtection="1">
      <alignment/>
      <protection/>
    </xf>
    <xf numFmtId="187" fontId="28" fillId="55" borderId="0" xfId="317" applyNumberFormat="1" applyFont="1" applyFill="1" applyBorder="1" applyAlignment="1" applyProtection="1">
      <alignment/>
      <protection/>
    </xf>
    <xf numFmtId="0" fontId="0" fillId="0" borderId="0" xfId="0" applyAlignment="1" applyProtection="1">
      <alignment/>
      <protection locked="0"/>
    </xf>
    <xf numFmtId="0" fontId="0" fillId="0" borderId="0" xfId="0" applyFill="1" applyAlignment="1" applyProtection="1">
      <alignment/>
      <protection locked="0"/>
    </xf>
    <xf numFmtId="0" fontId="0" fillId="55" borderId="0" xfId="0" applyFill="1" applyBorder="1" applyAlignment="1" applyProtection="1">
      <alignment/>
      <protection locked="0"/>
    </xf>
    <xf numFmtId="0" fontId="0" fillId="55" borderId="0" xfId="0" applyFont="1" applyFill="1" applyAlignment="1" applyProtection="1">
      <alignment/>
      <protection locked="0"/>
    </xf>
    <xf numFmtId="187" fontId="0" fillId="55" borderId="0" xfId="219" applyNumberFormat="1" applyFont="1" applyFill="1" applyBorder="1" applyAlignment="1" applyProtection="1">
      <alignment/>
      <protection/>
    </xf>
    <xf numFmtId="0" fontId="0" fillId="55" borderId="0" xfId="0" applyFill="1" applyAlignment="1" applyProtection="1">
      <alignment horizontal="left" vertical="center"/>
      <protection locked="0"/>
    </xf>
    <xf numFmtId="0" fontId="0" fillId="55" borderId="0" xfId="0" applyFill="1" applyAlignment="1" applyProtection="1">
      <alignment vertical="center"/>
      <protection locked="0"/>
    </xf>
    <xf numFmtId="0" fontId="0" fillId="0" borderId="0" xfId="0" applyAlignment="1" applyProtection="1">
      <alignment vertical="center"/>
      <protection locked="0"/>
    </xf>
    <xf numFmtId="0" fontId="0" fillId="55" borderId="0" xfId="0" applyNumberFormat="1" applyFill="1" applyAlignment="1">
      <alignment/>
    </xf>
    <xf numFmtId="0" fontId="0" fillId="55" borderId="0" xfId="0" applyFont="1" applyFill="1" applyAlignment="1" applyProtection="1">
      <alignment vertical="center"/>
      <protection locked="0"/>
    </xf>
    <xf numFmtId="0" fontId="42" fillId="0" borderId="0" xfId="0" applyFont="1" applyFill="1" applyBorder="1" applyAlignment="1" applyProtection="1">
      <alignment horizontal="left" vertical="center"/>
      <protection/>
    </xf>
    <xf numFmtId="194" fontId="28" fillId="55" borderId="27" xfId="0" applyNumberFormat="1" applyFont="1" applyFill="1" applyBorder="1" applyAlignment="1" applyProtection="1">
      <alignment horizontal="left" vertical="center" indent="1"/>
      <protection locked="0"/>
    </xf>
    <xf numFmtId="194" fontId="28" fillId="55" borderId="36" xfId="0" applyNumberFormat="1" applyFont="1" applyFill="1" applyBorder="1" applyAlignment="1" applyProtection="1">
      <alignment horizontal="left" vertical="center" indent="1"/>
      <protection locked="0"/>
    </xf>
    <xf numFmtId="0" fontId="0" fillId="0" borderId="0" xfId="0" applyFont="1" applyFill="1" applyAlignment="1" applyProtection="1">
      <alignment/>
      <protection locked="0"/>
    </xf>
    <xf numFmtId="187" fontId="28" fillId="55" borderId="0" xfId="219" applyNumberFormat="1" applyFont="1" applyFill="1" applyBorder="1" applyAlignment="1" applyProtection="1">
      <alignment horizontal="left"/>
      <protection/>
    </xf>
    <xf numFmtId="0" fontId="28" fillId="55" borderId="0" xfId="0" applyFont="1" applyFill="1" applyAlignment="1" applyProtection="1">
      <alignment horizontal="left"/>
      <protection/>
    </xf>
    <xf numFmtId="187" fontId="28" fillId="55" borderId="0" xfId="219" applyNumberFormat="1" applyFont="1" applyFill="1" applyBorder="1" applyAlignment="1" applyProtection="1">
      <alignment vertical="center"/>
      <protection/>
    </xf>
    <xf numFmtId="0" fontId="28" fillId="55" borderId="0" xfId="0" applyFont="1" applyFill="1" applyAlignment="1" applyProtection="1">
      <alignment horizontal="left" indent="1"/>
      <protection/>
    </xf>
    <xf numFmtId="187" fontId="28" fillId="55" borderId="0" xfId="219" applyNumberFormat="1" applyFont="1" applyFill="1" applyBorder="1" applyAlignment="1" applyProtection="1">
      <alignment/>
      <protection/>
    </xf>
    <xf numFmtId="0" fontId="28" fillId="55" borderId="0" xfId="0" applyFont="1" applyFill="1" applyBorder="1" applyAlignment="1" applyProtection="1">
      <alignment horizontal="left" wrapText="1" indent="1"/>
      <protection locked="0"/>
    </xf>
    <xf numFmtId="0" fontId="30" fillId="55" borderId="0" xfId="0" applyFont="1" applyFill="1" applyBorder="1" applyAlignment="1" applyProtection="1">
      <alignment horizontal="center"/>
      <protection locked="0"/>
    </xf>
    <xf numFmtId="0" fontId="42" fillId="56" borderId="38" xfId="0" applyFont="1" applyFill="1" applyBorder="1" applyAlignment="1" applyProtection="1">
      <alignment horizontal="left" vertical="center"/>
      <protection/>
    </xf>
    <xf numFmtId="0" fontId="28" fillId="55" borderId="90" xfId="0" applyFont="1" applyFill="1" applyBorder="1" applyAlignment="1" applyProtection="1">
      <alignment vertical="center"/>
      <protection/>
    </xf>
    <xf numFmtId="0" fontId="31" fillId="55" borderId="83" xfId="0" applyFont="1" applyFill="1" applyBorder="1" applyAlignment="1" applyProtection="1">
      <alignment horizontal="left"/>
      <protection/>
    </xf>
    <xf numFmtId="0" fontId="43" fillId="55" borderId="83" xfId="0" applyFont="1" applyFill="1" applyBorder="1" applyAlignment="1" applyProtection="1">
      <alignment horizontal="left"/>
      <protection/>
    </xf>
    <xf numFmtId="0" fontId="43" fillId="55" borderId="82" xfId="0" applyFont="1" applyFill="1" applyBorder="1" applyAlignment="1" applyProtection="1">
      <alignment horizontal="left"/>
      <protection/>
    </xf>
    <xf numFmtId="0" fontId="31" fillId="55" borderId="92" xfId="0" applyFont="1" applyFill="1" applyBorder="1" applyAlignment="1" applyProtection="1">
      <alignment horizontal="left"/>
      <protection/>
    </xf>
    <xf numFmtId="0" fontId="43" fillId="55" borderId="92" xfId="0" applyFont="1" applyFill="1" applyBorder="1" applyAlignment="1" applyProtection="1">
      <alignment horizontal="left"/>
      <protection/>
    </xf>
    <xf numFmtId="0" fontId="43" fillId="55" borderId="109" xfId="0" applyFont="1" applyFill="1" applyBorder="1" applyAlignment="1" applyProtection="1">
      <alignment horizontal="left"/>
      <protection/>
    </xf>
    <xf numFmtId="0" fontId="43" fillId="55" borderId="108" xfId="0" applyFont="1" applyFill="1" applyBorder="1" applyAlignment="1" applyProtection="1">
      <alignment horizontal="left"/>
      <protection/>
    </xf>
    <xf numFmtId="0" fontId="28" fillId="55" borderId="93" xfId="0" applyFont="1" applyFill="1" applyBorder="1" applyAlignment="1" applyProtection="1">
      <alignment horizontal="left" vertical="center" wrapText="1"/>
      <protection/>
    </xf>
    <xf numFmtId="0" fontId="28" fillId="0" borderId="92" xfId="0" applyFont="1" applyFill="1" applyBorder="1" applyAlignment="1" applyProtection="1">
      <alignment horizontal="left" vertical="center"/>
      <protection/>
    </xf>
    <xf numFmtId="0" fontId="28" fillId="0" borderId="85" xfId="0" applyFont="1" applyFill="1" applyBorder="1" applyAlignment="1" applyProtection="1">
      <alignment horizontal="left" vertical="center"/>
      <protection/>
    </xf>
    <xf numFmtId="0" fontId="30" fillId="4" borderId="20" xfId="0" applyFont="1" applyFill="1" applyBorder="1" applyAlignment="1" applyProtection="1">
      <alignment horizontal="center" vertical="center"/>
      <protection/>
    </xf>
    <xf numFmtId="0" fontId="30" fillId="4" borderId="41" xfId="0" applyFont="1" applyFill="1" applyBorder="1" applyAlignment="1" applyProtection="1">
      <alignment horizontal="center" vertical="center"/>
      <protection/>
    </xf>
    <xf numFmtId="0" fontId="30" fillId="42" borderId="41" xfId="0" applyFont="1" applyFill="1" applyBorder="1" applyAlignment="1" applyProtection="1">
      <alignment horizontal="center" vertical="center"/>
      <protection/>
    </xf>
    <xf numFmtId="0" fontId="30" fillId="55" borderId="154" xfId="0" applyFont="1" applyFill="1" applyBorder="1" applyAlignment="1" applyProtection="1">
      <alignment horizontal="center" vertical="center"/>
      <protection locked="0"/>
    </xf>
    <xf numFmtId="0" fontId="30" fillId="0" borderId="109" xfId="0" applyFont="1" applyFill="1" applyBorder="1" applyAlignment="1" applyProtection="1">
      <alignment horizontal="left" vertical="center" wrapText="1"/>
      <protection/>
    </xf>
    <xf numFmtId="0" fontId="0" fillId="0" borderId="109" xfId="0" applyFont="1" applyFill="1" applyBorder="1" applyAlignment="1" applyProtection="1">
      <alignment wrapText="1"/>
      <protection/>
    </xf>
    <xf numFmtId="0" fontId="30" fillId="0" borderId="109" xfId="0" applyFont="1" applyFill="1" applyBorder="1" applyAlignment="1" applyProtection="1">
      <alignment horizontal="center" vertical="center"/>
      <protection/>
    </xf>
    <xf numFmtId="0" fontId="30" fillId="0" borderId="109" xfId="0" applyFont="1" applyFill="1" applyBorder="1" applyAlignment="1" applyProtection="1">
      <alignment horizontal="center" vertical="center" wrapText="1"/>
      <protection/>
    </xf>
    <xf numFmtId="0" fontId="0" fillId="0" borderId="93" xfId="0" applyFont="1" applyFill="1" applyBorder="1" applyAlignment="1" applyProtection="1">
      <alignment vertical="center" wrapText="1"/>
      <protection/>
    </xf>
    <xf numFmtId="0" fontId="30" fillId="0" borderId="93" xfId="0" applyFont="1" applyFill="1" applyBorder="1" applyAlignment="1" applyProtection="1">
      <alignment horizontal="center" vertical="center"/>
      <protection/>
    </xf>
    <xf numFmtId="0" fontId="30" fillId="0" borderId="93" xfId="0" applyFont="1" applyFill="1" applyBorder="1" applyAlignment="1" applyProtection="1">
      <alignment horizontal="center" vertical="center" wrapText="1"/>
      <protection/>
    </xf>
    <xf numFmtId="0" fontId="0" fillId="0" borderId="93" xfId="0" applyFill="1" applyBorder="1" applyAlignment="1" applyProtection="1">
      <alignment horizontal="center" vertical="center" wrapText="1"/>
      <protection/>
    </xf>
    <xf numFmtId="0" fontId="0" fillId="0" borderId="94" xfId="0" applyFill="1" applyBorder="1" applyAlignment="1" applyProtection="1">
      <alignment horizontal="center" vertical="center" wrapText="1"/>
      <protection/>
    </xf>
    <xf numFmtId="0" fontId="0" fillId="0" borderId="91" xfId="0" applyFont="1" applyFill="1" applyBorder="1" applyAlignment="1" applyProtection="1">
      <alignment vertical="center"/>
      <protection/>
    </xf>
    <xf numFmtId="0" fontId="0" fillId="0" borderId="92" xfId="0" applyFont="1" applyFill="1" applyBorder="1" applyAlignment="1" applyProtection="1">
      <alignment vertical="center"/>
      <protection/>
    </xf>
    <xf numFmtId="0" fontId="0" fillId="0" borderId="92" xfId="0" applyFill="1" applyBorder="1" applyAlignment="1" applyProtection="1">
      <alignment vertical="center"/>
      <protection/>
    </xf>
    <xf numFmtId="0" fontId="30" fillId="0" borderId="92" xfId="0" applyFont="1" applyFill="1" applyBorder="1" applyAlignment="1" applyProtection="1">
      <alignment horizontal="center" vertical="center"/>
      <protection/>
    </xf>
    <xf numFmtId="0" fontId="47" fillId="0" borderId="85" xfId="0" applyFont="1" applyFill="1" applyBorder="1" applyAlignment="1" applyProtection="1">
      <alignment/>
      <protection/>
    </xf>
    <xf numFmtId="0" fontId="0" fillId="55" borderId="48" xfId="0" applyFont="1" applyFill="1" applyBorder="1" applyAlignment="1" applyProtection="1">
      <alignment vertical="center"/>
      <protection locked="0"/>
    </xf>
    <xf numFmtId="0" fontId="30" fillId="4" borderId="140" xfId="0" applyFont="1" applyFill="1" applyBorder="1" applyAlignment="1" applyProtection="1">
      <alignment horizontal="center" vertical="center"/>
      <protection/>
    </xf>
    <xf numFmtId="197" fontId="28" fillId="0" borderId="132" xfId="0" applyNumberFormat="1" applyFont="1" applyFill="1" applyBorder="1" applyAlignment="1" applyProtection="1">
      <alignment horizontal="right" vertical="center"/>
      <protection locked="0"/>
    </xf>
    <xf numFmtId="197" fontId="28" fillId="39" borderId="132" xfId="0" applyNumberFormat="1" applyFont="1" applyFill="1" applyBorder="1" applyAlignment="1" applyProtection="1">
      <alignment horizontal="right" vertical="center"/>
      <protection/>
    </xf>
    <xf numFmtId="197" fontId="30" fillId="0" borderId="155" xfId="0" applyNumberFormat="1" applyFont="1" applyFill="1" applyBorder="1" applyAlignment="1" applyProtection="1">
      <alignment horizontal="right" vertical="center"/>
      <protection locked="0"/>
    </xf>
    <xf numFmtId="0" fontId="0" fillId="55" borderId="0" xfId="0" applyFill="1" applyBorder="1" applyAlignment="1" applyProtection="1">
      <alignment wrapText="1"/>
      <protection/>
    </xf>
    <xf numFmtId="0" fontId="0" fillId="0" borderId="0" xfId="0" applyAlignment="1" applyProtection="1">
      <alignment wrapText="1"/>
      <protection/>
    </xf>
    <xf numFmtId="197" fontId="28" fillId="0" borderId="27" xfId="0" applyNumberFormat="1" applyFont="1" applyFill="1" applyBorder="1" applyAlignment="1" applyProtection="1">
      <alignment horizontal="right" vertical="center"/>
      <protection locked="0"/>
    </xf>
    <xf numFmtId="197" fontId="28" fillId="39" borderId="27" xfId="0" applyNumberFormat="1" applyFont="1" applyFill="1" applyBorder="1" applyAlignment="1" applyProtection="1">
      <alignment horizontal="right" vertical="center"/>
      <protection/>
    </xf>
    <xf numFmtId="197" fontId="30" fillId="0" borderId="36" xfId="0" applyNumberFormat="1" applyFont="1" applyFill="1" applyBorder="1" applyAlignment="1" applyProtection="1">
      <alignment horizontal="right" vertical="center"/>
      <protection locked="0"/>
    </xf>
    <xf numFmtId="197" fontId="28" fillId="0" borderId="36" xfId="0" applyNumberFormat="1" applyFont="1" applyFill="1" applyBorder="1" applyAlignment="1" applyProtection="1">
      <alignment horizontal="right" vertical="center"/>
      <protection locked="0"/>
    </xf>
    <xf numFmtId="197" fontId="28" fillId="0" borderId="131" xfId="0" applyNumberFormat="1" applyFont="1" applyFill="1" applyBorder="1" applyAlignment="1" applyProtection="1">
      <alignment horizontal="right" vertical="center"/>
      <protection locked="0"/>
    </xf>
    <xf numFmtId="197" fontId="28" fillId="39" borderId="131" xfId="0" applyNumberFormat="1" applyFont="1" applyFill="1" applyBorder="1" applyAlignment="1" applyProtection="1">
      <alignment horizontal="right" vertical="center"/>
      <protection/>
    </xf>
    <xf numFmtId="197" fontId="30" fillId="0" borderId="142" xfId="0" applyNumberFormat="1" applyFont="1" applyFill="1" applyBorder="1" applyAlignment="1" applyProtection="1">
      <alignment horizontal="right" vertical="center"/>
      <protection locked="0"/>
    </xf>
    <xf numFmtId="197" fontId="28" fillId="42" borderId="140" xfId="0" applyNumberFormat="1" applyFont="1" applyFill="1" applyBorder="1" applyAlignment="1" applyProtection="1">
      <alignment horizontal="right" vertical="center"/>
      <protection/>
    </xf>
    <xf numFmtId="197" fontId="28" fillId="39" borderId="140" xfId="0" applyNumberFormat="1" applyFont="1" applyFill="1" applyBorder="1" applyAlignment="1" applyProtection="1">
      <alignment horizontal="right" vertical="center"/>
      <protection/>
    </xf>
    <xf numFmtId="197" fontId="30" fillId="0" borderId="130" xfId="0" applyNumberFormat="1" applyFont="1" applyFill="1" applyBorder="1" applyAlignment="1" applyProtection="1">
      <alignment horizontal="right" vertical="center"/>
      <protection/>
    </xf>
    <xf numFmtId="0" fontId="30" fillId="55" borderId="0" xfId="0" applyFont="1" applyFill="1" applyBorder="1" applyAlignment="1" applyProtection="1">
      <alignment horizontal="right" vertical="center"/>
      <protection/>
    </xf>
    <xf numFmtId="197" fontId="30" fillId="55" borderId="0" xfId="0" applyNumberFormat="1" applyFont="1" applyFill="1" applyBorder="1" applyAlignment="1" applyProtection="1">
      <alignment horizontal="right" vertical="center"/>
      <protection/>
    </xf>
    <xf numFmtId="0" fontId="28" fillId="55" borderId="0" xfId="0" applyFont="1" applyFill="1" applyBorder="1" applyAlignment="1" applyProtection="1">
      <alignment horizontal="right" vertical="center"/>
      <protection/>
    </xf>
    <xf numFmtId="0" fontId="0" fillId="55" borderId="0" xfId="0" applyFont="1" applyFill="1" applyBorder="1" applyAlignment="1" applyProtection="1">
      <alignment horizontal="right" vertical="center"/>
      <protection/>
    </xf>
    <xf numFmtId="0" fontId="30" fillId="42" borderId="154" xfId="0" applyFont="1" applyFill="1" applyBorder="1" applyAlignment="1" applyProtection="1">
      <alignment horizontal="center" vertical="center"/>
      <protection/>
    </xf>
    <xf numFmtId="0" fontId="30" fillId="55" borderId="140" xfId="0" applyFont="1" applyFill="1" applyBorder="1" applyAlignment="1" applyProtection="1">
      <alignment horizontal="center" vertical="center"/>
      <protection locked="0"/>
    </xf>
    <xf numFmtId="0" fontId="0" fillId="0" borderId="109" xfId="0" applyFill="1" applyBorder="1" applyAlignment="1" applyProtection="1">
      <alignment vertical="center" wrapText="1"/>
      <protection/>
    </xf>
    <xf numFmtId="0" fontId="0" fillId="0" borderId="109" xfId="0" applyFont="1" applyFill="1" applyBorder="1" applyAlignment="1" applyProtection="1">
      <alignment vertical="center"/>
      <protection/>
    </xf>
    <xf numFmtId="187" fontId="28" fillId="0" borderId="109" xfId="317" applyNumberFormat="1" applyFont="1" applyFill="1" applyBorder="1" applyAlignment="1" applyProtection="1">
      <alignment vertical="center"/>
      <protection/>
    </xf>
    <xf numFmtId="0" fontId="28" fillId="0" borderId="109" xfId="0" applyFont="1" applyFill="1" applyBorder="1" applyAlignment="1" applyProtection="1">
      <alignment vertical="center"/>
      <protection/>
    </xf>
    <xf numFmtId="0" fontId="0" fillId="0" borderId="108" xfId="0" applyFill="1" applyBorder="1" applyAlignment="1" applyProtection="1">
      <alignment vertical="center"/>
      <protection/>
    </xf>
    <xf numFmtId="0" fontId="0" fillId="55" borderId="0" xfId="0" applyFill="1" applyBorder="1" applyAlignment="1" applyProtection="1">
      <alignment horizontal="center"/>
      <protection/>
    </xf>
    <xf numFmtId="0" fontId="28" fillId="55" borderId="0" xfId="0" applyFont="1" applyFill="1" applyAlignment="1" applyProtection="1">
      <alignment horizontal="center" vertical="center"/>
      <protection/>
    </xf>
    <xf numFmtId="0" fontId="20" fillId="55" borderId="92" xfId="0" applyFont="1" applyFill="1" applyBorder="1" applyAlignment="1" applyProtection="1">
      <alignment/>
      <protection/>
    </xf>
    <xf numFmtId="187" fontId="20" fillId="55" borderId="92" xfId="317" applyNumberFormat="1" applyFont="1" applyFill="1" applyBorder="1" applyAlignment="1" applyProtection="1">
      <alignment/>
      <protection/>
    </xf>
    <xf numFmtId="0" fontId="0" fillId="55" borderId="92" xfId="0" applyFill="1" applyBorder="1" applyAlignment="1" applyProtection="1">
      <alignment/>
      <protection/>
    </xf>
    <xf numFmtId="0" fontId="0" fillId="55" borderId="85" xfId="0" applyFill="1" applyBorder="1" applyAlignment="1" applyProtection="1">
      <alignment horizontal="center"/>
      <protection/>
    </xf>
    <xf numFmtId="0" fontId="31" fillId="55" borderId="83" xfId="0" applyFont="1" applyFill="1" applyBorder="1" applyAlignment="1" applyProtection="1">
      <alignment vertical="center"/>
      <protection/>
    </xf>
    <xf numFmtId="0" fontId="31" fillId="55" borderId="83" xfId="0" applyFont="1" applyFill="1" applyBorder="1" applyAlignment="1" applyProtection="1">
      <alignment/>
      <protection/>
    </xf>
    <xf numFmtId="0" fontId="20" fillId="55" borderId="82" xfId="0" applyFont="1" applyFill="1" applyBorder="1" applyAlignment="1" applyProtection="1">
      <alignment/>
      <protection/>
    </xf>
    <xf numFmtId="0" fontId="43" fillId="0" borderId="94" xfId="0" applyFont="1" applyFill="1" applyBorder="1" applyAlignment="1" applyProtection="1">
      <alignment horizontal="center"/>
      <protection/>
    </xf>
    <xf numFmtId="0" fontId="57" fillId="55" borderId="0" xfId="0" applyFont="1" applyFill="1" applyBorder="1" applyAlignment="1" applyProtection="1">
      <alignment vertical="center" wrapText="1"/>
      <protection/>
    </xf>
    <xf numFmtId="187" fontId="0" fillId="55" borderId="85" xfId="317" applyNumberFormat="1" applyFont="1" applyFill="1" applyBorder="1" applyAlignment="1" applyProtection="1">
      <alignment horizontal="center"/>
      <protection/>
    </xf>
    <xf numFmtId="0" fontId="30" fillId="4" borderId="64" xfId="0" applyFont="1" applyFill="1" applyBorder="1" applyAlignment="1" applyProtection="1">
      <alignment horizontal="center" vertical="center" wrapText="1"/>
      <protection/>
    </xf>
    <xf numFmtId="0" fontId="28" fillId="0" borderId="156" xfId="0" applyFont="1" applyFill="1" applyBorder="1" applyAlignment="1" applyProtection="1">
      <alignment horizontal="left" vertical="center"/>
      <protection locked="0"/>
    </xf>
    <xf numFmtId="0" fontId="28" fillId="0" borderId="39" xfId="0" applyFont="1" applyFill="1" applyBorder="1" applyAlignment="1" applyProtection="1">
      <alignment horizontal="left" vertical="center"/>
      <protection locked="0"/>
    </xf>
    <xf numFmtId="0" fontId="28" fillId="0" borderId="139" xfId="0" applyFont="1" applyFill="1" applyBorder="1" applyAlignment="1" applyProtection="1">
      <alignment horizontal="left" vertical="center"/>
      <protection locked="0"/>
    </xf>
    <xf numFmtId="187" fontId="0" fillId="55" borderId="0" xfId="317" applyNumberFormat="1" applyFont="1" applyFill="1" applyBorder="1" applyAlignment="1" applyProtection="1">
      <alignment horizontal="center"/>
      <protection/>
    </xf>
    <xf numFmtId="0" fontId="83" fillId="55" borderId="0" xfId="0" applyFont="1" applyFill="1" applyBorder="1" applyAlignment="1" applyProtection="1">
      <alignment/>
      <protection/>
    </xf>
    <xf numFmtId="0" fontId="0" fillId="56" borderId="0" xfId="0" applyFill="1" applyAlignment="1" applyProtection="1">
      <alignment/>
      <protection/>
    </xf>
    <xf numFmtId="0" fontId="28" fillId="39" borderId="35" xfId="0" applyFont="1" applyFill="1" applyBorder="1" applyAlignment="1" applyProtection="1">
      <alignment horizontal="left" indent="1"/>
      <protection/>
    </xf>
    <xf numFmtId="0" fontId="28" fillId="39" borderId="36" xfId="0" applyFont="1" applyFill="1" applyBorder="1" applyAlignment="1" applyProtection="1">
      <alignment horizontal="left" indent="1"/>
      <protection/>
    </xf>
    <xf numFmtId="0" fontId="0" fillId="56" borderId="157" xfId="0" applyFill="1" applyBorder="1" applyAlignment="1" applyProtection="1">
      <alignment/>
      <protection/>
    </xf>
    <xf numFmtId="194" fontId="28" fillId="39" borderId="35" xfId="0" applyNumberFormat="1" applyFont="1" applyFill="1" applyBorder="1" applyAlignment="1" applyProtection="1">
      <alignment horizontal="left" indent="1"/>
      <protection/>
    </xf>
    <xf numFmtId="194" fontId="28" fillId="39" borderId="36" xfId="0" applyNumberFormat="1" applyFont="1" applyFill="1" applyBorder="1" applyAlignment="1" applyProtection="1">
      <alignment horizontal="left" indent="1"/>
      <protection/>
    </xf>
    <xf numFmtId="0" fontId="0" fillId="56" borderId="30" xfId="0" applyFill="1" applyBorder="1" applyAlignment="1" applyProtection="1">
      <alignment/>
      <protection/>
    </xf>
    <xf numFmtId="0" fontId="0" fillId="56" borderId="29" xfId="0" applyFill="1" applyBorder="1" applyAlignment="1" applyProtection="1">
      <alignment/>
      <protection/>
    </xf>
    <xf numFmtId="0" fontId="30" fillId="0" borderId="158" xfId="0" applyFont="1" applyFill="1" applyBorder="1" applyAlignment="1" applyProtection="1">
      <alignment vertical="center"/>
      <protection/>
    </xf>
    <xf numFmtId="0" fontId="0" fillId="0" borderId="89" xfId="0" applyFont="1" applyFill="1" applyBorder="1" applyAlignment="1" applyProtection="1">
      <alignment/>
      <protection/>
    </xf>
    <xf numFmtId="0" fontId="0" fillId="0" borderId="88" xfId="0" applyFont="1" applyFill="1" applyBorder="1" applyAlignment="1" applyProtection="1">
      <alignment/>
      <protection/>
    </xf>
    <xf numFmtId="0" fontId="28" fillId="0" borderId="88" xfId="0" applyFont="1" applyFill="1" applyBorder="1" applyAlignment="1" applyProtection="1">
      <alignment horizontal="left" indent="1"/>
      <protection/>
    </xf>
    <xf numFmtId="0" fontId="28" fillId="0" borderId="21" xfId="0" applyFont="1" applyFill="1" applyBorder="1" applyAlignment="1" applyProtection="1">
      <alignment horizontal="left" indent="1"/>
      <protection/>
    </xf>
    <xf numFmtId="0" fontId="28" fillId="0" borderId="89" xfId="0" applyFont="1" applyFill="1" applyBorder="1" applyAlignment="1" applyProtection="1">
      <alignment horizontal="left" indent="1"/>
      <protection/>
    </xf>
    <xf numFmtId="0" fontId="28" fillId="0" borderId="0" xfId="0" applyFont="1" applyFill="1" applyAlignment="1" applyProtection="1">
      <alignment/>
      <protection/>
    </xf>
    <xf numFmtId="0" fontId="28" fillId="0" borderId="94" xfId="0" applyFont="1" applyFill="1" applyBorder="1" applyAlignment="1" applyProtection="1">
      <alignment/>
      <protection/>
    </xf>
    <xf numFmtId="0" fontId="0" fillId="0" borderId="82" xfId="0" applyFont="1" applyFill="1" applyBorder="1" applyAlignment="1" applyProtection="1">
      <alignment/>
      <protection/>
    </xf>
    <xf numFmtId="0" fontId="0" fillId="0" borderId="100" xfId="0" applyFont="1" applyFill="1" applyBorder="1" applyAlignment="1" applyProtection="1">
      <alignment/>
      <protection/>
    </xf>
    <xf numFmtId="0" fontId="28" fillId="0" borderId="100" xfId="0" applyFont="1" applyFill="1" applyBorder="1" applyAlignment="1" applyProtection="1">
      <alignment horizontal="left" indent="1"/>
      <protection/>
    </xf>
    <xf numFmtId="0" fontId="28" fillId="0" borderId="94" xfId="0" applyFont="1" applyFill="1" applyBorder="1" applyAlignment="1" applyProtection="1">
      <alignment horizontal="left" indent="1"/>
      <protection/>
    </xf>
    <xf numFmtId="0" fontId="28" fillId="0" borderId="82" xfId="0" applyFont="1" applyFill="1" applyBorder="1" applyAlignment="1" applyProtection="1">
      <alignment horizontal="left" indent="1"/>
      <protection/>
    </xf>
    <xf numFmtId="0" fontId="30" fillId="0" borderId="91" xfId="0" applyFont="1" applyFill="1" applyBorder="1" applyAlignment="1" applyProtection="1">
      <alignment vertical="center"/>
      <protection/>
    </xf>
    <xf numFmtId="0" fontId="0" fillId="0" borderId="83" xfId="0" applyFont="1" applyFill="1" applyBorder="1" applyAlignment="1" applyProtection="1">
      <alignment/>
      <protection/>
    </xf>
    <xf numFmtId="0" fontId="28" fillId="0" borderId="82" xfId="0" applyFont="1" applyFill="1" applyBorder="1" applyAlignment="1" applyProtection="1">
      <alignment/>
      <protection/>
    </xf>
    <xf numFmtId="0" fontId="0" fillId="0" borderId="90" xfId="0" applyBorder="1" applyAlignment="1" applyProtection="1">
      <alignment/>
      <protection/>
    </xf>
    <xf numFmtId="0" fontId="0" fillId="0" borderId="85" xfId="0" applyBorder="1" applyAlignment="1" applyProtection="1">
      <alignment/>
      <protection/>
    </xf>
    <xf numFmtId="0" fontId="0" fillId="0" borderId="115" xfId="0" applyFill="1" applyBorder="1" applyAlignment="1" applyProtection="1">
      <alignment/>
      <protection/>
    </xf>
    <xf numFmtId="0" fontId="0" fillId="0" borderId="108" xfId="0" applyFill="1" applyBorder="1" applyAlignment="1" applyProtection="1">
      <alignment/>
      <protection/>
    </xf>
    <xf numFmtId="0" fontId="0" fillId="0" borderId="109" xfId="0" applyFill="1" applyBorder="1" applyAlignment="1" applyProtection="1">
      <alignment/>
      <protection/>
    </xf>
    <xf numFmtId="0" fontId="43" fillId="0" borderId="20" xfId="0" applyFont="1" applyFill="1" applyBorder="1" applyAlignment="1" applyProtection="1">
      <alignment horizontal="left"/>
      <protection/>
    </xf>
    <xf numFmtId="0" fontId="43" fillId="0" borderId="159" xfId="0" applyFont="1" applyFill="1" applyBorder="1" applyAlignment="1" applyProtection="1">
      <alignment horizontal="left"/>
      <protection/>
    </xf>
    <xf numFmtId="0" fontId="43" fillId="0" borderId="160" xfId="0" applyFont="1" applyFill="1" applyBorder="1" applyAlignment="1" applyProtection="1">
      <alignment horizontal="left"/>
      <protection/>
    </xf>
    <xf numFmtId="0" fontId="43" fillId="0" borderId="32" xfId="0" applyFont="1" applyFill="1" applyBorder="1" applyAlignment="1" applyProtection="1">
      <alignment horizontal="left"/>
      <protection/>
    </xf>
    <xf numFmtId="0" fontId="47" fillId="55" borderId="24" xfId="0" applyFont="1" applyFill="1" applyBorder="1" applyAlignment="1" applyProtection="1">
      <alignment horizontal="center" vertical="center" wrapText="1"/>
      <protection/>
    </xf>
    <xf numFmtId="0" fontId="0" fillId="55" borderId="25" xfId="0" applyFill="1" applyBorder="1" applyAlignment="1" applyProtection="1">
      <alignment vertical="center" wrapText="1"/>
      <protection/>
    </xf>
    <xf numFmtId="191" fontId="28" fillId="39" borderId="132" xfId="0" applyNumberFormat="1" applyFont="1" applyFill="1" applyBorder="1" applyAlignment="1" applyProtection="1">
      <alignment horizontal="center" vertical="center"/>
      <protection/>
    </xf>
    <xf numFmtId="191" fontId="28" fillId="55" borderId="132" xfId="0" applyNumberFormat="1" applyFont="1" applyFill="1" applyBorder="1" applyAlignment="1" applyProtection="1">
      <alignment horizontal="center" vertical="center"/>
      <protection locked="0"/>
    </xf>
    <xf numFmtId="0" fontId="0" fillId="55" borderId="161" xfId="0" applyFont="1" applyFill="1" applyBorder="1" applyAlignment="1" applyProtection="1">
      <alignment vertical="center" wrapText="1"/>
      <protection/>
    </xf>
    <xf numFmtId="191" fontId="28" fillId="39" borderId="162" xfId="0" applyNumberFormat="1" applyFont="1" applyFill="1" applyBorder="1" applyAlignment="1" applyProtection="1">
      <alignment horizontal="center" vertical="center"/>
      <protection/>
    </xf>
    <xf numFmtId="191" fontId="28" fillId="55" borderId="162" xfId="0" applyNumberFormat="1" applyFont="1" applyFill="1" applyBorder="1" applyAlignment="1" applyProtection="1">
      <alignment horizontal="center" vertical="center"/>
      <protection locked="0"/>
    </xf>
    <xf numFmtId="191" fontId="28" fillId="39" borderId="163" xfId="0" applyNumberFormat="1" applyFont="1" applyFill="1" applyBorder="1" applyAlignment="1" applyProtection="1">
      <alignment horizontal="center" vertical="center"/>
      <protection/>
    </xf>
    <xf numFmtId="191" fontId="28" fillId="55" borderId="163" xfId="0" applyNumberFormat="1" applyFont="1" applyFill="1" applyBorder="1" applyAlignment="1" applyProtection="1">
      <alignment horizontal="center" vertical="center"/>
      <protection locked="0"/>
    </xf>
    <xf numFmtId="191" fontId="28" fillId="55" borderId="164" xfId="0" applyNumberFormat="1" applyFont="1" applyFill="1" applyBorder="1" applyAlignment="1" applyProtection="1">
      <alignment horizontal="center" vertical="center"/>
      <protection locked="0"/>
    </xf>
    <xf numFmtId="0" fontId="42" fillId="56" borderId="103" xfId="0" applyFont="1" applyFill="1" applyBorder="1" applyAlignment="1" applyProtection="1">
      <alignment vertical="center"/>
      <protection/>
    </xf>
    <xf numFmtId="0" fontId="42" fillId="56" borderId="38" xfId="0" applyFont="1" applyFill="1" applyBorder="1" applyAlignment="1" applyProtection="1">
      <alignment vertical="center"/>
      <protection/>
    </xf>
    <xf numFmtId="0" fontId="30" fillId="55" borderId="158" xfId="0" applyFont="1" applyFill="1" applyBorder="1" applyAlignment="1" applyProtection="1">
      <alignment vertical="center"/>
      <protection/>
    </xf>
    <xf numFmtId="0" fontId="0" fillId="55" borderId="89" xfId="0" applyFont="1" applyFill="1" applyBorder="1" applyAlignment="1" applyProtection="1">
      <alignment/>
      <protection/>
    </xf>
    <xf numFmtId="0" fontId="28" fillId="55" borderId="88" xfId="0" applyFont="1" applyFill="1" applyBorder="1" applyAlignment="1" applyProtection="1">
      <alignment horizontal="left" indent="1"/>
      <protection/>
    </xf>
    <xf numFmtId="0" fontId="28" fillId="55" borderId="21" xfId="0" applyFont="1" applyFill="1" applyBorder="1" applyAlignment="1" applyProtection="1">
      <alignment horizontal="left" indent="1"/>
      <protection/>
    </xf>
    <xf numFmtId="0" fontId="28" fillId="55" borderId="89" xfId="0" applyFont="1" applyFill="1" applyBorder="1" applyAlignment="1" applyProtection="1">
      <alignment horizontal="left" indent="1"/>
      <protection/>
    </xf>
    <xf numFmtId="0" fontId="28" fillId="55" borderId="93" xfId="0" applyFont="1" applyFill="1" applyBorder="1" applyAlignment="1" applyProtection="1">
      <alignment/>
      <protection/>
    </xf>
    <xf numFmtId="0" fontId="28" fillId="55" borderId="94" xfId="0" applyFont="1" applyFill="1" applyBorder="1" applyAlignment="1" applyProtection="1">
      <alignment/>
      <protection/>
    </xf>
    <xf numFmtId="0" fontId="0" fillId="55" borderId="83" xfId="0" applyFont="1" applyFill="1" applyBorder="1" applyAlignment="1" applyProtection="1">
      <alignment/>
      <protection/>
    </xf>
    <xf numFmtId="0" fontId="28" fillId="55" borderId="100" xfId="0" applyFont="1" applyFill="1" applyBorder="1" applyAlignment="1" applyProtection="1">
      <alignment horizontal="left" indent="1"/>
      <protection/>
    </xf>
    <xf numFmtId="0" fontId="28" fillId="55" borderId="94" xfId="0" applyFont="1" applyFill="1" applyBorder="1" applyAlignment="1" applyProtection="1">
      <alignment horizontal="left" indent="1"/>
      <protection/>
    </xf>
    <xf numFmtId="0" fontId="28" fillId="55" borderId="82" xfId="0" applyFont="1" applyFill="1" applyBorder="1" applyAlignment="1" applyProtection="1">
      <alignment horizontal="left" indent="1"/>
      <protection/>
    </xf>
    <xf numFmtId="0" fontId="28" fillId="55" borderId="85" xfId="0" applyFont="1" applyFill="1" applyBorder="1" applyAlignment="1" applyProtection="1">
      <alignment/>
      <protection/>
    </xf>
    <xf numFmtId="0" fontId="28" fillId="55" borderId="90" xfId="0" applyFont="1" applyFill="1" applyBorder="1" applyAlignment="1" applyProtection="1">
      <alignment horizontal="left" indent="1"/>
      <protection/>
    </xf>
    <xf numFmtId="0" fontId="28" fillId="55" borderId="90" xfId="0" applyFont="1" applyFill="1" applyBorder="1" applyAlignment="1" applyProtection="1">
      <alignment/>
      <protection/>
    </xf>
    <xf numFmtId="0" fontId="0" fillId="55" borderId="91" xfId="0" applyFill="1" applyBorder="1" applyAlignment="1" applyProtection="1">
      <alignment/>
      <protection/>
    </xf>
    <xf numFmtId="0" fontId="0" fillId="55" borderId="109" xfId="0" applyFill="1" applyBorder="1" applyAlignment="1" applyProtection="1">
      <alignment/>
      <protection/>
    </xf>
    <xf numFmtId="0" fontId="0" fillId="55" borderId="85" xfId="0" applyFill="1" applyBorder="1" applyAlignment="1" applyProtection="1">
      <alignment/>
      <protection/>
    </xf>
    <xf numFmtId="0" fontId="0" fillId="55" borderId="108" xfId="0" applyFill="1" applyBorder="1" applyAlignment="1" applyProtection="1">
      <alignment/>
      <protection/>
    </xf>
    <xf numFmtId="0" fontId="43" fillId="56" borderId="0" xfId="0" applyFont="1" applyFill="1" applyBorder="1" applyAlignment="1" applyProtection="1">
      <alignment horizontal="left"/>
      <protection/>
    </xf>
    <xf numFmtId="0" fontId="42" fillId="55" borderId="83" xfId="0" applyFont="1" applyFill="1" applyBorder="1" applyAlignment="1" applyProtection="1">
      <alignment horizontal="center"/>
      <protection/>
    </xf>
    <xf numFmtId="0" fontId="34" fillId="55" borderId="83" xfId="0" applyFont="1" applyFill="1" applyBorder="1" applyAlignment="1" applyProtection="1">
      <alignment/>
      <protection/>
    </xf>
    <xf numFmtId="195" fontId="28" fillId="0" borderId="82" xfId="0" applyNumberFormat="1" applyFont="1" applyFill="1" applyBorder="1" applyAlignment="1" applyProtection="1">
      <alignment horizontal="right" vertical="center"/>
      <protection/>
    </xf>
    <xf numFmtId="0" fontId="28" fillId="55" borderId="100" xfId="0" applyFont="1" applyFill="1" applyBorder="1" applyAlignment="1" applyProtection="1">
      <alignment/>
      <protection/>
    </xf>
    <xf numFmtId="0" fontId="28" fillId="0" borderId="100" xfId="0" applyFont="1" applyFill="1" applyBorder="1" applyAlignment="1" applyProtection="1">
      <alignment/>
      <protection/>
    </xf>
    <xf numFmtId="0" fontId="28" fillId="55" borderId="0" xfId="0" applyFont="1" applyFill="1" applyAlignment="1" applyProtection="1">
      <alignment wrapText="1"/>
      <protection/>
    </xf>
    <xf numFmtId="197" fontId="28" fillId="0" borderId="0" xfId="0" applyNumberFormat="1" applyFont="1" applyFill="1" applyBorder="1" applyAlignment="1" applyProtection="1">
      <alignment horizontal="right"/>
      <protection/>
    </xf>
    <xf numFmtId="191" fontId="28" fillId="39" borderId="104" xfId="0" applyNumberFormat="1" applyFont="1" applyFill="1" applyBorder="1" applyAlignment="1" applyProtection="1">
      <alignment horizontal="right"/>
      <protection/>
    </xf>
    <xf numFmtId="0" fontId="28" fillId="0" borderId="85" xfId="0" applyFont="1" applyFill="1" applyBorder="1" applyAlignment="1" applyProtection="1">
      <alignment horizontal="right" wrapText="1"/>
      <protection/>
    </xf>
    <xf numFmtId="191" fontId="28" fillId="39" borderId="95" xfId="0" applyNumberFormat="1" applyFont="1" applyFill="1" applyBorder="1" applyAlignment="1" applyProtection="1">
      <alignment horizontal="right"/>
      <protection/>
    </xf>
    <xf numFmtId="191" fontId="28" fillId="0" borderId="83" xfId="0" applyNumberFormat="1" applyFont="1" applyFill="1" applyBorder="1" applyAlignment="1" applyProtection="1">
      <alignment/>
      <protection/>
    </xf>
    <xf numFmtId="191" fontId="28" fillId="0" borderId="100" xfId="0" applyNumberFormat="1" applyFont="1" applyFill="1" applyBorder="1" applyAlignment="1" applyProtection="1">
      <alignment/>
      <protection/>
    </xf>
    <xf numFmtId="194" fontId="28" fillId="55" borderId="106" xfId="0" applyNumberFormat="1" applyFont="1" applyFill="1" applyBorder="1" applyAlignment="1" applyProtection="1">
      <alignment horizontal="left"/>
      <protection/>
    </xf>
    <xf numFmtId="197" fontId="28" fillId="55" borderId="0" xfId="0" applyNumberFormat="1" applyFont="1" applyFill="1" applyBorder="1" applyAlignment="1" applyProtection="1">
      <alignment horizontal="right"/>
      <protection/>
    </xf>
    <xf numFmtId="191" fontId="28" fillId="55" borderId="99" xfId="0" applyNumberFormat="1" applyFont="1" applyFill="1" applyBorder="1" applyAlignment="1" applyProtection="1">
      <alignment horizontal="right"/>
      <protection/>
    </xf>
    <xf numFmtId="0" fontId="28" fillId="55" borderId="0" xfId="0" applyFont="1" applyFill="1" applyBorder="1" applyAlignment="1" applyProtection="1">
      <alignment horizontal="right" wrapText="1"/>
      <protection/>
    </xf>
    <xf numFmtId="191" fontId="28" fillId="55" borderId="106" xfId="0" applyNumberFormat="1" applyFont="1" applyFill="1" applyBorder="1" applyAlignment="1" applyProtection="1">
      <alignment horizontal="right"/>
      <protection/>
    </xf>
    <xf numFmtId="191" fontId="28" fillId="55" borderId="83" xfId="0" applyNumberFormat="1" applyFont="1" applyFill="1" applyBorder="1" applyAlignment="1" applyProtection="1">
      <alignment/>
      <protection/>
    </xf>
    <xf numFmtId="191" fontId="28" fillId="55" borderId="100" xfId="0" applyNumberFormat="1" applyFont="1" applyFill="1" applyBorder="1" applyAlignment="1" applyProtection="1">
      <alignment/>
      <protection/>
    </xf>
    <xf numFmtId="194" fontId="28" fillId="0" borderId="93" xfId="0" applyNumberFormat="1" applyFont="1" applyFill="1" applyBorder="1" applyAlignment="1" applyProtection="1">
      <alignment horizontal="left"/>
      <protection/>
    </xf>
    <xf numFmtId="191" fontId="68" fillId="0" borderId="85" xfId="0" applyNumberFormat="1" applyFont="1" applyFill="1" applyBorder="1" applyAlignment="1" applyProtection="1">
      <alignment horizontal="center" wrapText="1"/>
      <protection/>
    </xf>
    <xf numFmtId="0" fontId="28" fillId="55" borderId="91" xfId="0" applyFont="1" applyFill="1" applyBorder="1" applyAlignment="1" applyProtection="1">
      <alignment/>
      <protection/>
    </xf>
    <xf numFmtId="194" fontId="28" fillId="0" borderId="91" xfId="0" applyNumberFormat="1" applyFont="1" applyFill="1" applyBorder="1" applyAlignment="1" applyProtection="1">
      <alignment vertical="center"/>
      <protection/>
    </xf>
    <xf numFmtId="0" fontId="28" fillId="55" borderId="117" xfId="0" applyFont="1" applyFill="1" applyBorder="1" applyAlignment="1" applyProtection="1">
      <alignment/>
      <protection/>
    </xf>
    <xf numFmtId="0" fontId="0" fillId="0" borderId="117" xfId="0" applyFont="1" applyBorder="1" applyAlignment="1" applyProtection="1">
      <alignment/>
      <protection/>
    </xf>
    <xf numFmtId="194" fontId="28" fillId="0" borderId="92" xfId="0" applyNumberFormat="1" applyFont="1" applyFill="1" applyBorder="1" applyAlignment="1" applyProtection="1">
      <alignment vertical="center"/>
      <protection/>
    </xf>
    <xf numFmtId="0" fontId="28" fillId="55" borderId="94" xfId="0" applyFont="1" applyFill="1" applyBorder="1" applyAlignment="1" applyProtection="1">
      <alignment/>
      <protection/>
    </xf>
    <xf numFmtId="191" fontId="28" fillId="0" borderId="0" xfId="0" applyNumberFormat="1" applyFont="1" applyFill="1" applyBorder="1" applyAlignment="1" applyProtection="1">
      <alignment/>
      <protection/>
    </xf>
    <xf numFmtId="0" fontId="28" fillId="55" borderId="93" xfId="0" applyFont="1" applyFill="1" applyBorder="1" applyAlignment="1" applyProtection="1">
      <alignment horizontal="right"/>
      <protection/>
    </xf>
    <xf numFmtId="191" fontId="28" fillId="0" borderId="105" xfId="0" applyNumberFormat="1" applyFont="1" applyFill="1" applyBorder="1" applyAlignment="1" applyProtection="1">
      <alignment horizontal="center"/>
      <protection/>
    </xf>
    <xf numFmtId="191" fontId="28" fillId="0" borderId="82" xfId="0" applyNumberFormat="1" applyFont="1" applyFill="1" applyBorder="1" applyAlignment="1" applyProtection="1">
      <alignment/>
      <protection/>
    </xf>
    <xf numFmtId="197" fontId="28" fillId="0" borderId="115" xfId="0" applyNumberFormat="1" applyFont="1" applyFill="1" applyBorder="1" applyAlignment="1" applyProtection="1">
      <alignment horizontal="right"/>
      <protection/>
    </xf>
    <xf numFmtId="191" fontId="28" fillId="39" borderId="165" xfId="0" applyNumberFormat="1" applyFont="1" applyFill="1" applyBorder="1" applyAlignment="1" applyProtection="1">
      <alignment horizontal="right"/>
      <protection/>
    </xf>
    <xf numFmtId="0" fontId="28" fillId="55" borderId="85" xfId="0" applyFont="1" applyFill="1" applyBorder="1" applyAlignment="1" applyProtection="1">
      <alignment horizontal="right" wrapText="1"/>
      <protection/>
    </xf>
    <xf numFmtId="191" fontId="28" fillId="0" borderId="85" xfId="0" applyNumberFormat="1" applyFont="1" applyFill="1" applyBorder="1" applyAlignment="1" applyProtection="1">
      <alignment/>
      <protection/>
    </xf>
    <xf numFmtId="191" fontId="28" fillId="55" borderId="82" xfId="0" applyNumberFormat="1" applyFont="1" applyFill="1" applyBorder="1" applyAlignment="1" applyProtection="1">
      <alignment/>
      <protection/>
    </xf>
    <xf numFmtId="191" fontId="47" fillId="0" borderId="27" xfId="0" applyNumberFormat="1" applyFont="1" applyBorder="1" applyAlignment="1" applyProtection="1">
      <alignment horizontal="center" vertical="center"/>
      <protection/>
    </xf>
    <xf numFmtId="191" fontId="30" fillId="39" borderId="27" xfId="0" applyNumberFormat="1" applyFont="1" applyFill="1" applyBorder="1" applyAlignment="1" applyProtection="1">
      <alignment horizontal="right"/>
      <protection/>
    </xf>
    <xf numFmtId="191" fontId="47" fillId="55" borderId="27" xfId="0" applyNumberFormat="1" applyFont="1" applyFill="1" applyBorder="1" applyAlignment="1" applyProtection="1">
      <alignment horizontal="center" vertical="center"/>
      <protection/>
    </xf>
    <xf numFmtId="0" fontId="28" fillId="55" borderId="0" xfId="0" applyFont="1" applyFill="1" applyBorder="1" applyAlignment="1" applyProtection="1">
      <alignment wrapText="1"/>
      <protection/>
    </xf>
    <xf numFmtId="0" fontId="28" fillId="55" borderId="0" xfId="0" applyFont="1" applyFill="1" applyBorder="1" applyAlignment="1" applyProtection="1">
      <alignment horizontal="center"/>
      <protection/>
    </xf>
    <xf numFmtId="0" fontId="28" fillId="55" borderId="0" xfId="0" applyFont="1" applyFill="1" applyBorder="1" applyAlignment="1" applyProtection="1">
      <alignment horizontal="center"/>
      <protection locked="0"/>
    </xf>
    <xf numFmtId="194" fontId="28" fillId="42" borderId="120" xfId="0" applyNumberFormat="1" applyFont="1" applyFill="1" applyBorder="1" applyAlignment="1" applyProtection="1">
      <alignment horizontal="left"/>
      <protection/>
    </xf>
    <xf numFmtId="191" fontId="28" fillId="42" borderId="103" xfId="0" applyNumberFormat="1" applyFont="1" applyFill="1" applyBorder="1" applyAlignment="1" applyProtection="1">
      <alignment/>
      <protection/>
    </xf>
    <xf numFmtId="191" fontId="28" fillId="42" borderId="103" xfId="0" applyNumberFormat="1" applyFont="1" applyFill="1" applyBorder="1" applyAlignment="1" applyProtection="1">
      <alignment horizontal="right"/>
      <protection/>
    </xf>
    <xf numFmtId="0" fontId="48" fillId="55" borderId="0" xfId="0" applyFont="1" applyFill="1" applyBorder="1" applyAlignment="1" applyProtection="1">
      <alignment horizontal="left" indent="1"/>
      <protection/>
    </xf>
    <xf numFmtId="0" fontId="83" fillId="55" borderId="82" xfId="0" applyFont="1" applyFill="1" applyBorder="1" applyAlignment="1" applyProtection="1">
      <alignment/>
      <protection/>
    </xf>
    <xf numFmtId="0" fontId="83" fillId="55" borderId="0" xfId="0" applyFont="1" applyFill="1" applyBorder="1" applyAlignment="1" applyProtection="1">
      <alignment/>
      <protection/>
    </xf>
    <xf numFmtId="0" fontId="28" fillId="55" borderId="111" xfId="0" applyFont="1" applyFill="1" applyBorder="1" applyAlignment="1" applyProtection="1">
      <alignment/>
      <protection/>
    </xf>
    <xf numFmtId="0" fontId="28" fillId="55" borderId="102" xfId="0" applyFont="1" applyFill="1" applyBorder="1" applyAlignment="1" applyProtection="1">
      <alignment horizontal="center"/>
      <protection/>
    </xf>
    <xf numFmtId="0" fontId="28" fillId="55" borderId="120" xfId="0" applyFont="1" applyFill="1" applyBorder="1" applyAlignment="1" applyProtection="1">
      <alignment/>
      <protection/>
    </xf>
    <xf numFmtId="0" fontId="28" fillId="0" borderId="115" xfId="0" applyFont="1" applyBorder="1" applyAlignment="1" applyProtection="1">
      <alignment/>
      <protection/>
    </xf>
    <xf numFmtId="0" fontId="28" fillId="0" borderId="108" xfId="0" applyFont="1" applyBorder="1" applyAlignment="1" applyProtection="1">
      <alignment/>
      <protection/>
    </xf>
    <xf numFmtId="0" fontId="28" fillId="55" borderId="103" xfId="0" applyFont="1" applyFill="1" applyBorder="1" applyAlignment="1" applyProtection="1">
      <alignment/>
      <protection/>
    </xf>
    <xf numFmtId="0" fontId="47" fillId="4" borderId="35" xfId="0" applyFont="1" applyFill="1" applyBorder="1" applyAlignment="1" applyProtection="1">
      <alignment horizontal="center" vertical="center" wrapText="1"/>
      <protection/>
    </xf>
    <xf numFmtId="0" fontId="47" fillId="4" borderId="27" xfId="0" applyFont="1" applyFill="1" applyBorder="1" applyAlignment="1" applyProtection="1">
      <alignment horizontal="center" vertical="center" wrapText="1"/>
      <protection/>
    </xf>
    <xf numFmtId="191" fontId="28" fillId="39" borderId="166" xfId="0" applyNumberFormat="1" applyFont="1" applyFill="1" applyBorder="1" applyAlignment="1" applyProtection="1">
      <alignment horizontal="center" vertical="center"/>
      <protection/>
    </xf>
    <xf numFmtId="191" fontId="28" fillId="39" borderId="167" xfId="0" applyNumberFormat="1" applyFont="1" applyFill="1" applyBorder="1" applyAlignment="1" applyProtection="1">
      <alignment horizontal="center" vertical="center"/>
      <protection/>
    </xf>
    <xf numFmtId="191" fontId="28" fillId="0" borderId="167" xfId="0" applyNumberFormat="1" applyFont="1" applyFill="1" applyBorder="1" applyAlignment="1" applyProtection="1">
      <alignment horizontal="center" vertical="center"/>
      <protection locked="0"/>
    </xf>
    <xf numFmtId="191" fontId="28" fillId="39" borderId="168" xfId="0" applyNumberFormat="1" applyFont="1" applyFill="1" applyBorder="1" applyAlignment="1" applyProtection="1">
      <alignment horizontal="center" vertical="center"/>
      <protection/>
    </xf>
    <xf numFmtId="191" fontId="28" fillId="0" borderId="168" xfId="0" applyNumberFormat="1" applyFont="1" applyFill="1" applyBorder="1" applyAlignment="1" applyProtection="1">
      <alignment horizontal="center" vertical="center"/>
      <protection locked="0"/>
    </xf>
    <xf numFmtId="0" fontId="28" fillId="55" borderId="53" xfId="0" applyFont="1" applyFill="1" applyBorder="1" applyAlignment="1" applyProtection="1">
      <alignment horizontal="center" vertical="center"/>
      <protection/>
    </xf>
    <xf numFmtId="0" fontId="86" fillId="55" borderId="0" xfId="0" applyFont="1" applyFill="1" applyBorder="1" applyAlignment="1" applyProtection="1">
      <alignment horizontal="left"/>
      <protection/>
    </xf>
    <xf numFmtId="0" fontId="28" fillId="0" borderId="94" xfId="0" applyFont="1" applyBorder="1" applyAlignment="1" applyProtection="1">
      <alignment/>
      <protection/>
    </xf>
    <xf numFmtId="0" fontId="28" fillId="55" borderId="93" xfId="0" applyFont="1" applyFill="1" applyBorder="1" applyAlignment="1" applyProtection="1">
      <alignment/>
      <protection/>
    </xf>
    <xf numFmtId="0" fontId="28" fillId="0" borderId="120" xfId="0" applyFont="1" applyBorder="1" applyAlignment="1" applyProtection="1">
      <alignment/>
      <protection/>
    </xf>
    <xf numFmtId="0" fontId="28" fillId="0" borderId="100" xfId="0" applyFont="1" applyBorder="1" applyAlignment="1" applyProtection="1">
      <alignment vertical="center"/>
      <protection/>
    </xf>
    <xf numFmtId="0" fontId="28" fillId="0" borderId="117" xfId="0" applyFont="1" applyBorder="1" applyAlignment="1" applyProtection="1">
      <alignment/>
      <protection/>
    </xf>
    <xf numFmtId="0" fontId="28" fillId="0" borderId="92" xfId="0" applyFont="1" applyBorder="1" applyAlignment="1" applyProtection="1">
      <alignment/>
      <protection/>
    </xf>
    <xf numFmtId="0" fontId="30" fillId="0" borderId="27" xfId="0" applyFont="1" applyFill="1" applyBorder="1" applyAlignment="1" applyProtection="1">
      <alignment horizontal="center" vertical="center"/>
      <protection locked="0"/>
    </xf>
    <xf numFmtId="0" fontId="87" fillId="0" borderId="83" xfId="0" applyFont="1" applyBorder="1" applyAlignment="1" applyProtection="1">
      <alignment/>
      <protection/>
    </xf>
    <xf numFmtId="0" fontId="28" fillId="0" borderId="82" xfId="0" applyFont="1" applyBorder="1" applyAlignment="1" applyProtection="1">
      <alignment/>
      <protection/>
    </xf>
    <xf numFmtId="0" fontId="28" fillId="0" borderId="101" xfId="0" applyFont="1" applyFill="1" applyBorder="1" applyAlignment="1" applyProtection="1">
      <alignment horizontal="left" vertical="center"/>
      <protection/>
    </xf>
    <xf numFmtId="200" fontId="28" fillId="55" borderId="0" xfId="0" applyNumberFormat="1" applyFont="1" applyFill="1" applyBorder="1" applyAlignment="1" applyProtection="1">
      <alignment/>
      <protection/>
    </xf>
    <xf numFmtId="0" fontId="28" fillId="0" borderId="90" xfId="0" applyFont="1" applyBorder="1" applyAlignment="1" applyProtection="1">
      <alignment/>
      <protection/>
    </xf>
    <xf numFmtId="0" fontId="30" fillId="0" borderId="27" xfId="0" applyFont="1" applyBorder="1" applyAlignment="1" applyProtection="1">
      <alignment horizontal="center" vertical="center"/>
      <protection locked="0"/>
    </xf>
    <xf numFmtId="0" fontId="28" fillId="55" borderId="100" xfId="0" applyFont="1" applyFill="1" applyBorder="1" applyAlignment="1" applyProtection="1">
      <alignment horizontal="left" vertical="center"/>
      <protection/>
    </xf>
    <xf numFmtId="0" fontId="28" fillId="0" borderId="101" xfId="0" applyFont="1" applyFill="1" applyBorder="1" applyAlignment="1" applyProtection="1">
      <alignment horizontal="left" vertical="center" wrapText="1"/>
      <protection/>
    </xf>
    <xf numFmtId="0" fontId="28" fillId="55" borderId="101" xfId="0" applyFont="1" applyFill="1" applyBorder="1" applyAlignment="1" applyProtection="1">
      <alignment horizontal="left" vertical="center" wrapText="1"/>
      <protection/>
    </xf>
    <xf numFmtId="200" fontId="28" fillId="55" borderId="30" xfId="0" applyNumberFormat="1" applyFont="1" applyFill="1" applyBorder="1" applyAlignment="1" applyProtection="1">
      <alignment/>
      <protection/>
    </xf>
    <xf numFmtId="0" fontId="28" fillId="55" borderId="82" xfId="0" applyFont="1" applyFill="1" applyBorder="1" applyAlignment="1" applyProtection="1">
      <alignment/>
      <protection/>
    </xf>
    <xf numFmtId="0" fontId="0" fillId="0" borderId="100" xfId="0" applyFont="1" applyBorder="1" applyAlignment="1" applyProtection="1">
      <alignment/>
      <protection/>
    </xf>
    <xf numFmtId="0" fontId="28" fillId="55" borderId="0" xfId="0" applyFont="1" applyFill="1" applyAlignment="1" applyProtection="1">
      <alignment/>
      <protection/>
    </xf>
    <xf numFmtId="202" fontId="0" fillId="39" borderId="48" xfId="0" applyNumberFormat="1" applyFont="1" applyFill="1" applyBorder="1" applyAlignment="1" applyProtection="1">
      <alignment horizontal="center" vertical="center"/>
      <protection/>
    </xf>
    <xf numFmtId="0" fontId="0" fillId="55" borderId="67" xfId="0" applyFont="1" applyFill="1" applyBorder="1" applyAlignment="1" applyProtection="1">
      <alignment horizontal="center" vertical="center"/>
      <protection/>
    </xf>
    <xf numFmtId="208" fontId="0" fillId="55" borderId="48" xfId="0" applyNumberFormat="1" applyFont="1" applyFill="1" applyBorder="1" applyAlignment="1" applyProtection="1">
      <alignment horizontal="center" vertical="center"/>
      <protection locked="0"/>
    </xf>
    <xf numFmtId="0" fontId="0" fillId="0" borderId="124" xfId="0" applyFont="1" applyBorder="1" applyAlignment="1" applyProtection="1">
      <alignment/>
      <protection/>
    </xf>
    <xf numFmtId="0" fontId="0" fillId="0" borderId="82" xfId="0" applyFont="1" applyBorder="1" applyAlignment="1" applyProtection="1">
      <alignment/>
      <protection/>
    </xf>
    <xf numFmtId="0" fontId="28" fillId="55" borderId="115" xfId="0" applyFont="1" applyFill="1" applyBorder="1" applyAlignment="1" applyProtection="1">
      <alignment/>
      <protection/>
    </xf>
    <xf numFmtId="0" fontId="0" fillId="55" borderId="0" xfId="0" applyFont="1" applyFill="1" applyBorder="1" applyAlignment="1" applyProtection="1">
      <alignment horizontal="center" vertical="center"/>
      <protection/>
    </xf>
    <xf numFmtId="40" fontId="0" fillId="55" borderId="0" xfId="0" applyNumberFormat="1" applyFont="1" applyFill="1" applyBorder="1" applyAlignment="1" applyProtection="1">
      <alignment horizontal="center" vertical="center"/>
      <protection/>
    </xf>
    <xf numFmtId="0" fontId="0" fillId="55" borderId="101" xfId="0" applyFont="1" applyFill="1" applyBorder="1" applyAlignment="1" applyProtection="1">
      <alignment/>
      <protection/>
    </xf>
    <xf numFmtId="0" fontId="0" fillId="0" borderId="169" xfId="0" applyFont="1" applyBorder="1" applyAlignment="1" applyProtection="1">
      <alignment/>
      <protection/>
    </xf>
    <xf numFmtId="0" fontId="0" fillId="0" borderId="88" xfId="0" applyFont="1" applyFill="1" applyBorder="1" applyAlignment="1" applyProtection="1">
      <alignment horizontal="center" vertical="center"/>
      <protection/>
    </xf>
    <xf numFmtId="0" fontId="0" fillId="55" borderId="93" xfId="0" applyFont="1" applyFill="1" applyBorder="1" applyAlignment="1" applyProtection="1">
      <alignment horizontal="center" vertical="center"/>
      <protection/>
    </xf>
    <xf numFmtId="0" fontId="28" fillId="0" borderId="92" xfId="0" applyFont="1" applyFill="1" applyBorder="1" applyAlignment="1" applyProtection="1">
      <alignment vertical="center"/>
      <protection/>
    </xf>
    <xf numFmtId="208" fontId="0" fillId="55" borderId="48" xfId="0" applyNumberFormat="1" applyFont="1" applyFill="1" applyBorder="1" applyAlignment="1" applyProtection="1">
      <alignment horizontal="center" vertical="center" wrapText="1"/>
      <protection locked="0"/>
    </xf>
    <xf numFmtId="0" fontId="0" fillId="0" borderId="90" xfId="0" applyFont="1" applyFill="1" applyBorder="1" applyAlignment="1" applyProtection="1">
      <alignment/>
      <protection/>
    </xf>
    <xf numFmtId="0" fontId="0" fillId="0" borderId="85" xfId="0" applyFont="1" applyBorder="1" applyAlignment="1" applyProtection="1">
      <alignment/>
      <protection/>
    </xf>
    <xf numFmtId="0" fontId="31" fillId="0" borderId="101" xfId="0" applyFont="1" applyFill="1" applyBorder="1" applyAlignment="1" applyProtection="1">
      <alignment horizontal="left"/>
      <protection/>
    </xf>
    <xf numFmtId="0" fontId="31" fillId="0" borderId="83" xfId="0" applyFont="1" applyFill="1" applyBorder="1" applyAlignment="1" applyProtection="1">
      <alignment horizontal="left"/>
      <protection/>
    </xf>
    <xf numFmtId="0" fontId="31" fillId="0" borderId="82" xfId="0" applyFont="1" applyFill="1" applyBorder="1" applyAlignment="1" applyProtection="1">
      <alignment horizontal="left"/>
      <protection/>
    </xf>
    <xf numFmtId="0" fontId="31" fillId="0" borderId="109" xfId="0" applyFont="1" applyFill="1" applyBorder="1" applyAlignment="1" applyProtection="1">
      <alignment horizontal="left"/>
      <protection/>
    </xf>
    <xf numFmtId="0" fontId="31" fillId="0" borderId="92" xfId="0" applyFont="1" applyFill="1" applyBorder="1" applyAlignment="1" applyProtection="1">
      <alignment horizontal="left"/>
      <protection/>
    </xf>
    <xf numFmtId="0" fontId="31" fillId="0" borderId="85" xfId="0" applyFont="1" applyFill="1" applyBorder="1" applyAlignment="1" applyProtection="1">
      <alignment horizontal="left"/>
      <protection/>
    </xf>
    <xf numFmtId="0" fontId="42" fillId="55" borderId="0" xfId="0" applyFont="1" applyFill="1" applyBorder="1" applyAlignment="1" applyProtection="1">
      <alignment horizontal="left"/>
      <protection/>
    </xf>
    <xf numFmtId="0" fontId="88" fillId="55" borderId="0" xfId="0" applyFont="1" applyFill="1" applyBorder="1" applyAlignment="1" applyProtection="1">
      <alignment horizontal="left"/>
      <protection/>
    </xf>
    <xf numFmtId="0" fontId="28" fillId="55" borderId="0" xfId="0" applyFont="1" applyFill="1" applyBorder="1" applyAlignment="1" applyProtection="1">
      <alignment horizontal="left"/>
      <protection/>
    </xf>
    <xf numFmtId="0" fontId="52" fillId="55" borderId="27" xfId="0" applyFont="1" applyFill="1" applyBorder="1" applyAlignment="1" applyProtection="1">
      <alignment horizontal="center" wrapText="1"/>
      <protection locked="0"/>
    </xf>
    <xf numFmtId="0" fontId="0" fillId="55" borderId="0" xfId="0" applyFont="1" applyFill="1" applyBorder="1" applyAlignment="1" applyProtection="1">
      <alignment horizontal="left"/>
      <protection/>
    </xf>
    <xf numFmtId="0" fontId="0" fillId="55" borderId="0" xfId="0" applyFont="1" applyFill="1" applyBorder="1" applyAlignment="1" applyProtection="1">
      <alignment horizontal="left" wrapText="1"/>
      <protection/>
    </xf>
    <xf numFmtId="0" fontId="52" fillId="55" borderId="0" xfId="0" applyFont="1" applyFill="1" applyBorder="1" applyAlignment="1" applyProtection="1">
      <alignment horizontal="center" wrapText="1"/>
      <protection locked="0"/>
    </xf>
    <xf numFmtId="0" fontId="0" fillId="55" borderId="93" xfId="0" applyFill="1" applyBorder="1" applyAlignment="1" applyProtection="1">
      <alignment/>
      <protection/>
    </xf>
    <xf numFmtId="0" fontId="0" fillId="55" borderId="94" xfId="0" applyFill="1" applyBorder="1" applyAlignment="1" applyProtection="1">
      <alignment/>
      <protection/>
    </xf>
    <xf numFmtId="0" fontId="28" fillId="55" borderId="109" xfId="0" applyFont="1" applyFill="1" applyBorder="1" applyAlignment="1" applyProtection="1">
      <alignment horizontal="left" vertical="center" wrapText="1" indent="1"/>
      <protection/>
    </xf>
    <xf numFmtId="0" fontId="28" fillId="55" borderId="108" xfId="0" applyFont="1" applyFill="1" applyBorder="1" applyAlignment="1" applyProtection="1">
      <alignment horizontal="left" vertical="center" wrapText="1" indent="1"/>
      <protection/>
    </xf>
    <xf numFmtId="0" fontId="34" fillId="55" borderId="0" xfId="0" applyFont="1" applyFill="1" applyBorder="1" applyAlignment="1" applyProtection="1">
      <alignment/>
      <protection/>
    </xf>
    <xf numFmtId="0" fontId="52" fillId="55" borderId="0" xfId="0" applyFont="1" applyFill="1" applyBorder="1" applyAlignment="1" applyProtection="1">
      <alignment horizontal="left" wrapText="1"/>
      <protection/>
    </xf>
    <xf numFmtId="0" fontId="30" fillId="55" borderId="0" xfId="0" applyNumberFormat="1" applyFont="1" applyFill="1" applyBorder="1" applyAlignment="1" applyProtection="1">
      <alignment/>
      <protection locked="0"/>
    </xf>
    <xf numFmtId="0" fontId="28" fillId="55" borderId="0" xfId="0" applyFont="1" applyFill="1" applyBorder="1" applyAlignment="1" applyProtection="1">
      <alignment horizontal="center" wrapText="1"/>
      <protection/>
    </xf>
    <xf numFmtId="0" fontId="30" fillId="55" borderId="0" xfId="0" applyFont="1" applyFill="1" applyBorder="1" applyAlignment="1" applyProtection="1">
      <alignment vertical="center"/>
      <protection/>
    </xf>
    <xf numFmtId="0" fontId="30" fillId="55" borderId="0" xfId="0" applyFont="1" applyFill="1" applyBorder="1" applyAlignment="1" applyProtection="1">
      <alignment/>
      <protection/>
    </xf>
    <xf numFmtId="0" fontId="28" fillId="39" borderId="152" xfId="0" applyFont="1" applyFill="1" applyBorder="1" applyAlignment="1" applyProtection="1">
      <alignment horizontal="left" vertical="center" indent="1"/>
      <protection/>
    </xf>
    <xf numFmtId="0" fontId="35" fillId="55" borderId="0" xfId="0" applyFont="1" applyFill="1" applyBorder="1" applyAlignment="1" applyProtection="1">
      <alignment horizontal="left"/>
      <protection/>
    </xf>
    <xf numFmtId="0" fontId="35" fillId="42" borderId="0" xfId="0" applyFont="1" applyFill="1" applyBorder="1" applyAlignment="1" applyProtection="1">
      <alignment horizontal="left"/>
      <protection/>
    </xf>
    <xf numFmtId="0" fontId="89" fillId="55" borderId="0" xfId="0" applyFont="1" applyFill="1" applyBorder="1" applyAlignment="1" applyProtection="1">
      <alignment horizontal="left"/>
      <protection/>
    </xf>
    <xf numFmtId="0" fontId="21" fillId="55" borderId="0" xfId="0" applyFont="1" applyFill="1" applyBorder="1" applyAlignment="1" applyProtection="1">
      <alignment horizontal="left"/>
      <protection/>
    </xf>
    <xf numFmtId="0" fontId="28" fillId="60" borderId="27" xfId="0" applyFont="1" applyFill="1" applyBorder="1" applyAlignment="1" applyProtection="1">
      <alignment horizontal="left"/>
      <protection/>
    </xf>
    <xf numFmtId="0" fontId="20" fillId="55" borderId="35" xfId="0" applyFont="1" applyFill="1" applyBorder="1" applyAlignment="1" applyProtection="1">
      <alignment horizontal="left" indent="2"/>
      <protection/>
    </xf>
    <xf numFmtId="0" fontId="20" fillId="55" borderId="26" xfId="0" applyFont="1" applyFill="1" applyBorder="1" applyAlignment="1" applyProtection="1">
      <alignment horizontal="left" indent="2"/>
      <protection/>
    </xf>
    <xf numFmtId="0" fontId="28" fillId="61" borderId="27" xfId="0" applyFont="1" applyFill="1" applyBorder="1" applyAlignment="1" applyProtection="1">
      <alignment horizontal="left"/>
      <protection/>
    </xf>
    <xf numFmtId="0" fontId="28" fillId="62" borderId="27" xfId="0" applyFont="1" applyFill="1" applyBorder="1" applyAlignment="1" applyProtection="1">
      <alignment horizontal="left"/>
      <protection/>
    </xf>
    <xf numFmtId="0" fontId="28" fillId="17" borderId="27" xfId="0" applyFont="1" applyFill="1" applyBorder="1" applyAlignment="1" applyProtection="1">
      <alignment horizontal="left"/>
      <protection/>
    </xf>
    <xf numFmtId="0" fontId="28" fillId="35" borderId="27" xfId="0" applyFont="1" applyFill="1" applyBorder="1" applyAlignment="1" applyProtection="1">
      <alignment horizontal="left"/>
      <protection/>
    </xf>
    <xf numFmtId="0" fontId="20" fillId="55" borderId="0" xfId="0" applyFont="1" applyFill="1" applyBorder="1" applyAlignment="1" applyProtection="1">
      <alignment horizontal="left" indent="2"/>
      <protection/>
    </xf>
    <xf numFmtId="0" fontId="44" fillId="55" borderId="0" xfId="0" applyFont="1" applyFill="1" applyBorder="1" applyAlignment="1" applyProtection="1">
      <alignment horizontal="left"/>
      <protection/>
    </xf>
    <xf numFmtId="0" fontId="20" fillId="55" borderId="0" xfId="0" applyFont="1" applyFill="1" applyBorder="1" applyAlignment="1" applyProtection="1">
      <alignment horizontal="left"/>
      <protection/>
    </xf>
    <xf numFmtId="0" fontId="20" fillId="55" borderId="103" xfId="0" applyFont="1" applyFill="1" applyBorder="1" applyAlignment="1" applyProtection="1">
      <alignment horizontal="left"/>
      <protection/>
    </xf>
    <xf numFmtId="191" fontId="30" fillId="39" borderId="103" xfId="0" applyNumberFormat="1" applyFont="1" applyFill="1" applyBorder="1" applyAlignment="1" applyProtection="1">
      <alignment/>
      <protection/>
    </xf>
    <xf numFmtId="0" fontId="28" fillId="39" borderId="27" xfId="0" applyFont="1" applyFill="1" applyBorder="1" applyAlignment="1" applyProtection="1">
      <alignment horizontal="center" wrapText="1"/>
      <protection/>
    </xf>
    <xf numFmtId="195" fontId="30" fillId="0" borderId="0" xfId="0" applyNumberFormat="1" applyFont="1" applyFill="1" applyBorder="1" applyAlignment="1" applyProtection="1">
      <alignment/>
      <protection/>
    </xf>
    <xf numFmtId="0" fontId="48" fillId="55" borderId="0" xfId="0" applyFont="1" applyFill="1" applyBorder="1" applyAlignment="1" applyProtection="1">
      <alignment horizontal="center"/>
      <protection/>
    </xf>
    <xf numFmtId="0" fontId="28" fillId="55" borderId="27" xfId="0" applyFont="1" applyFill="1" applyBorder="1" applyAlignment="1" applyProtection="1">
      <alignment horizontal="center" wrapText="1"/>
      <protection locked="0"/>
    </xf>
    <xf numFmtId="0" fontId="52" fillId="55" borderId="0" xfId="0" applyFont="1" applyFill="1" applyBorder="1" applyAlignment="1" applyProtection="1">
      <alignment horizontal="left"/>
      <protection/>
    </xf>
    <xf numFmtId="0" fontId="52" fillId="55" borderId="0" xfId="0" applyFont="1" applyFill="1" applyBorder="1" applyAlignment="1" applyProtection="1">
      <alignment horizontal="center" wrapText="1"/>
      <protection/>
    </xf>
    <xf numFmtId="0" fontId="20" fillId="55" borderId="0" xfId="0" applyFont="1" applyFill="1" applyAlignment="1" applyProtection="1">
      <alignment horizontal="center"/>
      <protection/>
    </xf>
    <xf numFmtId="1" fontId="0" fillId="42" borderId="27" xfId="434" applyNumberFormat="1" applyFont="1" applyFill="1" applyBorder="1" applyAlignment="1" applyProtection="1">
      <alignment/>
      <protection/>
    </xf>
    <xf numFmtId="1" fontId="28" fillId="55" borderId="27" xfId="0" applyNumberFormat="1" applyFont="1" applyFill="1" applyBorder="1" applyAlignment="1" applyProtection="1">
      <alignment horizontal="center"/>
      <protection locked="0"/>
    </xf>
    <xf numFmtId="9" fontId="83" fillId="42" borderId="27" xfId="434" applyFont="1" applyFill="1" applyBorder="1" applyAlignment="1" applyProtection="1">
      <alignment/>
      <protection/>
    </xf>
    <xf numFmtId="0" fontId="52" fillId="55" borderId="27" xfId="0" applyFont="1" applyFill="1" applyBorder="1" applyAlignment="1" applyProtection="1">
      <alignment horizontal="center"/>
      <protection locked="0"/>
    </xf>
    <xf numFmtId="0" fontId="52" fillId="55" borderId="0" xfId="0" applyFont="1" applyFill="1" applyBorder="1" applyAlignment="1" applyProtection="1">
      <alignment horizontal="center"/>
      <protection/>
    </xf>
    <xf numFmtId="187" fontId="28" fillId="55" borderId="0" xfId="317" applyNumberFormat="1" applyFont="1" applyFill="1" applyBorder="1" applyAlignment="1" applyProtection="1">
      <alignment horizontal="left" vertical="center"/>
      <protection/>
    </xf>
    <xf numFmtId="0" fontId="30" fillId="55" borderId="103" xfId="0" applyFont="1" applyFill="1" applyBorder="1" applyAlignment="1" applyProtection="1">
      <alignment horizontal="center"/>
      <protection locked="0"/>
    </xf>
    <xf numFmtId="0" fontId="30" fillId="55" borderId="0" xfId="0" applyFont="1" applyFill="1" applyAlignment="1" applyProtection="1">
      <alignment horizontal="left" wrapText="1" indent="1"/>
      <protection/>
    </xf>
    <xf numFmtId="0" fontId="28" fillId="55" borderId="0" xfId="0" applyFont="1" applyFill="1" applyAlignment="1" applyProtection="1">
      <alignment horizontal="left" wrapText="1" indent="1"/>
      <protection/>
    </xf>
    <xf numFmtId="0" fontId="46" fillId="55" borderId="0" xfId="0" applyFont="1" applyFill="1" applyBorder="1" applyAlignment="1" applyProtection="1">
      <alignment horizontal="left" wrapText="1"/>
      <protection/>
    </xf>
    <xf numFmtId="0" fontId="30" fillId="55" borderId="0" xfId="0" applyFont="1" applyFill="1" applyBorder="1" applyAlignment="1" applyProtection="1">
      <alignment horizontal="center"/>
      <protection/>
    </xf>
    <xf numFmtId="0" fontId="20" fillId="55" borderId="0" xfId="0" applyFont="1" applyFill="1" applyBorder="1" applyAlignment="1" applyProtection="1">
      <alignment horizontal="left" vertical="center" wrapText="1"/>
      <protection locked="0"/>
    </xf>
    <xf numFmtId="0" fontId="28" fillId="55" borderId="0" xfId="0" applyFont="1" applyFill="1" applyAlignment="1" applyProtection="1">
      <alignment horizontal="left" vertical="center"/>
      <protection/>
    </xf>
    <xf numFmtId="0" fontId="35" fillId="55" borderId="0" xfId="0" applyFont="1" applyFill="1" applyBorder="1" applyAlignment="1" applyProtection="1">
      <alignment/>
      <protection/>
    </xf>
    <xf numFmtId="0" fontId="35" fillId="55" borderId="0" xfId="0" applyFont="1" applyFill="1" applyBorder="1" applyAlignment="1" applyProtection="1">
      <alignment/>
      <protection/>
    </xf>
    <xf numFmtId="0" fontId="35" fillId="55" borderId="0" xfId="0" applyFont="1" applyFill="1" applyAlignment="1" applyProtection="1">
      <alignment/>
      <protection/>
    </xf>
    <xf numFmtId="0" fontId="48" fillId="55" borderId="0" xfId="0" applyFont="1" applyFill="1" applyAlignment="1" applyProtection="1">
      <alignment/>
      <protection/>
    </xf>
    <xf numFmtId="0" fontId="19" fillId="55" borderId="0" xfId="374" applyFont="1" applyFill="1" applyAlignment="1" applyProtection="1">
      <alignment horizontal="left" wrapText="1"/>
      <protection/>
    </xf>
    <xf numFmtId="0" fontId="46" fillId="55" borderId="0" xfId="374" applyFont="1" applyFill="1" applyAlignment="1" applyProtection="1">
      <alignment wrapText="1"/>
      <protection/>
    </xf>
    <xf numFmtId="0" fontId="30" fillId="0" borderId="128" xfId="374" applyFont="1" applyBorder="1" applyAlignment="1" applyProtection="1">
      <alignment vertical="center"/>
      <protection/>
    </xf>
    <xf numFmtId="0" fontId="30" fillId="0" borderId="129" xfId="374" applyFont="1" applyBorder="1" applyAlignment="1" applyProtection="1">
      <alignment vertical="center"/>
      <protection/>
    </xf>
    <xf numFmtId="0" fontId="21" fillId="55" borderId="0" xfId="374" applyFont="1" applyFill="1" applyProtection="1">
      <alignment/>
      <protection/>
    </xf>
    <xf numFmtId="0" fontId="28" fillId="55" borderId="27" xfId="374" applyNumberFormat="1" applyFont="1" applyFill="1" applyBorder="1" applyAlignment="1" applyProtection="1">
      <alignment horizontal="left" vertical="center" wrapText="1"/>
      <protection locked="0"/>
    </xf>
    <xf numFmtId="0" fontId="28" fillId="55" borderId="38" xfId="374" applyNumberFormat="1" applyFont="1" applyFill="1" applyBorder="1" applyAlignment="1" applyProtection="1">
      <alignment horizontal="left" vertical="center" wrapText="1"/>
      <protection locked="0"/>
    </xf>
    <xf numFmtId="0" fontId="28" fillId="55" borderId="0" xfId="374" applyNumberFormat="1" applyFont="1" applyFill="1" applyBorder="1" applyAlignment="1" applyProtection="1">
      <alignment horizontal="left"/>
      <protection/>
    </xf>
    <xf numFmtId="209" fontId="28" fillId="55" borderId="27" xfId="374" applyNumberFormat="1" applyFont="1" applyFill="1" applyBorder="1" applyAlignment="1" applyProtection="1">
      <alignment horizontal="left" vertical="center" wrapText="1"/>
      <protection locked="0"/>
    </xf>
    <xf numFmtId="210" fontId="28" fillId="55" borderId="27" xfId="317" applyNumberFormat="1" applyFont="1" applyFill="1" applyBorder="1" applyAlignment="1" applyProtection="1">
      <alignment horizontal="right" vertical="center" wrapText="1"/>
      <protection locked="0"/>
    </xf>
    <xf numFmtId="0" fontId="0" fillId="55" borderId="0" xfId="374" applyNumberFormat="1" applyFill="1" applyProtection="1">
      <alignment/>
      <protection/>
    </xf>
    <xf numFmtId="0" fontId="28" fillId="55" borderId="0" xfId="374" applyNumberFormat="1" applyFont="1" applyFill="1" applyBorder="1" applyAlignment="1" applyProtection="1">
      <alignment/>
      <protection/>
    </xf>
    <xf numFmtId="0" fontId="28" fillId="55" borderId="0" xfId="374" applyNumberFormat="1" applyFont="1" applyFill="1" applyBorder="1" applyAlignment="1" applyProtection="1">
      <alignment horizontal="left" vertical="center" wrapText="1"/>
      <protection locked="0"/>
    </xf>
    <xf numFmtId="0" fontId="28" fillId="0" borderId="0" xfId="374" applyNumberFormat="1" applyFont="1" applyProtection="1">
      <alignment/>
      <protection/>
    </xf>
    <xf numFmtId="0" fontId="28" fillId="55" borderId="0" xfId="374" applyNumberFormat="1" applyFont="1" applyFill="1" applyProtection="1">
      <alignment/>
      <protection/>
    </xf>
    <xf numFmtId="0" fontId="42" fillId="56" borderId="0" xfId="374" applyNumberFormat="1" applyFont="1" applyFill="1" applyBorder="1" applyAlignment="1" applyProtection="1">
      <alignment horizontal="center"/>
      <protection/>
    </xf>
    <xf numFmtId="203" fontId="28" fillId="55" borderId="27" xfId="374" applyNumberFormat="1" applyFont="1" applyFill="1" applyBorder="1" applyAlignment="1" applyProtection="1">
      <alignment horizontal="left" vertical="center" wrapText="1"/>
      <protection locked="0"/>
    </xf>
    <xf numFmtId="180" fontId="28" fillId="55" borderId="27" xfId="317" applyFont="1" applyFill="1" applyBorder="1" applyAlignment="1" applyProtection="1">
      <alignment horizontal="right" vertical="center" wrapText="1"/>
      <protection locked="0"/>
    </xf>
    <xf numFmtId="210" fontId="28" fillId="55" borderId="27" xfId="317" applyNumberFormat="1" applyFont="1" applyFill="1" applyBorder="1" applyAlignment="1" applyProtection="1">
      <alignment vertical="center" wrapText="1"/>
      <protection locked="0"/>
    </xf>
    <xf numFmtId="211" fontId="28" fillId="55" borderId="27" xfId="317" applyNumberFormat="1" applyFont="1" applyFill="1" applyBorder="1" applyAlignment="1" applyProtection="1">
      <alignment vertical="center" wrapText="1"/>
      <protection locked="0"/>
    </xf>
    <xf numFmtId="0" fontId="19" fillId="55" borderId="0" xfId="0" applyFont="1" applyFill="1" applyAlignment="1" applyProtection="1">
      <alignment wrapText="1"/>
      <protection/>
    </xf>
    <xf numFmtId="0" fontId="0" fillId="55" borderId="101" xfId="0" applyFont="1" applyFill="1" applyBorder="1" applyAlignment="1" applyProtection="1">
      <alignment/>
      <protection/>
    </xf>
    <xf numFmtId="0" fontId="0" fillId="39" borderId="21" xfId="0" applyFill="1" applyBorder="1" applyAlignment="1" applyProtection="1">
      <alignment/>
      <protection/>
    </xf>
    <xf numFmtId="49" fontId="30" fillId="39" borderId="21" xfId="0" applyNumberFormat="1" applyFont="1" applyFill="1" applyBorder="1" applyAlignment="1" applyProtection="1">
      <alignment vertical="center"/>
      <protection/>
    </xf>
    <xf numFmtId="0" fontId="30" fillId="39" borderId="21" xfId="0" applyNumberFormat="1" applyFont="1" applyFill="1" applyBorder="1" applyAlignment="1" applyProtection="1">
      <alignment vertical="center"/>
      <protection/>
    </xf>
    <xf numFmtId="0" fontId="30" fillId="39" borderId="170" xfId="0" applyNumberFormat="1" applyFont="1" applyFill="1" applyBorder="1" applyAlignment="1" applyProtection="1">
      <alignment vertical="center"/>
      <protection/>
    </xf>
    <xf numFmtId="0" fontId="47" fillId="55" borderId="0" xfId="0" applyFont="1" applyFill="1" applyAlignment="1" applyProtection="1">
      <alignment horizontal="left"/>
      <protection/>
    </xf>
    <xf numFmtId="0" fontId="0" fillId="62" borderId="0" xfId="0" applyFill="1" applyAlignment="1" applyProtection="1">
      <alignment horizontal="center"/>
      <protection/>
    </xf>
    <xf numFmtId="0" fontId="0" fillId="62" borderId="0" xfId="0" applyFill="1" applyAlignment="1" applyProtection="1">
      <alignment/>
      <protection/>
    </xf>
    <xf numFmtId="0" fontId="92" fillId="0" borderId="0" xfId="0" applyFont="1" applyFill="1" applyBorder="1" applyAlignment="1" applyProtection="1">
      <alignment horizontal="left" wrapText="1"/>
      <protection/>
    </xf>
    <xf numFmtId="0" fontId="92" fillId="55" borderId="0" xfId="0" applyFont="1" applyFill="1" applyBorder="1" applyAlignment="1" applyProtection="1">
      <alignment horizontal="left" wrapText="1"/>
      <protection/>
    </xf>
    <xf numFmtId="0" fontId="46" fillId="55" borderId="0" xfId="0" applyFont="1" applyFill="1" applyAlignment="1" applyProtection="1">
      <alignment/>
      <protection/>
    </xf>
    <xf numFmtId="0" fontId="20" fillId="55" borderId="0" xfId="0" applyFont="1" applyFill="1" applyAlignment="1" applyProtection="1">
      <alignment/>
      <protection/>
    </xf>
    <xf numFmtId="0" fontId="30" fillId="4" borderId="27" xfId="0" applyFont="1" applyFill="1" applyBorder="1" applyAlignment="1" applyProtection="1">
      <alignment horizontal="center" vertical="top"/>
      <protection/>
    </xf>
    <xf numFmtId="0" fontId="30" fillId="58" borderId="26" xfId="0" applyFont="1" applyFill="1" applyBorder="1" applyAlignment="1" applyProtection="1">
      <alignment horizontal="center" vertical="top" wrapText="1"/>
      <protection/>
    </xf>
    <xf numFmtId="0" fontId="30" fillId="4" borderId="26" xfId="0" applyFont="1" applyFill="1" applyBorder="1" applyAlignment="1" applyProtection="1">
      <alignment horizontal="center" vertical="top" wrapText="1"/>
      <protection/>
    </xf>
    <xf numFmtId="0" fontId="30" fillId="55" borderId="164" xfId="0" applyFont="1" applyFill="1" applyBorder="1" applyAlignment="1" applyProtection="1">
      <alignment horizontal="center" vertical="top"/>
      <protection/>
    </xf>
    <xf numFmtId="0" fontId="30" fillId="4" borderId="27" xfId="0" applyFont="1" applyFill="1" applyBorder="1" applyAlignment="1" applyProtection="1">
      <alignment horizontal="center" vertical="top" wrapText="1"/>
      <protection/>
    </xf>
    <xf numFmtId="0" fontId="30" fillId="58" borderId="27" xfId="0" applyFont="1" applyFill="1" applyBorder="1" applyAlignment="1" applyProtection="1">
      <alignment horizontal="center" vertical="top" wrapText="1"/>
      <protection/>
    </xf>
    <xf numFmtId="181" fontId="28" fillId="55" borderId="132" xfId="0" applyNumberFormat="1" applyFont="1" applyFill="1" applyBorder="1" applyAlignment="1" applyProtection="1">
      <alignment horizontal="left" vertical="center"/>
      <protection locked="0"/>
    </xf>
    <xf numFmtId="0" fontId="28" fillId="55" borderId="164" xfId="0" applyFont="1" applyFill="1" applyBorder="1" applyAlignment="1" applyProtection="1">
      <alignment/>
      <protection/>
    </xf>
    <xf numFmtId="181" fontId="28" fillId="42" borderId="132" xfId="0" applyNumberFormat="1" applyFont="1" applyFill="1" applyBorder="1" applyAlignment="1" applyProtection="1">
      <alignment horizontal="left" vertical="center"/>
      <protection/>
    </xf>
    <xf numFmtId="181" fontId="28" fillId="63" borderId="132" xfId="0" applyNumberFormat="1" applyFont="1" applyFill="1" applyBorder="1" applyAlignment="1" applyProtection="1">
      <alignment horizontal="left" vertical="center"/>
      <protection locked="0"/>
    </xf>
    <xf numFmtId="200" fontId="28" fillId="55" borderId="27" xfId="0" applyNumberFormat="1" applyFont="1" applyFill="1" applyBorder="1" applyAlignment="1" applyProtection="1">
      <alignment wrapText="1"/>
      <protection locked="0"/>
    </xf>
    <xf numFmtId="204" fontId="28" fillId="55" borderId="132" xfId="0" applyNumberFormat="1" applyFont="1" applyFill="1" applyBorder="1" applyAlignment="1" applyProtection="1">
      <alignment horizontal="left" vertical="center"/>
      <protection locked="0"/>
    </xf>
    <xf numFmtId="200" fontId="28" fillId="0" borderId="27" xfId="0" applyNumberFormat="1" applyFont="1" applyBorder="1" applyAlignment="1" applyProtection="1">
      <alignment wrapText="1"/>
      <protection locked="0"/>
    </xf>
    <xf numFmtId="0" fontId="28" fillId="55" borderId="0" xfId="0" applyNumberFormat="1" applyFont="1" applyFill="1" applyBorder="1" applyAlignment="1" applyProtection="1">
      <alignment horizontal="center"/>
      <protection/>
    </xf>
    <xf numFmtId="0" fontId="28" fillId="55" borderId="0" xfId="0" applyNumberFormat="1" applyFont="1" applyFill="1" applyBorder="1" applyAlignment="1" applyProtection="1">
      <alignment/>
      <protection/>
    </xf>
    <xf numFmtId="0" fontId="28" fillId="59" borderId="0" xfId="0" applyNumberFormat="1" applyFont="1" applyFill="1" applyBorder="1" applyAlignment="1" applyProtection="1">
      <alignment horizontal="center"/>
      <protection/>
    </xf>
    <xf numFmtId="195" fontId="28" fillId="39" borderId="27" xfId="0" applyNumberFormat="1" applyFont="1" applyFill="1" applyBorder="1" applyAlignment="1" applyProtection="1">
      <alignment horizontal="center"/>
      <protection/>
    </xf>
    <xf numFmtId="195" fontId="28" fillId="55" borderId="0" xfId="0" applyNumberFormat="1" applyFont="1" applyFill="1" applyBorder="1" applyAlignment="1" applyProtection="1">
      <alignment/>
      <protection/>
    </xf>
    <xf numFmtId="195" fontId="28" fillId="55" borderId="0" xfId="0" applyNumberFormat="1" applyFont="1" applyFill="1" applyBorder="1" applyAlignment="1" applyProtection="1">
      <alignment horizontal="center"/>
      <protection/>
    </xf>
    <xf numFmtId="0" fontId="70" fillId="55" borderId="0" xfId="0" applyNumberFormat="1" applyFont="1" applyFill="1" applyBorder="1" applyAlignment="1" applyProtection="1">
      <alignment/>
      <protection/>
    </xf>
    <xf numFmtId="191" fontId="28" fillId="39" borderId="27" xfId="0" applyNumberFormat="1" applyFont="1" applyFill="1" applyBorder="1" applyAlignment="1" applyProtection="1">
      <alignment horizontal="center"/>
      <protection/>
    </xf>
    <xf numFmtId="191" fontId="28" fillId="55" borderId="0" xfId="0" applyNumberFormat="1" applyFont="1" applyFill="1" applyBorder="1" applyAlignment="1" applyProtection="1">
      <alignment horizontal="center"/>
      <protection/>
    </xf>
    <xf numFmtId="0" fontId="55" fillId="0" borderId="0" xfId="374" applyFont="1" applyAlignment="1">
      <alignment horizontal="left" vertical="top"/>
      <protection/>
    </xf>
    <xf numFmtId="0" fontId="55" fillId="0" borderId="0" xfId="374" applyFont="1">
      <alignment/>
      <protection/>
    </xf>
    <xf numFmtId="0" fontId="0" fillId="0" borderId="0" xfId="374" applyFill="1" applyAlignment="1">
      <alignment horizontal="justify"/>
      <protection/>
    </xf>
    <xf numFmtId="0" fontId="0" fillId="0" borderId="0" xfId="374" applyFill="1" applyBorder="1" applyAlignment="1">
      <alignment horizontal="justify"/>
      <protection/>
    </xf>
    <xf numFmtId="0" fontId="0" fillId="0" borderId="0" xfId="0" applyFill="1" applyAlignment="1">
      <alignment/>
    </xf>
    <xf numFmtId="0" fontId="83" fillId="0" borderId="0" xfId="374" applyFont="1" applyFill="1" applyAlignment="1">
      <alignment horizontal="justify"/>
      <protection/>
    </xf>
    <xf numFmtId="0" fontId="93" fillId="0" borderId="0" xfId="374" applyFont="1" applyFill="1" applyBorder="1" applyAlignment="1" applyProtection="1">
      <alignment horizontal="left" indent="1"/>
      <protection/>
    </xf>
    <xf numFmtId="0" fontId="47" fillId="0" borderId="0" xfId="374" applyFont="1" applyFill="1" applyBorder="1" applyAlignment="1" applyProtection="1">
      <alignment horizontal="left" indent="1"/>
      <protection/>
    </xf>
    <xf numFmtId="0" fontId="0" fillId="0" borderId="0" xfId="0" applyFont="1" applyAlignment="1">
      <alignment/>
    </xf>
    <xf numFmtId="0" fontId="0" fillId="0" borderId="0" xfId="0" applyBorder="1" applyAlignment="1">
      <alignment/>
    </xf>
    <xf numFmtId="0" fontId="28" fillId="0" borderId="0" xfId="0" applyFont="1" applyAlignment="1" applyProtection="1">
      <alignment horizontal="left" vertical="top" wrapText="1"/>
      <protection/>
    </xf>
    <xf numFmtId="0" fontId="28" fillId="0" borderId="0" xfId="0" applyFont="1" applyAlignment="1" applyProtection="1">
      <alignment vertical="top" wrapText="1"/>
      <protection/>
    </xf>
    <xf numFmtId="0" fontId="28" fillId="0" borderId="0" xfId="0" applyFont="1" applyAlignment="1" applyProtection="1">
      <alignment/>
      <protection/>
    </xf>
    <xf numFmtId="0" fontId="0" fillId="0" borderId="0" xfId="0" applyFont="1" applyAlignment="1">
      <alignment vertical="top" wrapText="1"/>
    </xf>
    <xf numFmtId="0" fontId="30" fillId="39" borderId="27" xfId="0" applyFont="1" applyFill="1" applyBorder="1" applyAlignment="1" applyProtection="1">
      <alignment vertical="top" wrapText="1"/>
      <protection/>
    </xf>
    <xf numFmtId="0" fontId="30" fillId="39" borderId="38" xfId="0" applyFont="1" applyFill="1" applyBorder="1" applyAlignment="1" applyProtection="1">
      <alignment vertical="top"/>
      <protection/>
    </xf>
    <xf numFmtId="0" fontId="30" fillId="39" borderId="27" xfId="0" applyFont="1" applyFill="1" applyBorder="1" applyAlignment="1" applyProtection="1">
      <alignment/>
      <protection/>
    </xf>
    <xf numFmtId="0" fontId="30" fillId="39" borderId="27" xfId="0" applyFont="1" applyFill="1" applyBorder="1" applyAlignment="1" applyProtection="1">
      <alignment vertical="top"/>
      <protection/>
    </xf>
    <xf numFmtId="0" fontId="0" fillId="0" borderId="171" xfId="0" applyBorder="1" applyAlignment="1">
      <alignment/>
    </xf>
    <xf numFmtId="0" fontId="47" fillId="0" borderId="0" xfId="0" applyFont="1" applyBorder="1" applyAlignment="1">
      <alignment vertical="top" wrapText="1"/>
    </xf>
    <xf numFmtId="0" fontId="47" fillId="0" borderId="0" xfId="0" applyFont="1" applyAlignment="1">
      <alignment/>
    </xf>
    <xf numFmtId="0" fontId="28" fillId="0" borderId="172" xfId="0" applyFont="1" applyBorder="1" applyAlignment="1" applyProtection="1">
      <alignment vertical="top" wrapText="1"/>
      <protection/>
    </xf>
    <xf numFmtId="0" fontId="52" fillId="0" borderId="172" xfId="0" applyFont="1" applyBorder="1" applyAlignment="1" applyProtection="1">
      <alignment vertical="top" wrapText="1"/>
      <protection/>
    </xf>
    <xf numFmtId="0" fontId="28" fillId="0" borderId="0" xfId="0" applyFont="1" applyAlignment="1" applyProtection="1">
      <alignment horizontal="right" vertical="top"/>
      <protection/>
    </xf>
    <xf numFmtId="0" fontId="52" fillId="0" borderId="166" xfId="0" applyFont="1" applyBorder="1" applyAlignment="1" applyProtection="1">
      <alignment vertical="top" wrapText="1"/>
      <protection/>
    </xf>
    <xf numFmtId="0" fontId="28" fillId="0" borderId="172" xfId="0" applyFont="1" applyBorder="1" applyAlignment="1">
      <alignment vertical="top" wrapText="1"/>
    </xf>
    <xf numFmtId="0" fontId="28" fillId="0" borderId="173" xfId="0" applyFont="1" applyBorder="1" applyAlignment="1" applyProtection="1">
      <alignment vertical="top" wrapText="1"/>
      <protection/>
    </xf>
    <xf numFmtId="0" fontId="52" fillId="0" borderId="173" xfId="0" applyFont="1" applyBorder="1" applyAlignment="1" applyProtection="1">
      <alignment vertical="top" wrapText="1"/>
      <protection/>
    </xf>
    <xf numFmtId="0" fontId="52" fillId="0" borderId="167" xfId="0" applyFont="1" applyBorder="1" applyAlignment="1" applyProtection="1">
      <alignment vertical="top" wrapText="1"/>
      <protection/>
    </xf>
    <xf numFmtId="0" fontId="28" fillId="0" borderId="173" xfId="0" applyFont="1" applyBorder="1" applyAlignment="1">
      <alignment vertical="top" wrapText="1"/>
    </xf>
    <xf numFmtId="0" fontId="0" fillId="0" borderId="0" xfId="0" applyAlignment="1">
      <alignment horizontal="right"/>
    </xf>
    <xf numFmtId="0" fontId="84" fillId="0" borderId="0" xfId="0" applyFont="1" applyAlignment="1">
      <alignment vertical="top" wrapText="1"/>
    </xf>
    <xf numFmtId="0" fontId="96" fillId="0" borderId="0" xfId="0" applyFont="1" applyAlignment="1">
      <alignment/>
    </xf>
    <xf numFmtId="0" fontId="52" fillId="0" borderId="174" xfId="0" applyFont="1" applyBorder="1" applyAlignment="1" applyProtection="1">
      <alignment vertical="top" wrapText="1"/>
      <protection/>
    </xf>
    <xf numFmtId="0" fontId="28" fillId="0" borderId="153" xfId="0" applyFont="1" applyBorder="1" applyAlignment="1" applyProtection="1">
      <alignment vertical="top" wrapText="1"/>
      <protection/>
    </xf>
    <xf numFmtId="0" fontId="52" fillId="0" borderId="168" xfId="0" applyFont="1" applyBorder="1" applyAlignment="1" applyProtection="1">
      <alignment vertical="top" wrapText="1"/>
      <protection/>
    </xf>
    <xf numFmtId="0" fontId="28" fillId="0" borderId="175" xfId="0" applyFont="1" applyBorder="1" applyAlignment="1" applyProtection="1">
      <alignment/>
      <protection/>
    </xf>
    <xf numFmtId="0" fontId="97" fillId="0" borderId="0" xfId="0" applyFont="1" applyAlignment="1">
      <alignment/>
    </xf>
    <xf numFmtId="0" fontId="28" fillId="0" borderId="157" xfId="0" applyFont="1" applyBorder="1" applyAlignment="1" applyProtection="1">
      <alignment/>
      <protection/>
    </xf>
    <xf numFmtId="0" fontId="28" fillId="0" borderId="0" xfId="0" applyFont="1" applyBorder="1" applyAlignment="1" applyProtection="1">
      <alignment/>
      <protection/>
    </xf>
    <xf numFmtId="0" fontId="28" fillId="0" borderId="163" xfId="0" applyFont="1" applyBorder="1" applyAlignment="1">
      <alignment vertical="top" wrapText="1"/>
    </xf>
    <xf numFmtId="0" fontId="28" fillId="0" borderId="0" xfId="0" applyFont="1" applyAlignment="1">
      <alignment vertical="top"/>
    </xf>
    <xf numFmtId="0" fontId="0" fillId="0" borderId="0" xfId="0" applyFont="1" applyBorder="1" applyAlignment="1">
      <alignment vertical="top" wrapText="1"/>
    </xf>
    <xf numFmtId="0" fontId="28" fillId="0" borderId="174" xfId="0" applyFont="1" applyBorder="1" applyAlignment="1" applyProtection="1">
      <alignment vertical="top" wrapText="1"/>
      <protection/>
    </xf>
    <xf numFmtId="0" fontId="28" fillId="0" borderId="99" xfId="0" applyFont="1" applyBorder="1" applyAlignment="1" applyProtection="1">
      <alignment horizontal="left" vertical="top" wrapText="1"/>
      <protection/>
    </xf>
    <xf numFmtId="0" fontId="28" fillId="0" borderId="0" xfId="0" applyFont="1" applyAlignment="1">
      <alignment vertical="top" wrapText="1"/>
    </xf>
    <xf numFmtId="0" fontId="28" fillId="0" borderId="0" xfId="0" applyFont="1" applyAlignment="1">
      <alignment/>
    </xf>
    <xf numFmtId="0" fontId="30" fillId="39" borderId="131" xfId="0" applyFont="1" applyFill="1" applyBorder="1" applyAlignment="1" applyProtection="1">
      <alignment vertical="top" wrapText="1"/>
      <protection/>
    </xf>
    <xf numFmtId="0" fontId="52" fillId="0" borderId="172" xfId="0" applyFont="1" applyBorder="1" applyAlignment="1">
      <alignment vertical="top" wrapText="1"/>
    </xf>
    <xf numFmtId="0" fontId="52" fillId="0" borderId="166" xfId="0" applyFont="1" applyBorder="1" applyAlignment="1">
      <alignment vertical="top" wrapText="1"/>
    </xf>
    <xf numFmtId="0" fontId="0" fillId="0" borderId="0" xfId="0" applyFont="1" applyAlignment="1" applyProtection="1">
      <alignment/>
      <protection/>
    </xf>
    <xf numFmtId="0" fontId="52" fillId="0" borderId="173" xfId="0" applyFont="1" applyBorder="1" applyAlignment="1">
      <alignment vertical="top" wrapText="1"/>
    </xf>
    <xf numFmtId="0" fontId="52" fillId="0" borderId="167" xfId="0" applyFont="1" applyBorder="1" applyAlignment="1">
      <alignment vertical="top" wrapText="1"/>
    </xf>
    <xf numFmtId="0" fontId="52" fillId="0" borderId="163" xfId="0" applyFont="1" applyBorder="1" applyAlignment="1">
      <alignment vertical="top" wrapText="1"/>
    </xf>
    <xf numFmtId="0" fontId="52" fillId="0" borderId="168" xfId="0" applyFont="1" applyBorder="1" applyAlignment="1">
      <alignment vertical="top" wrapText="1"/>
    </xf>
    <xf numFmtId="0" fontId="52" fillId="0" borderId="0" xfId="0" applyFont="1" applyAlignment="1">
      <alignment vertical="top" wrapText="1"/>
    </xf>
    <xf numFmtId="0" fontId="52" fillId="0" borderId="0" xfId="0" applyFont="1" applyAlignment="1" applyProtection="1">
      <alignment vertical="top" wrapText="1"/>
      <protection/>
    </xf>
    <xf numFmtId="0" fontId="52" fillId="0" borderId="174" xfId="0" applyFont="1" applyBorder="1" applyAlignment="1">
      <alignment vertical="top" wrapText="1"/>
    </xf>
    <xf numFmtId="0" fontId="28" fillId="0" borderId="163" xfId="0" applyFont="1" applyBorder="1" applyAlignment="1" applyProtection="1">
      <alignment vertical="top" wrapText="1"/>
      <protection/>
    </xf>
    <xf numFmtId="0" fontId="0" fillId="0" borderId="0" xfId="0" applyAlignment="1">
      <alignment horizontal="left" vertical="top" wrapText="1"/>
    </xf>
    <xf numFmtId="0" fontId="0" fillId="0" borderId="0" xfId="0" applyAlignment="1">
      <alignment vertical="top" wrapText="1"/>
    </xf>
    <xf numFmtId="0" fontId="47" fillId="39" borderId="27" xfId="0" applyFont="1" applyFill="1" applyBorder="1" applyAlignment="1" applyProtection="1">
      <alignment vertical="top" wrapText="1"/>
      <protection/>
    </xf>
    <xf numFmtId="0" fontId="47" fillId="39" borderId="27" xfId="0" applyFont="1" applyFill="1" applyBorder="1" applyAlignment="1" applyProtection="1">
      <alignment vertical="top"/>
      <protection/>
    </xf>
    <xf numFmtId="0" fontId="47" fillId="39" borderId="27" xfId="0" applyFont="1" applyFill="1" applyBorder="1" applyAlignment="1" applyProtection="1">
      <alignment/>
      <protection/>
    </xf>
    <xf numFmtId="0" fontId="28" fillId="0" borderId="172" xfId="0" applyFont="1" applyBorder="1" applyAlignment="1">
      <alignment horizontal="left" vertical="top" wrapText="1"/>
    </xf>
    <xf numFmtId="0" fontId="0" fillId="0" borderId="0" xfId="0" applyFont="1" applyAlignment="1" applyProtection="1">
      <alignment horizontal="right" vertical="top"/>
      <protection/>
    </xf>
    <xf numFmtId="0" fontId="28" fillId="0" borderId="173" xfId="0" applyFont="1" applyBorder="1" applyAlignment="1">
      <alignment horizontal="left" vertical="top" wrapText="1"/>
    </xf>
    <xf numFmtId="0" fontId="52" fillId="0" borderId="173" xfId="0" applyFont="1" applyBorder="1" applyAlignment="1">
      <alignment horizontal="left" vertical="top" wrapText="1"/>
    </xf>
    <xf numFmtId="0" fontId="84" fillId="0" borderId="0" xfId="0" applyFont="1" applyAlignment="1" applyProtection="1">
      <alignment vertical="top" wrapText="1"/>
      <protection/>
    </xf>
    <xf numFmtId="0" fontId="28" fillId="0" borderId="163" xfId="0" applyFont="1" applyBorder="1" applyAlignment="1">
      <alignment horizontal="left" vertical="top" wrapText="1"/>
    </xf>
    <xf numFmtId="0" fontId="0" fillId="0" borderId="0" xfId="0" applyFont="1" applyAlignment="1" applyProtection="1">
      <alignment vertical="top" wrapText="1"/>
      <protection/>
    </xf>
    <xf numFmtId="0" fontId="0" fillId="0" borderId="0" xfId="394" applyFill="1" applyBorder="1">
      <alignment/>
      <protection/>
    </xf>
    <xf numFmtId="0" fontId="0" fillId="0" borderId="0" xfId="374" applyFill="1">
      <alignment/>
      <protection/>
    </xf>
    <xf numFmtId="0" fontId="0" fillId="0" borderId="0" xfId="402" applyFill="1" applyBorder="1">
      <alignment/>
      <protection/>
    </xf>
    <xf numFmtId="0" fontId="0" fillId="0" borderId="0" xfId="404" applyFill="1" applyBorder="1">
      <alignment/>
      <protection/>
    </xf>
    <xf numFmtId="0" fontId="0" fillId="0" borderId="0" xfId="374" applyFill="1" applyBorder="1" applyAlignment="1">
      <alignment horizontal="justify" wrapText="1"/>
      <protection/>
    </xf>
    <xf numFmtId="0" fontId="0" fillId="0" borderId="0" xfId="374" applyFill="1" applyAlignment="1">
      <alignment horizontal="justify" wrapText="1"/>
      <protection/>
    </xf>
    <xf numFmtId="4" fontId="0" fillId="0" borderId="0" xfId="391" applyNumberFormat="1" applyFill="1">
      <alignment/>
      <protection/>
    </xf>
    <xf numFmtId="170" fontId="0" fillId="0" borderId="0" xfId="374" applyNumberFormat="1" applyFill="1">
      <alignment/>
      <protection/>
    </xf>
    <xf numFmtId="217" fontId="0" fillId="0" borderId="0" xfId="0" applyNumberFormat="1" applyFill="1" applyAlignment="1">
      <alignment/>
    </xf>
    <xf numFmtId="4" fontId="0" fillId="0" borderId="0" xfId="0" applyNumberFormat="1" applyFill="1" applyAlignment="1">
      <alignment/>
    </xf>
    <xf numFmtId="49" fontId="94" fillId="0" borderId="176" xfId="345" applyNumberFormat="1" applyFont="1" applyFill="1" applyBorder="1" applyAlignment="1" applyProtection="1">
      <alignment horizontal="center" vertical="top" wrapText="1"/>
      <protection/>
    </xf>
    <xf numFmtId="49" fontId="94" fillId="0" borderId="0" xfId="345" applyNumberFormat="1" applyFont="1" applyFill="1" applyBorder="1" applyAlignment="1" applyProtection="1">
      <alignment horizontal="center" vertical="top" wrapText="1"/>
      <protection/>
    </xf>
    <xf numFmtId="218" fontId="95" fillId="0" borderId="0" xfId="374" applyNumberFormat="1" applyFont="1" applyFill="1" applyBorder="1" applyAlignment="1">
      <alignment vertical="center" wrapText="1"/>
      <protection/>
    </xf>
    <xf numFmtId="0" fontId="0" fillId="0" borderId="0" xfId="374" applyFill="1" applyAlignment="1">
      <alignment wrapText="1"/>
      <protection/>
    </xf>
    <xf numFmtId="4" fontId="0" fillId="0" borderId="0" xfId="0" applyNumberFormat="1" applyFill="1" applyBorder="1" applyAlignment="1">
      <alignment/>
    </xf>
    <xf numFmtId="0" fontId="0" fillId="0" borderId="0" xfId="0" applyFill="1" applyBorder="1" applyAlignment="1">
      <alignment/>
    </xf>
    <xf numFmtId="0" fontId="0" fillId="0" borderId="0" xfId="369" applyFill="1">
      <alignment/>
      <protection/>
    </xf>
    <xf numFmtId="4" fontId="0" fillId="0" borderId="0" xfId="354" applyNumberFormat="1" applyFill="1">
      <alignment/>
      <protection/>
    </xf>
    <xf numFmtId="0" fontId="0" fillId="0" borderId="0" xfId="374" applyFont="1" applyFill="1" applyAlignment="1">
      <alignment/>
      <protection/>
    </xf>
    <xf numFmtId="170" fontId="0" fillId="0" borderId="0" xfId="0" applyNumberFormat="1" applyAlignment="1">
      <alignment/>
    </xf>
    <xf numFmtId="170" fontId="94" fillId="0" borderId="0" xfId="374" applyNumberFormat="1" applyFont="1" applyFill="1" applyBorder="1" applyAlignment="1">
      <alignment horizontal="right"/>
      <protection/>
    </xf>
    <xf numFmtId="170" fontId="94" fillId="0" borderId="0" xfId="374" applyNumberFormat="1" applyFont="1" applyFill="1" applyBorder="1" applyAlignment="1">
      <alignment horizontal="right" vertical="center" wrapText="1"/>
      <protection/>
    </xf>
    <xf numFmtId="170" fontId="94" fillId="0" borderId="0" xfId="374" applyNumberFormat="1" applyFont="1" applyFill="1" applyBorder="1" applyAlignment="1">
      <alignment horizontal="left"/>
      <protection/>
    </xf>
    <xf numFmtId="0" fontId="0" fillId="0" borderId="0" xfId="0" applyFont="1" applyFill="1" applyAlignment="1">
      <alignment/>
    </xf>
    <xf numFmtId="0" fontId="0" fillId="0" borderId="0" xfId="374" applyFont="1" applyFill="1" applyAlignment="1">
      <alignment horizontal="justify"/>
      <protection/>
    </xf>
    <xf numFmtId="0" fontId="0" fillId="0" borderId="0" xfId="374" applyFill="1" applyBorder="1">
      <alignment/>
      <protection/>
    </xf>
    <xf numFmtId="0" fontId="0" fillId="0" borderId="0" xfId="374" applyFill="1" applyBorder="1" applyAlignment="1">
      <alignment wrapText="1"/>
      <protection/>
    </xf>
    <xf numFmtId="170" fontId="0" fillId="0" borderId="0" xfId="374" applyNumberFormat="1" applyFill="1" applyBorder="1">
      <alignment/>
      <protection/>
    </xf>
    <xf numFmtId="0" fontId="0" fillId="0" borderId="177" xfId="374" applyFill="1" applyBorder="1" applyAlignment="1">
      <alignment horizontal="justify" wrapText="1"/>
      <protection/>
    </xf>
    <xf numFmtId="170" fontId="0" fillId="0" borderId="178" xfId="374" applyNumberFormat="1" applyFill="1" applyBorder="1">
      <alignment/>
      <protection/>
    </xf>
    <xf numFmtId="0" fontId="0" fillId="0" borderId="179" xfId="374" applyFill="1" applyBorder="1">
      <alignment/>
      <protection/>
    </xf>
    <xf numFmtId="0" fontId="0" fillId="0" borderId="180" xfId="374" applyFill="1" applyBorder="1" applyAlignment="1" applyProtection="1">
      <alignment horizontal="center" wrapText="1"/>
      <protection locked="0"/>
    </xf>
    <xf numFmtId="170" fontId="47" fillId="0" borderId="177" xfId="374" applyNumberFormat="1" applyFont="1" applyFill="1" applyBorder="1">
      <alignment/>
      <protection/>
    </xf>
    <xf numFmtId="4" fontId="0" fillId="0" borderId="177" xfId="394" applyNumberFormat="1" applyFill="1" applyBorder="1">
      <alignment/>
      <protection/>
    </xf>
    <xf numFmtId="4" fontId="0" fillId="0" borderId="177" xfId="402" applyNumberFormat="1" applyFill="1" applyBorder="1">
      <alignment/>
      <protection/>
    </xf>
    <xf numFmtId="4" fontId="0" fillId="0" borderId="177" xfId="404" applyNumberFormat="1" applyFill="1" applyBorder="1">
      <alignment/>
      <protection/>
    </xf>
    <xf numFmtId="170" fontId="47" fillId="0" borderId="0" xfId="374" applyNumberFormat="1" applyFont="1" applyFill="1" applyBorder="1">
      <alignment/>
      <protection/>
    </xf>
    <xf numFmtId="0" fontId="0" fillId="0" borderId="0" xfId="374" applyFont="1" applyFill="1" applyBorder="1" applyAlignment="1">
      <alignment wrapText="1"/>
      <protection/>
    </xf>
    <xf numFmtId="4" fontId="0" fillId="0" borderId="177" xfId="415" applyNumberFormat="1" applyFill="1" applyBorder="1">
      <alignment/>
      <protection/>
    </xf>
    <xf numFmtId="0" fontId="0" fillId="0" borderId="0" xfId="415" applyFont="1" applyFill="1" applyBorder="1">
      <alignment/>
      <protection/>
    </xf>
    <xf numFmtId="170" fontId="94" fillId="0" borderId="177" xfId="374" applyNumberFormat="1" applyFont="1" applyFill="1" applyBorder="1" applyAlignment="1">
      <alignment horizontal="right"/>
      <protection/>
    </xf>
    <xf numFmtId="0" fontId="0" fillId="0" borderId="181" xfId="374" applyFill="1" applyBorder="1" applyAlignment="1" applyProtection="1">
      <alignment horizontal="center" wrapText="1"/>
      <protection locked="0"/>
    </xf>
    <xf numFmtId="0" fontId="0" fillId="0" borderId="0" xfId="0" applyFont="1" applyFill="1" applyBorder="1" applyAlignment="1">
      <alignment/>
    </xf>
    <xf numFmtId="170" fontId="83" fillId="0" borderId="0" xfId="374" applyNumberFormat="1" applyFont="1" applyFill="1" applyBorder="1">
      <alignment/>
      <protection/>
    </xf>
    <xf numFmtId="170" fontId="0" fillId="0" borderId="177" xfId="374" applyNumberFormat="1" applyFill="1" applyBorder="1">
      <alignment/>
      <protection/>
    </xf>
    <xf numFmtId="0" fontId="93" fillId="0" borderId="177" xfId="374" applyFont="1" applyFill="1" applyBorder="1" applyAlignment="1" applyProtection="1">
      <alignment horizontal="left" indent="1"/>
      <protection/>
    </xf>
    <xf numFmtId="220" fontId="0" fillId="0" borderId="177" xfId="0" applyNumberFormat="1" applyFill="1" applyBorder="1" applyAlignment="1">
      <alignment/>
    </xf>
    <xf numFmtId="0" fontId="0" fillId="0" borderId="0" xfId="369" applyFill="1" applyBorder="1">
      <alignment/>
      <protection/>
    </xf>
    <xf numFmtId="0" fontId="0" fillId="0" borderId="0" xfId="374" applyFill="1" applyAlignment="1">
      <alignment horizontal="left"/>
      <protection/>
    </xf>
    <xf numFmtId="0" fontId="67" fillId="0" borderId="36" xfId="0" applyNumberFormat="1" applyFont="1" applyFill="1" applyBorder="1" applyAlignment="1" applyProtection="1">
      <alignment horizontal="left" vertical="center" wrapText="1"/>
      <protection locked="0"/>
    </xf>
    <xf numFmtId="195" fontId="49" fillId="0" borderId="27" xfId="0" applyNumberFormat="1" applyFont="1" applyFill="1" applyBorder="1" applyAlignment="1" applyProtection="1">
      <alignment horizontal="center" vertical="center"/>
      <protection locked="0"/>
    </xf>
    <xf numFmtId="195" fontId="49" fillId="0" borderId="33" xfId="0" applyNumberFormat="1" applyFont="1" applyFill="1" applyBorder="1" applyAlignment="1" applyProtection="1">
      <alignment horizontal="center" vertical="center"/>
      <protection locked="0"/>
    </xf>
    <xf numFmtId="0" fontId="94" fillId="0" borderId="0" xfId="374" applyFont="1" applyAlignment="1">
      <alignment horizontal="justify"/>
      <protection/>
    </xf>
    <xf numFmtId="0" fontId="94" fillId="0" borderId="0" xfId="374" applyFont="1">
      <alignment/>
      <protection/>
    </xf>
    <xf numFmtId="0" fontId="94" fillId="0" borderId="0" xfId="374" applyFont="1" applyFill="1" applyAlignment="1">
      <alignment horizontal="justify"/>
      <protection/>
    </xf>
    <xf numFmtId="4" fontId="0" fillId="0" borderId="0" xfId="0" applyNumberFormat="1" applyFont="1" applyFill="1" applyAlignment="1">
      <alignment/>
    </xf>
    <xf numFmtId="0" fontId="0" fillId="0" borderId="182" xfId="374" applyFont="1" applyFill="1" applyBorder="1" applyAlignment="1" applyProtection="1">
      <alignment horizontal="left" vertical="top" wrapText="1"/>
      <protection locked="0"/>
    </xf>
    <xf numFmtId="220" fontId="18" fillId="0" borderId="0" xfId="0" applyNumberFormat="1" applyFont="1" applyFill="1" applyAlignment="1">
      <alignment/>
    </xf>
    <xf numFmtId="220" fontId="0" fillId="0" borderId="0" xfId="0" applyNumberFormat="1" applyFont="1" applyFill="1" applyAlignment="1">
      <alignment/>
    </xf>
    <xf numFmtId="0" fontId="0" fillId="0" borderId="183" xfId="374" applyFont="1" applyFill="1" applyBorder="1" applyAlignment="1" applyProtection="1">
      <alignment horizontal="left" vertical="top" wrapText="1"/>
      <protection locked="0"/>
    </xf>
    <xf numFmtId="0" fontId="98" fillId="0" borderId="0" xfId="0" applyFont="1" applyFill="1" applyAlignment="1">
      <alignment/>
    </xf>
    <xf numFmtId="0" fontId="0" fillId="0" borderId="0" xfId="0" applyFont="1" applyFill="1" applyAlignment="1">
      <alignment wrapText="1"/>
    </xf>
    <xf numFmtId="0" fontId="94" fillId="0" borderId="0" xfId="374" applyFont="1" applyFill="1">
      <alignment/>
      <protection/>
    </xf>
    <xf numFmtId="0" fontId="0" fillId="0" borderId="0" xfId="374" applyFont="1" applyFill="1" applyBorder="1" applyAlignment="1" applyProtection="1">
      <alignment horizontal="left" indent="1"/>
      <protection/>
    </xf>
    <xf numFmtId="0" fontId="94" fillId="0" borderId="184" xfId="374" applyFont="1" applyFill="1" applyBorder="1" applyAlignment="1">
      <alignment horizontal="justify"/>
      <protection/>
    </xf>
    <xf numFmtId="220" fontId="0" fillId="0" borderId="0" xfId="394" applyNumberFormat="1" applyFill="1" applyBorder="1">
      <alignment/>
      <protection/>
    </xf>
    <xf numFmtId="0" fontId="0" fillId="0" borderId="0" xfId="394" applyFont="1" applyFill="1" applyBorder="1">
      <alignment/>
      <protection/>
    </xf>
    <xf numFmtId="0" fontId="94" fillId="0" borderId="177" xfId="374" applyFont="1" applyFill="1" applyBorder="1" applyAlignment="1">
      <alignment horizontal="justify"/>
      <protection/>
    </xf>
    <xf numFmtId="0" fontId="94" fillId="0" borderId="0" xfId="374" applyFont="1" applyFill="1" applyBorder="1" applyAlignment="1">
      <alignment horizontal="justify"/>
      <protection/>
    </xf>
    <xf numFmtId="0" fontId="94" fillId="0" borderId="0" xfId="374" applyFont="1" applyFill="1" applyBorder="1">
      <alignment/>
      <protection/>
    </xf>
    <xf numFmtId="220" fontId="0" fillId="0" borderId="0" xfId="402" applyNumberFormat="1" applyFill="1" applyBorder="1">
      <alignment/>
      <protection/>
    </xf>
    <xf numFmtId="0" fontId="0" fillId="0" borderId="0" xfId="402" applyFont="1" applyFill="1" applyBorder="1">
      <alignment/>
      <protection/>
    </xf>
    <xf numFmtId="4" fontId="94" fillId="0" borderId="0" xfId="374" applyNumberFormat="1" applyFont="1" applyFill="1" applyBorder="1">
      <alignment/>
      <protection/>
    </xf>
    <xf numFmtId="220" fontId="0" fillId="0" borderId="0" xfId="404" applyNumberFormat="1" applyFill="1" applyBorder="1">
      <alignment/>
      <protection/>
    </xf>
    <xf numFmtId="0" fontId="0" fillId="0" borderId="0" xfId="404" applyFont="1" applyFill="1" applyBorder="1">
      <alignment/>
      <protection/>
    </xf>
    <xf numFmtId="4" fontId="94" fillId="0" borderId="177" xfId="374" applyNumberFormat="1" applyFont="1" applyFill="1" applyBorder="1" applyAlignment="1">
      <alignment horizontal="justify"/>
      <protection/>
    </xf>
    <xf numFmtId="4" fontId="94" fillId="0" borderId="0" xfId="374" applyNumberFormat="1" applyFont="1" applyFill="1" applyBorder="1" applyAlignment="1">
      <alignment horizontal="justify"/>
      <protection/>
    </xf>
    <xf numFmtId="220" fontId="0" fillId="0" borderId="0" xfId="415" applyNumberFormat="1" applyFill="1" applyBorder="1">
      <alignment/>
      <protection/>
    </xf>
    <xf numFmtId="0" fontId="0" fillId="0" borderId="0" xfId="415" applyFont="1" applyFill="1" applyBorder="1">
      <alignment/>
      <protection/>
    </xf>
    <xf numFmtId="220" fontId="0" fillId="0" borderId="0" xfId="374" applyNumberFormat="1" applyFill="1" applyAlignment="1">
      <alignment horizontal="justify" wrapText="1"/>
      <protection/>
    </xf>
    <xf numFmtId="4" fontId="0" fillId="0" borderId="0" xfId="374" applyNumberFormat="1" applyFill="1" applyAlignment="1">
      <alignment horizontal="justify"/>
      <protection/>
    </xf>
    <xf numFmtId="217" fontId="94" fillId="0" borderId="177" xfId="374" applyNumberFormat="1" applyFont="1" applyFill="1" applyBorder="1" applyAlignment="1">
      <alignment horizontal="justify"/>
      <protection/>
    </xf>
    <xf numFmtId="217" fontId="94" fillId="0" borderId="0" xfId="374" applyNumberFormat="1" applyFont="1" applyFill="1" applyBorder="1" applyAlignment="1">
      <alignment horizontal="justify"/>
      <protection/>
    </xf>
    <xf numFmtId="222" fontId="94" fillId="0" borderId="0" xfId="374" applyNumberFormat="1" applyFont="1" applyFill="1" applyBorder="1" applyAlignment="1">
      <alignment horizontal="justify"/>
      <protection/>
    </xf>
    <xf numFmtId="0" fontId="0" fillId="0" borderId="0" xfId="0" applyFill="1" applyAlignment="1">
      <alignment wrapText="1"/>
    </xf>
    <xf numFmtId="0" fontId="94" fillId="0" borderId="177" xfId="374" applyFont="1" applyFill="1" applyBorder="1" applyAlignment="1">
      <alignment wrapText="1"/>
      <protection/>
    </xf>
    <xf numFmtId="0" fontId="94" fillId="0" borderId="0" xfId="374" applyFont="1" applyFill="1" applyBorder="1" applyAlignment="1">
      <alignment wrapText="1"/>
      <protection/>
    </xf>
    <xf numFmtId="220" fontId="94" fillId="0" borderId="0" xfId="374" applyNumberFormat="1" applyFont="1" applyFill="1" applyBorder="1" applyAlignment="1">
      <alignment horizontal="justify"/>
      <protection/>
    </xf>
    <xf numFmtId="0" fontId="0" fillId="0" borderId="0" xfId="374" applyFont="1" applyFill="1">
      <alignment/>
      <protection/>
    </xf>
    <xf numFmtId="220" fontId="0" fillId="0" borderId="0" xfId="0" applyNumberFormat="1" applyFill="1" applyAlignment="1">
      <alignment/>
    </xf>
    <xf numFmtId="220" fontId="94" fillId="0" borderId="177" xfId="374" applyNumberFormat="1" applyFont="1" applyFill="1" applyBorder="1" applyAlignment="1">
      <alignment horizontal="justify"/>
      <protection/>
    </xf>
    <xf numFmtId="0" fontId="94" fillId="0" borderId="177" xfId="374" applyFont="1" applyFill="1" applyBorder="1">
      <alignment/>
      <protection/>
    </xf>
    <xf numFmtId="0" fontId="94" fillId="0" borderId="185" xfId="374" applyFont="1" applyFill="1" applyBorder="1">
      <alignment/>
      <protection/>
    </xf>
    <xf numFmtId="4" fontId="94" fillId="0" borderId="186" xfId="374" applyNumberFormat="1" applyFont="1" applyFill="1" applyBorder="1">
      <alignment/>
      <protection/>
    </xf>
    <xf numFmtId="0" fontId="94" fillId="0" borderId="186" xfId="374" applyFont="1" applyFill="1" applyBorder="1">
      <alignment/>
      <protection/>
    </xf>
    <xf numFmtId="220" fontId="94" fillId="0" borderId="0" xfId="374" applyNumberFormat="1" applyFont="1" applyFill="1" applyBorder="1">
      <alignment/>
      <protection/>
    </xf>
    <xf numFmtId="0" fontId="94" fillId="0" borderId="179" xfId="374" applyFont="1" applyFill="1" applyBorder="1" applyAlignment="1">
      <alignment horizontal="justify"/>
      <protection/>
    </xf>
    <xf numFmtId="0" fontId="94" fillId="0" borderId="0" xfId="394" applyFont="1" applyFill="1" applyBorder="1">
      <alignment/>
      <protection/>
    </xf>
    <xf numFmtId="0" fontId="99" fillId="0" borderId="0" xfId="374" applyFont="1" applyFill="1" applyBorder="1" applyAlignment="1" applyProtection="1">
      <alignment horizontal="left" indent="1"/>
      <protection/>
    </xf>
    <xf numFmtId="0" fontId="94" fillId="0" borderId="0" xfId="402" applyFont="1" applyFill="1" applyBorder="1">
      <alignment/>
      <protection/>
    </xf>
    <xf numFmtId="0" fontId="94" fillId="0" borderId="0" xfId="404" applyFont="1" applyFill="1" applyBorder="1">
      <alignment/>
      <protection/>
    </xf>
    <xf numFmtId="4" fontId="99" fillId="0" borderId="0" xfId="374" applyNumberFormat="1" applyFont="1" applyFill="1" applyBorder="1" applyAlignment="1" applyProtection="1">
      <alignment horizontal="left" indent="1"/>
      <protection/>
    </xf>
    <xf numFmtId="0" fontId="0" fillId="0" borderId="0" xfId="374" applyFont="1" applyFill="1" applyBorder="1" applyAlignment="1">
      <alignment wrapText="1"/>
      <protection/>
    </xf>
    <xf numFmtId="170" fontId="99" fillId="0" borderId="0" xfId="374" applyNumberFormat="1" applyFont="1" applyFill="1" applyBorder="1">
      <alignment/>
      <protection/>
    </xf>
    <xf numFmtId="0" fontId="94" fillId="0" borderId="0" xfId="415" applyFont="1" applyFill="1" applyBorder="1">
      <alignment/>
      <protection/>
    </xf>
    <xf numFmtId="0" fontId="94" fillId="0" borderId="0" xfId="374" applyFont="1" applyFill="1" applyBorder="1" applyAlignment="1">
      <alignment horizontal="justify" wrapText="1"/>
      <protection/>
    </xf>
    <xf numFmtId="220" fontId="94" fillId="0" borderId="0" xfId="374" applyNumberFormat="1" applyFont="1" applyFill="1" applyBorder="1" applyAlignment="1">
      <alignment horizontal="justify" wrapText="1"/>
      <protection/>
    </xf>
    <xf numFmtId="219" fontId="94" fillId="0" borderId="0" xfId="374" applyNumberFormat="1" applyFont="1" applyFill="1" applyBorder="1">
      <alignment/>
      <protection/>
    </xf>
    <xf numFmtId="0" fontId="0" fillId="0" borderId="0" xfId="374" applyFont="1" applyFill="1" applyBorder="1">
      <alignment/>
      <protection/>
    </xf>
    <xf numFmtId="217" fontId="94" fillId="0" borderId="0" xfId="374" applyNumberFormat="1" applyFont="1" applyFill="1" applyBorder="1">
      <alignment/>
      <protection/>
    </xf>
    <xf numFmtId="170" fontId="94" fillId="0" borderId="0" xfId="374" applyNumberFormat="1" applyFont="1" applyFill="1" applyBorder="1">
      <alignment/>
      <protection/>
    </xf>
    <xf numFmtId="49" fontId="94" fillId="0" borderId="187" xfId="345" applyNumberFormat="1" applyFont="1" applyFill="1" applyBorder="1" applyAlignment="1" applyProtection="1">
      <alignment horizontal="center" vertical="top" wrapText="1"/>
      <protection/>
    </xf>
    <xf numFmtId="49" fontId="94" fillId="0" borderId="177" xfId="345" applyNumberFormat="1" applyFont="1" applyFill="1" applyBorder="1" applyAlignment="1" applyProtection="1">
      <alignment horizontal="center" vertical="top" wrapText="1"/>
      <protection/>
    </xf>
    <xf numFmtId="170" fontId="94" fillId="0" borderId="0" xfId="374" applyNumberFormat="1" applyFont="1" applyFill="1" applyBorder="1" applyAlignment="1">
      <alignment horizontal="justify" wrapText="1"/>
      <protection/>
    </xf>
    <xf numFmtId="220" fontId="0" fillId="0" borderId="177" xfId="374" applyNumberFormat="1" applyFill="1" applyBorder="1">
      <alignment/>
      <protection/>
    </xf>
    <xf numFmtId="220" fontId="0" fillId="0" borderId="177" xfId="369" applyNumberFormat="1" applyFill="1" applyBorder="1">
      <alignment/>
      <protection/>
    </xf>
    <xf numFmtId="220" fontId="0" fillId="0" borderId="0" xfId="369" applyNumberFormat="1" applyFill="1">
      <alignment/>
      <protection/>
    </xf>
    <xf numFmtId="170" fontId="94" fillId="0" borderId="0" xfId="374" applyNumberFormat="1" applyFont="1" applyFill="1" applyBorder="1" applyAlignment="1">
      <alignment horizontal="justify"/>
      <protection/>
    </xf>
    <xf numFmtId="49" fontId="94" fillId="0" borderId="187" xfId="319" applyNumberFormat="1" applyFont="1" applyFill="1" applyBorder="1" applyAlignment="1" applyProtection="1">
      <alignment horizontal="left" vertical="center" wrapText="1"/>
      <protection locked="0"/>
    </xf>
    <xf numFmtId="49" fontId="94" fillId="0" borderId="0" xfId="319" applyNumberFormat="1" applyFont="1" applyFill="1" applyBorder="1" applyAlignment="1" applyProtection="1">
      <alignment horizontal="left" vertical="center" wrapText="1"/>
      <protection locked="0"/>
    </xf>
    <xf numFmtId="0" fontId="0" fillId="0" borderId="0" xfId="374" applyFont="1" applyFill="1" applyAlignment="1">
      <alignment horizontal="center"/>
      <protection/>
    </xf>
    <xf numFmtId="0" fontId="0" fillId="0" borderId="0" xfId="422">
      <alignment/>
      <protection/>
    </xf>
    <xf numFmtId="0" fontId="0" fillId="0" borderId="0" xfId="422" applyFill="1">
      <alignment/>
      <protection/>
    </xf>
    <xf numFmtId="0" fontId="0" fillId="0" borderId="0" xfId="374" applyFont="1" applyAlignment="1">
      <alignment horizontal="left" vertical="top" wrapText="1"/>
      <protection/>
    </xf>
    <xf numFmtId="0" fontId="55" fillId="0" borderId="0" xfId="374" applyFont="1" applyFill="1">
      <alignment/>
      <protection/>
    </xf>
    <xf numFmtId="0" fontId="94" fillId="0" borderId="178" xfId="374" applyFont="1" applyFill="1" applyBorder="1" applyAlignment="1">
      <alignment horizontal="justify"/>
      <protection/>
    </xf>
    <xf numFmtId="0" fontId="94" fillId="0" borderId="179" xfId="374" applyFont="1" applyFill="1" applyBorder="1">
      <alignment/>
      <protection/>
    </xf>
    <xf numFmtId="0" fontId="94" fillId="0" borderId="188" xfId="422" applyFont="1" applyFill="1" applyBorder="1">
      <alignment/>
      <protection/>
    </xf>
    <xf numFmtId="4" fontId="0" fillId="0" borderId="0" xfId="422" applyNumberFormat="1" applyFill="1">
      <alignment/>
      <protection/>
    </xf>
    <xf numFmtId="0" fontId="94" fillId="0" borderId="0" xfId="422" applyFont="1" applyFill="1" applyBorder="1">
      <alignment/>
      <protection/>
    </xf>
    <xf numFmtId="170" fontId="0" fillId="0" borderId="0" xfId="0" applyNumberFormat="1" applyFill="1" applyAlignment="1">
      <alignment/>
    </xf>
    <xf numFmtId="217" fontId="0" fillId="0" borderId="0" xfId="422" applyNumberFormat="1" applyFill="1">
      <alignment/>
      <protection/>
    </xf>
    <xf numFmtId="0" fontId="0" fillId="0" borderId="0" xfId="0" applyAlignment="1">
      <alignment wrapText="1"/>
    </xf>
    <xf numFmtId="220" fontId="0" fillId="0" borderId="0" xfId="0" applyNumberFormat="1" applyAlignment="1">
      <alignment/>
    </xf>
    <xf numFmtId="220" fontId="94" fillId="0" borderId="0" xfId="422" applyNumberFormat="1" applyFont="1" applyFill="1" applyBorder="1">
      <alignment/>
      <protection/>
    </xf>
    <xf numFmtId="220" fontId="0" fillId="0" borderId="0" xfId="0" applyNumberFormat="1" applyAlignment="1">
      <alignment wrapText="1"/>
    </xf>
    <xf numFmtId="217" fontId="0" fillId="0" borderId="0" xfId="422" applyNumberFormat="1" applyFill="1" applyAlignment="1">
      <alignment horizontal="right"/>
      <protection/>
    </xf>
    <xf numFmtId="217" fontId="94" fillId="0" borderId="188" xfId="422" applyNumberFormat="1" applyFont="1" applyFill="1" applyBorder="1">
      <alignment/>
      <protection/>
    </xf>
    <xf numFmtId="0" fontId="0" fillId="0" borderId="0" xfId="374" applyFont="1" applyFill="1" applyAlignment="1">
      <alignment/>
      <protection/>
    </xf>
    <xf numFmtId="4" fontId="94" fillId="0" borderId="177" xfId="422" applyNumberFormat="1" applyFont="1" applyFill="1" applyBorder="1">
      <alignment/>
      <protection/>
    </xf>
    <xf numFmtId="4" fontId="94" fillId="0" borderId="0" xfId="422" applyNumberFormat="1" applyFont="1" applyFill="1" applyBorder="1">
      <alignment/>
      <protection/>
    </xf>
    <xf numFmtId="170" fontId="94" fillId="0" borderId="0" xfId="422" applyNumberFormat="1" applyFont="1" applyFill="1" applyBorder="1">
      <alignment/>
      <protection/>
    </xf>
    <xf numFmtId="217" fontId="0" fillId="0" borderId="0" xfId="422" applyNumberFormat="1" applyFill="1" applyAlignment="1">
      <alignment wrapText="1"/>
      <protection/>
    </xf>
    <xf numFmtId="0" fontId="94" fillId="0" borderId="177" xfId="422" applyFont="1" applyFill="1" applyBorder="1">
      <alignment/>
      <protection/>
    </xf>
    <xf numFmtId="4" fontId="94" fillId="0" borderId="188" xfId="422" applyNumberFormat="1" applyFont="1" applyFill="1" applyBorder="1">
      <alignment/>
      <protection/>
    </xf>
    <xf numFmtId="170" fontId="94" fillId="0" borderId="188" xfId="422" applyNumberFormat="1" applyFont="1" applyFill="1" applyBorder="1">
      <alignment/>
      <protection/>
    </xf>
    <xf numFmtId="170" fontId="94" fillId="0" borderId="177" xfId="374" applyNumberFormat="1" applyFont="1" applyFill="1" applyBorder="1" applyAlignment="1">
      <alignment horizontal="justify"/>
      <protection/>
    </xf>
    <xf numFmtId="0" fontId="0" fillId="0" borderId="176" xfId="423" applyFont="1" applyFill="1" applyBorder="1" applyAlignment="1" applyProtection="1">
      <alignment horizontal="left" indent="1"/>
      <protection/>
    </xf>
    <xf numFmtId="0" fontId="0" fillId="0" borderId="0" xfId="423" applyFont="1" applyFill="1" applyBorder="1" applyAlignment="1" applyProtection="1">
      <alignment horizontal="left" indent="1"/>
      <protection/>
    </xf>
    <xf numFmtId="0" fontId="94" fillId="0" borderId="186" xfId="422" applyFont="1" applyFill="1" applyBorder="1">
      <alignment/>
      <protection/>
    </xf>
    <xf numFmtId="0" fontId="94" fillId="0" borderId="189" xfId="422" applyFont="1" applyFill="1" applyBorder="1">
      <alignment/>
      <protection/>
    </xf>
    <xf numFmtId="220" fontId="0" fillId="0" borderId="0" xfId="374" applyNumberFormat="1" applyFill="1">
      <alignment/>
      <protection/>
    </xf>
    <xf numFmtId="0" fontId="94" fillId="0" borderId="0" xfId="422" applyFont="1" applyFill="1">
      <alignment/>
      <protection/>
    </xf>
    <xf numFmtId="4" fontId="94" fillId="0" borderId="0" xfId="422" applyNumberFormat="1" applyFont="1" applyFill="1">
      <alignment/>
      <protection/>
    </xf>
    <xf numFmtId="170" fontId="0" fillId="0" borderId="0" xfId="422" applyNumberFormat="1" applyFill="1">
      <alignment/>
      <protection/>
    </xf>
    <xf numFmtId="170" fontId="94" fillId="0" borderId="0" xfId="422" applyNumberFormat="1" applyFont="1" applyFill="1">
      <alignment/>
      <protection/>
    </xf>
    <xf numFmtId="220" fontId="0" fillId="0" borderId="0" xfId="422" applyNumberFormat="1" applyFill="1">
      <alignment/>
      <protection/>
    </xf>
    <xf numFmtId="195" fontId="94" fillId="0" borderId="54" xfId="422" applyNumberFormat="1" applyFont="1" applyFill="1" applyBorder="1" applyAlignment="1" applyProtection="1">
      <alignment horizontal="center" vertical="center" wrapText="1"/>
      <protection locked="0"/>
    </xf>
    <xf numFmtId="195" fontId="94" fillId="0" borderId="55" xfId="422" applyNumberFormat="1" applyFont="1" applyFill="1" applyBorder="1" applyAlignment="1" applyProtection="1">
      <alignment horizontal="center" vertical="center" wrapText="1"/>
      <protection locked="0"/>
    </xf>
    <xf numFmtId="4" fontId="0" fillId="0" borderId="177" xfId="422" applyNumberFormat="1" applyFill="1" applyBorder="1">
      <alignment/>
      <protection/>
    </xf>
    <xf numFmtId="0" fontId="0" fillId="0" borderId="0" xfId="422" applyFont="1" applyFill="1" applyBorder="1">
      <alignment/>
      <protection/>
    </xf>
    <xf numFmtId="0" fontId="0" fillId="0" borderId="0" xfId="422" applyFill="1" applyBorder="1">
      <alignment/>
      <protection/>
    </xf>
    <xf numFmtId="4" fontId="0" fillId="0" borderId="0" xfId="422" applyNumberFormat="1" applyFill="1" applyBorder="1">
      <alignment/>
      <protection/>
    </xf>
    <xf numFmtId="179" fontId="0" fillId="0" borderId="0" xfId="422" applyNumberFormat="1" applyFill="1" applyBorder="1">
      <alignment/>
      <protection/>
    </xf>
    <xf numFmtId="220" fontId="0" fillId="0" borderId="0" xfId="422" applyNumberFormat="1" applyFill="1" applyBorder="1">
      <alignment/>
      <protection/>
    </xf>
    <xf numFmtId="4" fontId="0" fillId="0" borderId="0" xfId="422" applyNumberFormat="1" applyFont="1" applyFill="1" applyBorder="1">
      <alignment/>
      <protection/>
    </xf>
    <xf numFmtId="220" fontId="0" fillId="0" borderId="0" xfId="422" applyNumberFormat="1" applyFill="1" applyAlignment="1">
      <alignment horizontal="right"/>
      <protection/>
    </xf>
    <xf numFmtId="220" fontId="94" fillId="0" borderId="0" xfId="422" applyNumberFormat="1" applyFont="1" applyFill="1">
      <alignment/>
      <protection/>
    </xf>
    <xf numFmtId="217" fontId="94" fillId="0" borderId="0" xfId="422" applyNumberFormat="1" applyFont="1" applyFill="1" applyBorder="1">
      <alignment/>
      <protection/>
    </xf>
    <xf numFmtId="220" fontId="0" fillId="0" borderId="177" xfId="422" applyNumberFormat="1" applyFill="1" applyBorder="1">
      <alignment/>
      <protection/>
    </xf>
    <xf numFmtId="0" fontId="0" fillId="0" borderId="177" xfId="422" applyFill="1" applyBorder="1">
      <alignment/>
      <protection/>
    </xf>
    <xf numFmtId="220" fontId="94" fillId="0" borderId="188" xfId="422" applyNumberFormat="1" applyFont="1" applyFill="1" applyBorder="1">
      <alignment/>
      <protection/>
    </xf>
    <xf numFmtId="217" fontId="94" fillId="0" borderId="0" xfId="422" applyNumberFormat="1" applyFont="1" applyFill="1">
      <alignment/>
      <protection/>
    </xf>
    <xf numFmtId="0" fontId="0" fillId="0" borderId="0" xfId="422" applyFill="1" applyAlignment="1">
      <alignment wrapText="1"/>
      <protection/>
    </xf>
    <xf numFmtId="0" fontId="0" fillId="0" borderId="0" xfId="369" applyFont="1" applyFill="1" applyBorder="1">
      <alignment/>
      <protection/>
    </xf>
    <xf numFmtId="170" fontId="0" fillId="0" borderId="177" xfId="374" applyNumberFormat="1" applyFont="1" applyFill="1" applyBorder="1">
      <alignment/>
      <protection/>
    </xf>
    <xf numFmtId="0" fontId="0" fillId="0" borderId="0" xfId="374" applyNumberFormat="1" applyFill="1" applyBorder="1">
      <alignment/>
      <protection/>
    </xf>
    <xf numFmtId="0" fontId="0" fillId="0" borderId="0" xfId="422" applyNumberFormat="1" applyFill="1">
      <alignment/>
      <protection/>
    </xf>
    <xf numFmtId="0" fontId="0" fillId="0" borderId="186" xfId="422" applyFill="1" applyBorder="1">
      <alignment/>
      <protection/>
    </xf>
    <xf numFmtId="223" fontId="94" fillId="0" borderId="0" xfId="422" applyNumberFormat="1" applyFont="1" applyFill="1">
      <alignment/>
      <protection/>
    </xf>
    <xf numFmtId="223" fontId="0" fillId="0" borderId="0" xfId="422" applyNumberFormat="1" applyFill="1">
      <alignment/>
      <protection/>
    </xf>
    <xf numFmtId="0" fontId="0" fillId="0" borderId="0" xfId="421">
      <alignment/>
      <protection/>
    </xf>
    <xf numFmtId="0" fontId="94" fillId="0" borderId="0" xfId="421" applyFont="1">
      <alignment/>
      <protection/>
    </xf>
    <xf numFmtId="0" fontId="0" fillId="0" borderId="0" xfId="421" applyFont="1" applyFill="1">
      <alignment/>
      <protection/>
    </xf>
    <xf numFmtId="220" fontId="94" fillId="0" borderId="0" xfId="421" applyNumberFormat="1" applyFont="1" applyFill="1">
      <alignment/>
      <protection/>
    </xf>
    <xf numFmtId="0" fontId="94" fillId="0" borderId="0" xfId="421" applyFont="1" applyFill="1">
      <alignment/>
      <protection/>
    </xf>
    <xf numFmtId="0" fontId="0" fillId="0" borderId="190" xfId="421" applyFont="1" applyFill="1" applyBorder="1" applyAlignment="1" applyProtection="1">
      <alignment horizontal="center"/>
      <protection locked="0"/>
    </xf>
    <xf numFmtId="0" fontId="0" fillId="0" borderId="191" xfId="421" applyFont="1" applyFill="1" applyBorder="1" applyAlignment="1" applyProtection="1">
      <alignment horizontal="center" wrapText="1"/>
      <protection locked="0"/>
    </xf>
    <xf numFmtId="4" fontId="0" fillId="0" borderId="0" xfId="421" applyNumberFormat="1" applyFont="1" applyFill="1">
      <alignment/>
      <protection/>
    </xf>
    <xf numFmtId="0" fontId="0" fillId="0" borderId="0" xfId="421" applyFont="1" applyFill="1" applyBorder="1" applyAlignment="1" applyProtection="1">
      <alignment horizontal="center"/>
      <protection locked="0"/>
    </xf>
    <xf numFmtId="0" fontId="0" fillId="0" borderId="0" xfId="421" applyFont="1" applyFill="1" applyBorder="1" applyAlignment="1">
      <alignment horizontal="justify"/>
      <protection/>
    </xf>
    <xf numFmtId="220" fontId="94" fillId="0" borderId="0" xfId="421" applyNumberFormat="1" applyFont="1" applyFill="1" applyBorder="1" applyAlignment="1">
      <alignment horizontal="justify"/>
      <protection/>
    </xf>
    <xf numFmtId="0" fontId="0" fillId="0" borderId="192" xfId="421" applyFont="1" applyFill="1" applyBorder="1" applyAlignment="1" applyProtection="1" quotePrefix="1">
      <alignment horizontal="center"/>
      <protection locked="0"/>
    </xf>
    <xf numFmtId="0" fontId="0" fillId="0" borderId="193" xfId="421" applyFont="1" applyFill="1" applyBorder="1" applyAlignment="1" applyProtection="1">
      <alignment horizontal="center" wrapText="1"/>
      <protection locked="0"/>
    </xf>
    <xf numFmtId="0" fontId="0" fillId="0" borderId="194" xfId="421" applyFont="1" applyFill="1" applyBorder="1" applyAlignment="1" applyProtection="1" quotePrefix="1">
      <alignment horizontal="center"/>
      <protection locked="0"/>
    </xf>
    <xf numFmtId="4" fontId="94" fillId="0" borderId="0" xfId="421" applyNumberFormat="1" applyFont="1" applyFill="1">
      <alignment/>
      <protection/>
    </xf>
    <xf numFmtId="0" fontId="0" fillId="0" borderId="0" xfId="0" applyAlignment="1">
      <alignment/>
    </xf>
    <xf numFmtId="217" fontId="94" fillId="0" borderId="0" xfId="421" applyNumberFormat="1" applyFont="1" applyFill="1">
      <alignment/>
      <protection/>
    </xf>
    <xf numFmtId="220" fontId="0" fillId="0" borderId="0" xfId="421" applyNumberFormat="1" applyFont="1" applyFill="1">
      <alignment/>
      <protection/>
    </xf>
    <xf numFmtId="0" fontId="0" fillId="0" borderId="0" xfId="421" applyFont="1" applyFill="1" applyBorder="1">
      <alignment/>
      <protection/>
    </xf>
    <xf numFmtId="0" fontId="0" fillId="0" borderId="52" xfId="421" applyFont="1" applyFill="1" applyBorder="1" applyAlignment="1" applyProtection="1">
      <alignment horizontal="center" wrapText="1"/>
      <protection locked="0"/>
    </xf>
    <xf numFmtId="0" fontId="0" fillId="0" borderId="0" xfId="421" applyFont="1" applyFill="1" applyAlignment="1">
      <alignment wrapText="1"/>
      <protection/>
    </xf>
    <xf numFmtId="0" fontId="0" fillId="0" borderId="0" xfId="421" applyFont="1" applyFill="1" applyBorder="1" applyAlignment="1" applyProtection="1" quotePrefix="1">
      <alignment horizontal="center"/>
      <protection locked="0"/>
    </xf>
    <xf numFmtId="170" fontId="94" fillId="0" borderId="0" xfId="421" applyNumberFormat="1" applyFont="1" applyFill="1">
      <alignment/>
      <protection/>
    </xf>
    <xf numFmtId="0" fontId="0" fillId="0" borderId="0" xfId="421" applyFont="1" applyFill="1" applyBorder="1" applyAlignment="1" applyProtection="1">
      <alignment horizontal="center" wrapText="1"/>
      <protection locked="0"/>
    </xf>
    <xf numFmtId="0" fontId="98" fillId="0" borderId="0" xfId="421" applyFont="1" applyFill="1">
      <alignment/>
      <protection/>
    </xf>
    <xf numFmtId="221" fontId="94" fillId="0" borderId="0" xfId="421" applyNumberFormat="1" applyFont="1" applyFill="1">
      <alignment/>
      <protection/>
    </xf>
    <xf numFmtId="170" fontId="0" fillId="0" borderId="0" xfId="421" applyNumberFormat="1" applyFont="1" applyFill="1">
      <alignment/>
      <protection/>
    </xf>
    <xf numFmtId="0" fontId="0" fillId="0" borderId="195" xfId="421" applyFont="1" applyFill="1" applyBorder="1" applyAlignment="1" applyProtection="1">
      <alignment horizontal="center" wrapText="1"/>
      <protection locked="0"/>
    </xf>
    <xf numFmtId="0" fontId="0" fillId="0" borderId="0" xfId="421" applyFont="1" applyFill="1" applyBorder="1" applyAlignment="1">
      <alignment/>
      <protection/>
    </xf>
    <xf numFmtId="0" fontId="94" fillId="0" borderId="0" xfId="421" applyFont="1" applyFill="1" applyBorder="1" applyAlignment="1">
      <alignment/>
      <protection/>
    </xf>
    <xf numFmtId="220" fontId="94" fillId="0" borderId="0" xfId="421" applyNumberFormat="1" applyFont="1" applyFill="1" applyBorder="1" applyAlignment="1">
      <alignment/>
      <protection/>
    </xf>
    <xf numFmtId="220" fontId="18" fillId="0" borderId="0" xfId="421" applyNumberFormat="1" applyFont="1" applyFill="1">
      <alignment/>
      <protection/>
    </xf>
    <xf numFmtId="0" fontId="0" fillId="0" borderId="196" xfId="421" applyFont="1" applyFill="1" applyBorder="1" applyAlignment="1" applyProtection="1">
      <alignment horizontal="center" wrapText="1"/>
      <protection locked="0"/>
    </xf>
    <xf numFmtId="0" fontId="0" fillId="0" borderId="73" xfId="421" applyFont="1" applyFill="1" applyBorder="1" applyAlignment="1" applyProtection="1">
      <alignment horizontal="center" wrapText="1"/>
      <protection locked="0"/>
    </xf>
    <xf numFmtId="0" fontId="0" fillId="0" borderId="197" xfId="421" applyFont="1" applyFill="1" applyBorder="1" applyAlignment="1" applyProtection="1">
      <alignment horizontal="center" wrapText="1"/>
      <protection locked="0"/>
    </xf>
    <xf numFmtId="170" fontId="0" fillId="0" borderId="0" xfId="421" applyNumberFormat="1" applyFont="1" applyFill="1" applyBorder="1" applyAlignment="1">
      <alignment horizontal="justify"/>
      <protection/>
    </xf>
    <xf numFmtId="217" fontId="0" fillId="0" borderId="0" xfId="421" applyNumberFormat="1" applyFont="1" applyFill="1">
      <alignment/>
      <protection/>
    </xf>
    <xf numFmtId="170" fontId="94" fillId="0" borderId="0" xfId="421" applyNumberFormat="1" applyFont="1">
      <alignment/>
      <protection/>
    </xf>
    <xf numFmtId="4" fontId="0" fillId="0" borderId="0" xfId="421" applyNumberFormat="1" applyFont="1" applyFill="1" applyBorder="1" applyAlignment="1">
      <alignment horizontal="justify"/>
      <protection/>
    </xf>
    <xf numFmtId="0" fontId="0" fillId="0" borderId="0" xfId="421" applyFont="1" applyFill="1" applyAlignment="1">
      <alignment horizontal="left" wrapText="1"/>
      <protection/>
    </xf>
    <xf numFmtId="220" fontId="94" fillId="0" borderId="0" xfId="421" applyNumberFormat="1" applyFont="1">
      <alignment/>
      <protection/>
    </xf>
    <xf numFmtId="179" fontId="0" fillId="0" borderId="0" xfId="421" applyNumberFormat="1" applyFont="1" applyFill="1">
      <alignment/>
      <protection/>
    </xf>
    <xf numFmtId="170" fontId="0" fillId="0" borderId="0" xfId="421" applyNumberFormat="1" applyFont="1" applyFill="1" applyBorder="1">
      <alignment/>
      <protection/>
    </xf>
    <xf numFmtId="170" fontId="94" fillId="0" borderId="0" xfId="421" applyNumberFormat="1" applyFont="1" applyFill="1" applyBorder="1" applyAlignment="1">
      <alignment horizontal="right"/>
      <protection/>
    </xf>
    <xf numFmtId="0" fontId="0" fillId="0" borderId="0" xfId="0" applyFont="1" applyAlignment="1">
      <alignment/>
    </xf>
    <xf numFmtId="0" fontId="94" fillId="0" borderId="0" xfId="421" applyFont="1" applyFill="1" applyBorder="1" applyAlignment="1" applyProtection="1">
      <alignment/>
      <protection locked="0"/>
    </xf>
    <xf numFmtId="170" fontId="0" fillId="0" borderId="0" xfId="421" applyNumberFormat="1" applyFont="1" applyFill="1" applyBorder="1" applyAlignment="1" applyProtection="1">
      <alignment horizontal="center" wrapText="1"/>
      <protection locked="0"/>
    </xf>
    <xf numFmtId="0" fontId="0" fillId="0" borderId="198" xfId="421" applyFont="1" applyFill="1" applyBorder="1" applyAlignment="1" applyProtection="1" quotePrefix="1">
      <alignment horizontal="center"/>
      <protection locked="0"/>
    </xf>
    <xf numFmtId="0" fontId="0" fillId="0" borderId="199" xfId="421" applyFont="1" applyFill="1" applyBorder="1" applyAlignment="1" applyProtection="1">
      <alignment horizontal="center" wrapText="1"/>
      <protection locked="0"/>
    </xf>
    <xf numFmtId="0" fontId="0" fillId="0" borderId="55" xfId="421" applyFont="1" applyFill="1" applyBorder="1" applyAlignment="1" applyProtection="1">
      <alignment horizontal="center" wrapText="1"/>
      <protection locked="0"/>
    </xf>
    <xf numFmtId="0" fontId="0" fillId="0" borderId="0" xfId="421" applyFont="1" applyFill="1" applyBorder="1" applyAlignment="1" applyProtection="1">
      <alignment vertical="center" wrapText="1"/>
      <protection locked="0"/>
    </xf>
    <xf numFmtId="224" fontId="94" fillId="0" borderId="0" xfId="421" applyNumberFormat="1" applyFont="1" applyFill="1">
      <alignment/>
      <protection/>
    </xf>
    <xf numFmtId="167" fontId="0" fillId="0" borderId="0" xfId="421" applyNumberFormat="1" applyFont="1" applyFill="1">
      <alignment/>
      <protection/>
    </xf>
    <xf numFmtId="2" fontId="0" fillId="0" borderId="0" xfId="421" applyNumberFormat="1" applyFont="1" applyFill="1" applyBorder="1" applyAlignment="1" applyProtection="1">
      <alignment horizontal="left" wrapText="1"/>
      <protection locked="0"/>
    </xf>
    <xf numFmtId="170" fontId="94" fillId="0" borderId="0" xfId="421" applyNumberFormat="1" applyFont="1" applyFill="1" applyBorder="1">
      <alignment/>
      <protection/>
    </xf>
    <xf numFmtId="2" fontId="0" fillId="0" borderId="200" xfId="421" applyNumberFormat="1" applyFont="1" applyFill="1" applyBorder="1" applyAlignment="1" applyProtection="1">
      <alignment horizontal="left" wrapText="1"/>
      <protection locked="0"/>
    </xf>
    <xf numFmtId="194" fontId="27" fillId="0" borderId="36" xfId="0" applyNumberFormat="1" applyFont="1" applyFill="1" applyBorder="1" applyAlignment="1" applyProtection="1">
      <alignment horizontal="left" vertical="center" indent="1"/>
      <protection locked="0"/>
    </xf>
    <xf numFmtId="194" fontId="28" fillId="0" borderId="0" xfId="0" applyNumberFormat="1" applyFont="1" applyFill="1" applyBorder="1" applyAlignment="1" applyProtection="1">
      <alignment horizontal="left" vertical="center" indent="1"/>
      <protection/>
    </xf>
    <xf numFmtId="0" fontId="35" fillId="55" borderId="23" xfId="0" applyFont="1" applyFill="1" applyBorder="1" applyAlignment="1" applyProtection="1">
      <alignment horizontal="left" vertical="center" indent="1"/>
      <protection locked="0"/>
    </xf>
    <xf numFmtId="0" fontId="49" fillId="0" borderId="170" xfId="0" applyFont="1" applyFill="1" applyBorder="1" applyAlignment="1" applyProtection="1">
      <alignment horizontal="center" vertical="center"/>
      <protection locked="0"/>
    </xf>
    <xf numFmtId="194" fontId="49" fillId="55" borderId="38" xfId="0" applyNumberFormat="1" applyFont="1" applyFill="1" applyBorder="1" applyAlignment="1" applyProtection="1">
      <alignment horizontal="left" vertical="center" indent="1"/>
      <protection locked="0"/>
    </xf>
    <xf numFmtId="194" fontId="49" fillId="55" borderId="39" xfId="0" applyNumberFormat="1" applyFont="1" applyFill="1" applyBorder="1" applyAlignment="1" applyProtection="1">
      <alignment horizontal="left" vertical="center" indent="1"/>
      <protection locked="0"/>
    </xf>
    <xf numFmtId="194" fontId="28" fillId="0" borderId="0" xfId="0" applyNumberFormat="1" applyFont="1" applyBorder="1" applyAlignment="1" applyProtection="1">
      <alignment horizontal="left" vertical="center" indent="1"/>
      <protection/>
    </xf>
    <xf numFmtId="194" fontId="27" fillId="0" borderId="38" xfId="0" applyNumberFormat="1" applyFont="1" applyFill="1" applyBorder="1" applyAlignment="1" applyProtection="1">
      <alignment horizontal="left" vertical="center" indent="1"/>
      <protection locked="0"/>
    </xf>
    <xf numFmtId="0" fontId="90" fillId="0" borderId="0" xfId="0" applyFont="1" applyFill="1" applyBorder="1" applyAlignment="1" applyProtection="1">
      <alignment horizontal="left" vertical="top"/>
      <protection/>
    </xf>
    <xf numFmtId="0" fontId="50" fillId="0" borderId="34" xfId="0" applyFont="1" applyFill="1" applyBorder="1" applyAlignment="1" applyProtection="1">
      <alignment horizontal="center" vertical="center" wrapText="1"/>
      <protection locked="0"/>
    </xf>
    <xf numFmtId="10" fontId="50" fillId="0" borderId="27" xfId="434" applyNumberFormat="1" applyFont="1" applyFill="1" applyBorder="1" applyAlignment="1" applyProtection="1">
      <alignment horizontal="center" vertical="center" wrapText="1"/>
      <protection locked="0"/>
    </xf>
    <xf numFmtId="49" fontId="50" fillId="0" borderId="27" xfId="434" applyNumberFormat="1" applyFont="1" applyFill="1" applyBorder="1" applyAlignment="1" applyProtection="1">
      <alignment horizontal="center" vertical="center" wrapText="1"/>
      <protection locked="0"/>
    </xf>
    <xf numFmtId="9" fontId="102" fillId="0" borderId="132" xfId="434" applyNumberFormat="1" applyFont="1" applyFill="1" applyBorder="1" applyAlignment="1" applyProtection="1">
      <alignment horizontal="center" vertical="center" wrapText="1"/>
      <protection locked="0"/>
    </xf>
    <xf numFmtId="194" fontId="102" fillId="0" borderId="27" xfId="434" applyNumberFormat="1" applyFont="1" applyFill="1" applyBorder="1" applyAlignment="1" applyProtection="1">
      <alignment horizontal="center" vertical="center" wrapText="1"/>
      <protection locked="0"/>
    </xf>
    <xf numFmtId="190" fontId="153" fillId="0" borderId="132" xfId="434" applyNumberFormat="1" applyFont="1" applyFill="1" applyBorder="1" applyAlignment="1" applyProtection="1">
      <alignment horizontal="center" vertical="center" wrapText="1"/>
      <protection locked="0"/>
    </xf>
    <xf numFmtId="191" fontId="35" fillId="0" borderId="35" xfId="0" applyNumberFormat="1" applyFont="1" applyFill="1" applyBorder="1" applyAlignment="1" applyProtection="1">
      <alignment horizontal="left" vertical="center" wrapText="1"/>
      <protection locked="0"/>
    </xf>
    <xf numFmtId="0" fontId="154" fillId="55" borderId="176" xfId="0" applyFont="1" applyFill="1" applyBorder="1" applyAlignment="1" applyProtection="1">
      <alignment horizontal="left" vertical="center" wrapText="1"/>
      <protection/>
    </xf>
    <xf numFmtId="181" fontId="50" fillId="0" borderId="27" xfId="434" applyNumberFormat="1" applyFont="1" applyFill="1" applyBorder="1" applyAlignment="1" applyProtection="1">
      <alignment horizontal="center" vertical="center" wrapText="1"/>
      <protection locked="0"/>
    </xf>
    <xf numFmtId="190" fontId="102" fillId="0" borderId="132" xfId="434" applyNumberFormat="1" applyFont="1" applyFill="1" applyBorder="1" applyAlignment="1" applyProtection="1">
      <alignment horizontal="center" vertical="center" wrapText="1"/>
      <protection locked="0"/>
    </xf>
    <xf numFmtId="206" fontId="102" fillId="0" borderId="27" xfId="434" applyNumberFormat="1" applyFont="1" applyFill="1" applyBorder="1" applyAlignment="1" applyProtection="1">
      <alignment horizontal="center" vertical="center" wrapText="1"/>
      <protection locked="0"/>
    </xf>
    <xf numFmtId="0" fontId="154" fillId="55" borderId="176" xfId="0" applyFont="1" applyFill="1" applyBorder="1" applyAlignment="1" applyProtection="1">
      <alignment vertical="center" wrapText="1"/>
      <protection/>
    </xf>
    <xf numFmtId="9" fontId="50" fillId="0" borderId="27" xfId="434" applyNumberFormat="1" applyFont="1" applyFill="1" applyBorder="1" applyAlignment="1" applyProtection="1">
      <alignment horizontal="center" vertical="center" wrapText="1"/>
      <protection locked="0"/>
    </xf>
    <xf numFmtId="9" fontId="102" fillId="0" borderId="132" xfId="434" applyFont="1" applyFill="1" applyBorder="1" applyAlignment="1" applyProtection="1">
      <alignment horizontal="center" vertical="center" wrapText="1"/>
      <protection locked="0"/>
    </xf>
    <xf numFmtId="0" fontId="50" fillId="0" borderId="27" xfId="0" applyFont="1" applyFill="1" applyBorder="1" applyAlignment="1" applyProtection="1">
      <alignment horizontal="center" vertical="center" wrapText="1"/>
      <protection locked="0"/>
    </xf>
    <xf numFmtId="0" fontId="49" fillId="42" borderId="35" xfId="0" applyFont="1" applyFill="1" applyBorder="1" applyAlignment="1" applyProtection="1">
      <alignment horizontal="left" vertical="center" indent="1"/>
      <protection/>
    </xf>
    <xf numFmtId="0" fontId="49" fillId="42" borderId="27" xfId="0" applyFont="1" applyFill="1" applyBorder="1" applyAlignment="1" applyProtection="1">
      <alignment horizontal="left" vertical="center" indent="1"/>
      <protection/>
    </xf>
    <xf numFmtId="194" fontId="49" fillId="42" borderId="38" xfId="0" applyNumberFormat="1" applyFont="1" applyFill="1" applyBorder="1" applyAlignment="1" applyProtection="1">
      <alignment horizontal="left" vertical="center" indent="1"/>
      <protection/>
    </xf>
    <xf numFmtId="194" fontId="49" fillId="42" borderId="27" xfId="0" applyNumberFormat="1" applyFont="1" applyFill="1" applyBorder="1" applyAlignment="1" applyProtection="1">
      <alignment horizontal="left" vertical="center" indent="1"/>
      <protection/>
    </xf>
    <xf numFmtId="0" fontId="29" fillId="4" borderId="176" xfId="0" applyFont="1" applyFill="1" applyBorder="1" applyAlignment="1" applyProtection="1">
      <alignment horizontal="center" vertical="center"/>
      <protection/>
    </xf>
    <xf numFmtId="0" fontId="50" fillId="0" borderId="176" xfId="0" applyFont="1" applyFill="1" applyBorder="1" applyAlignment="1" applyProtection="1">
      <alignment horizontal="center" vertical="center" wrapText="1"/>
      <protection locked="0"/>
    </xf>
    <xf numFmtId="0" fontId="35" fillId="0" borderId="176" xfId="0" applyFont="1" applyFill="1" applyBorder="1" applyAlignment="1" applyProtection="1">
      <alignment horizontal="center" vertical="center" wrapText="1"/>
      <protection locked="0"/>
    </xf>
    <xf numFmtId="181" fontId="35" fillId="0" borderId="176" xfId="0" applyNumberFormat="1" applyFont="1" applyFill="1" applyBorder="1" applyAlignment="1" applyProtection="1">
      <alignment horizontal="center" vertical="center" wrapText="1"/>
      <protection locked="0"/>
    </xf>
    <xf numFmtId="49" fontId="35" fillId="0" borderId="176" xfId="0" applyNumberFormat="1" applyFont="1" applyFill="1" applyBorder="1" applyAlignment="1" applyProtection="1">
      <alignment horizontal="center" vertical="center" wrapText="1"/>
      <protection locked="0"/>
    </xf>
    <xf numFmtId="189" fontId="65" fillId="0" borderId="176" xfId="434" applyNumberFormat="1" applyFont="1" applyFill="1" applyBorder="1" applyAlignment="1" applyProtection="1">
      <alignment horizontal="center" vertical="center" wrapText="1"/>
      <protection locked="0"/>
    </xf>
    <xf numFmtId="0" fontId="155" fillId="53" borderId="176" xfId="0" applyNumberFormat="1" applyFont="1" applyFill="1" applyBorder="1" applyAlignment="1" applyProtection="1">
      <alignment horizontal="center" vertical="center" wrapText="1"/>
      <protection locked="0"/>
    </xf>
    <xf numFmtId="193" fontId="31" fillId="0" borderId="176" xfId="434" applyNumberFormat="1" applyFont="1" applyFill="1" applyBorder="1" applyAlignment="1" applyProtection="1">
      <alignment horizontal="center" vertical="center"/>
      <protection locked="0"/>
    </xf>
    <xf numFmtId="9" fontId="31" fillId="0" borderId="176" xfId="434" applyNumberFormat="1" applyFont="1" applyFill="1" applyBorder="1" applyAlignment="1" applyProtection="1">
      <alignment horizontal="center" vertical="center"/>
      <protection locked="0"/>
    </xf>
    <xf numFmtId="1" fontId="35" fillId="0" borderId="176" xfId="0" applyNumberFormat="1" applyFont="1" applyFill="1" applyBorder="1" applyAlignment="1" applyProtection="1">
      <alignment horizontal="center" vertical="center" wrapText="1"/>
      <protection locked="0"/>
    </xf>
    <xf numFmtId="3" fontId="156" fillId="0" borderId="176" xfId="0" applyNumberFormat="1" applyFont="1" applyFill="1" applyBorder="1" applyAlignment="1" applyProtection="1">
      <alignment horizontal="center" vertical="center" wrapText="1"/>
      <protection locked="0"/>
    </xf>
    <xf numFmtId="1" fontId="156" fillId="0" borderId="176" xfId="0" applyNumberFormat="1" applyFont="1" applyFill="1" applyBorder="1" applyAlignment="1" applyProtection="1">
      <alignment horizontal="center" vertical="center" wrapText="1"/>
      <protection locked="0"/>
    </xf>
    <xf numFmtId="9" fontId="35" fillId="0" borderId="176" xfId="0" applyNumberFormat="1" applyFont="1" applyFill="1" applyBorder="1" applyAlignment="1" applyProtection="1">
      <alignment horizontal="center" vertical="center" wrapText="1"/>
      <protection locked="0"/>
    </xf>
    <xf numFmtId="9" fontId="35" fillId="0" borderId="176" xfId="434" applyFont="1" applyFill="1" applyBorder="1" applyAlignment="1" applyProtection="1">
      <alignment horizontal="center" vertical="center" wrapText="1"/>
      <protection locked="0"/>
    </xf>
    <xf numFmtId="1" fontId="65" fillId="0" borderId="176" xfId="0" applyNumberFormat="1" applyFont="1" applyFill="1" applyBorder="1" applyAlignment="1" applyProtection="1">
      <alignment horizontal="center" vertical="center" wrapText="1"/>
      <protection locked="0"/>
    </xf>
    <xf numFmtId="9" fontId="65" fillId="0" borderId="176" xfId="434" applyFont="1" applyFill="1" applyBorder="1" applyAlignment="1" applyProtection="1">
      <alignment horizontal="center" vertical="center" wrapText="1"/>
      <protection locked="0"/>
    </xf>
    <xf numFmtId="9" fontId="156" fillId="0" borderId="176" xfId="434" applyFont="1" applyFill="1" applyBorder="1" applyAlignment="1" applyProtection="1">
      <alignment horizontal="center" vertical="center" wrapText="1"/>
      <protection locked="0"/>
    </xf>
    <xf numFmtId="189" fontId="65" fillId="0" borderId="176" xfId="0" applyNumberFormat="1" applyFont="1" applyFill="1" applyBorder="1" applyAlignment="1" applyProtection="1">
      <alignment horizontal="center" vertical="center" wrapText="1"/>
      <protection locked="0"/>
    </xf>
    <xf numFmtId="0" fontId="27" fillId="0" borderId="176" xfId="0" applyFont="1" applyFill="1" applyBorder="1" applyAlignment="1" applyProtection="1">
      <alignment horizontal="center" vertical="center" wrapText="1"/>
      <protection locked="0"/>
    </xf>
    <xf numFmtId="0" fontId="27" fillId="0" borderId="176" xfId="0" applyFont="1" applyFill="1" applyBorder="1" applyAlignment="1" applyProtection="1">
      <alignment horizontal="left" vertical="center" wrapText="1" indent="1"/>
      <protection locked="0"/>
    </xf>
    <xf numFmtId="181" fontId="27" fillId="0" borderId="176" xfId="0" applyNumberFormat="1" applyFont="1" applyFill="1" applyBorder="1" applyAlignment="1" applyProtection="1">
      <alignment horizontal="center" vertical="center"/>
      <protection locked="0"/>
    </xf>
    <xf numFmtId="49" fontId="27" fillId="0" borderId="176" xfId="0" applyNumberFormat="1" applyFont="1" applyFill="1" applyBorder="1" applyAlignment="1" applyProtection="1">
      <alignment horizontal="center" vertical="center"/>
      <protection locked="0"/>
    </xf>
    <xf numFmtId="9" fontId="27" fillId="0" borderId="176" xfId="434" applyFont="1" applyFill="1" applyBorder="1" applyAlignment="1" applyProtection="1">
      <alignment horizontal="center" vertical="center"/>
      <protection locked="0"/>
    </xf>
    <xf numFmtId="0" fontId="37" fillId="0" borderId="176" xfId="0" applyNumberFormat="1" applyFont="1" applyFill="1" applyBorder="1" applyAlignment="1" applyProtection="1">
      <alignment horizontal="center" vertical="center" wrapText="1"/>
      <protection locked="0"/>
    </xf>
    <xf numFmtId="0" fontId="35" fillId="42" borderId="35" xfId="0" applyFont="1" applyFill="1" applyBorder="1" applyAlignment="1" applyProtection="1">
      <alignment horizontal="left" vertical="center" indent="1"/>
      <protection/>
    </xf>
    <xf numFmtId="0" fontId="35" fillId="42" borderId="27" xfId="0" applyFont="1" applyFill="1" applyBorder="1" applyAlignment="1" applyProtection="1">
      <alignment horizontal="left" vertical="center" indent="1"/>
      <protection/>
    </xf>
    <xf numFmtId="194" fontId="35" fillId="42" borderId="38" xfId="0" applyNumberFormat="1" applyFont="1" applyFill="1" applyBorder="1" applyAlignment="1" applyProtection="1">
      <alignment horizontal="left" vertical="center" indent="1"/>
      <protection/>
    </xf>
    <xf numFmtId="194" fontId="35" fillId="42" borderId="27" xfId="0" applyNumberFormat="1" applyFont="1" applyFill="1" applyBorder="1" applyAlignment="1" applyProtection="1">
      <alignment horizontal="left" vertical="center" indent="1"/>
      <protection/>
    </xf>
    <xf numFmtId="0" fontId="38" fillId="4" borderId="23" xfId="0" applyFont="1" applyFill="1" applyBorder="1" applyAlignment="1" applyProtection="1">
      <alignment horizontal="center" vertical="center" wrapText="1"/>
      <protection/>
    </xf>
    <xf numFmtId="0" fontId="28" fillId="64" borderId="176" xfId="374" applyFont="1" applyFill="1" applyBorder="1" applyAlignment="1" applyProtection="1">
      <alignment horizontal="center" vertical="center" wrapText="1"/>
      <protection locked="0"/>
    </xf>
    <xf numFmtId="206" fontId="31" fillId="64" borderId="176" xfId="374" applyNumberFormat="1" applyFont="1" applyFill="1" applyBorder="1" applyAlignment="1" applyProtection="1">
      <alignment horizontal="center" vertical="center" wrapText="1"/>
      <protection locked="0"/>
    </xf>
    <xf numFmtId="0" fontId="35" fillId="64" borderId="176" xfId="374" applyFont="1" applyFill="1" applyBorder="1" applyAlignment="1" applyProtection="1">
      <alignment horizontal="center" vertical="center" wrapText="1"/>
      <protection locked="0"/>
    </xf>
    <xf numFmtId="0" fontId="19" fillId="55" borderId="0" xfId="0" applyFont="1" applyFill="1" applyBorder="1" applyAlignment="1" applyProtection="1">
      <alignment horizontal="center" wrapText="1"/>
      <protection/>
    </xf>
    <xf numFmtId="0" fontId="21" fillId="55" borderId="0" xfId="0" applyFont="1" applyFill="1" applyBorder="1" applyAlignment="1" applyProtection="1">
      <alignment horizontal="center" vertical="top" wrapText="1"/>
      <protection/>
    </xf>
    <xf numFmtId="0" fontId="20" fillId="55" borderId="0" xfId="0" applyFont="1" applyFill="1" applyBorder="1" applyAlignment="1" applyProtection="1">
      <alignment horizontal="left" vertical="top" wrapText="1"/>
      <protection/>
    </xf>
    <xf numFmtId="0" fontId="25" fillId="55" borderId="0" xfId="0" applyFont="1" applyFill="1" applyBorder="1" applyAlignment="1" applyProtection="1">
      <alignment wrapText="1"/>
      <protection/>
    </xf>
    <xf numFmtId="0" fontId="50" fillId="65" borderId="201" xfId="0" applyFont="1" applyFill="1" applyBorder="1" applyAlignment="1" applyProtection="1">
      <alignment horizontal="center" vertical="center" wrapText="1"/>
      <protection/>
    </xf>
    <xf numFmtId="0" fontId="50" fillId="65" borderId="202" xfId="0" applyFont="1" applyFill="1" applyBorder="1" applyAlignment="1" applyProtection="1">
      <alignment horizontal="center" vertical="center"/>
      <protection/>
    </xf>
    <xf numFmtId="0" fontId="50" fillId="65" borderId="203" xfId="0" applyFont="1" applyFill="1" applyBorder="1" applyAlignment="1" applyProtection="1">
      <alignment horizontal="center" vertical="center"/>
      <protection/>
    </xf>
    <xf numFmtId="0" fontId="26" fillId="56" borderId="204" xfId="0" applyFont="1" applyFill="1" applyBorder="1" applyAlignment="1" applyProtection="1">
      <alignment horizontal="left" vertical="center"/>
      <protection/>
    </xf>
    <xf numFmtId="0" fontId="29" fillId="0" borderId="36" xfId="0" applyFont="1" applyFill="1" applyBorder="1" applyAlignment="1" applyProtection="1">
      <alignment horizontal="left" vertical="center" indent="1"/>
      <protection locked="0"/>
    </xf>
    <xf numFmtId="0" fontId="19" fillId="0" borderId="0" xfId="0" applyFont="1" applyBorder="1" applyAlignment="1" applyProtection="1">
      <alignment horizontal="left" vertical="center" wrapText="1"/>
      <protection/>
    </xf>
    <xf numFmtId="0" fontId="26" fillId="56" borderId="205" xfId="0" applyFont="1" applyFill="1" applyBorder="1" applyAlignment="1" applyProtection="1">
      <alignment horizontal="left" vertical="center"/>
      <protection/>
    </xf>
    <xf numFmtId="0" fontId="27" fillId="0" borderId="19" xfId="0" applyFont="1" applyFill="1" applyBorder="1" applyAlignment="1" applyProtection="1">
      <alignment horizontal="left" vertical="center" indent="1"/>
      <protection locked="0"/>
    </xf>
    <xf numFmtId="0" fontId="27" fillId="0" borderId="36" xfId="0" applyFont="1" applyFill="1" applyBorder="1" applyAlignment="1" applyProtection="1">
      <alignment horizontal="left" vertical="center" indent="1"/>
      <protection locked="0"/>
    </xf>
    <xf numFmtId="194" fontId="27" fillId="0" borderId="36" xfId="0" applyNumberFormat="1" applyFont="1" applyFill="1" applyBorder="1" applyAlignment="1" applyProtection="1">
      <alignment horizontal="left" vertical="center" indent="1"/>
      <protection locked="0"/>
    </xf>
    <xf numFmtId="0" fontId="26" fillId="56" borderId="206" xfId="0" applyFont="1" applyFill="1" applyBorder="1" applyAlignment="1" applyProtection="1">
      <alignment horizontal="left" vertical="center"/>
      <protection/>
    </xf>
    <xf numFmtId="0" fontId="27" fillId="0" borderId="37" xfId="0" applyFont="1" applyFill="1" applyBorder="1" applyAlignment="1" applyProtection="1">
      <alignment horizontal="left" vertical="center" indent="1"/>
      <protection locked="0"/>
    </xf>
    <xf numFmtId="0" fontId="19" fillId="55" borderId="37" xfId="0" applyFont="1" applyFill="1" applyBorder="1" applyAlignment="1" applyProtection="1">
      <alignment horizontal="left" vertical="center" indent="1"/>
      <protection locked="0"/>
    </xf>
    <xf numFmtId="0" fontId="27" fillId="55" borderId="81" xfId="0" applyFont="1" applyFill="1" applyBorder="1" applyAlignment="1" applyProtection="1">
      <alignment horizontal="left" vertical="center" indent="1"/>
      <protection locked="0"/>
    </xf>
    <xf numFmtId="0" fontId="29" fillId="4" borderId="33" xfId="0" applyFont="1" applyFill="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34" fillId="42" borderId="22" xfId="0" applyFont="1" applyFill="1" applyBorder="1" applyAlignment="1" applyProtection="1">
      <alignment horizontal="center" vertical="center"/>
      <protection/>
    </xf>
    <xf numFmtId="0" fontId="34" fillId="42" borderId="207" xfId="0" applyFont="1" applyFill="1" applyBorder="1" applyAlignment="1" applyProtection="1">
      <alignment horizontal="center" vertical="center"/>
      <protection/>
    </xf>
    <xf numFmtId="0" fontId="101" fillId="0" borderId="27" xfId="0" applyNumberFormat="1" applyFont="1" applyFill="1" applyBorder="1" applyAlignment="1" applyProtection="1">
      <alignment horizontal="left" vertical="center" wrapText="1"/>
      <protection locked="0"/>
    </xf>
    <xf numFmtId="0" fontId="29" fillId="4" borderId="129" xfId="0" applyFont="1" applyFill="1" applyBorder="1" applyAlignment="1" applyProtection="1">
      <alignment horizontal="center" vertical="center" wrapText="1"/>
      <protection/>
    </xf>
    <xf numFmtId="0" fontId="29" fillId="4" borderId="131" xfId="0" applyFont="1" applyFill="1" applyBorder="1" applyAlignment="1" applyProtection="1">
      <alignment horizontal="center" vertical="center" wrapText="1"/>
      <protection/>
    </xf>
    <xf numFmtId="0" fontId="101" fillId="0" borderId="27" xfId="0" applyNumberFormat="1" applyFont="1" applyFill="1" applyBorder="1" applyAlignment="1" applyProtection="1">
      <alignment horizontal="left" vertical="center" wrapText="1" indent="1"/>
      <protection locked="0"/>
    </xf>
    <xf numFmtId="0" fontId="157" fillId="0" borderId="176" xfId="0" applyFont="1" applyFill="1" applyBorder="1" applyAlignment="1" applyProtection="1">
      <alignment horizontal="left" vertical="center" wrapText="1"/>
      <protection locked="0"/>
    </xf>
    <xf numFmtId="0" fontId="29" fillId="4" borderId="208" xfId="0" applyFont="1" applyFill="1" applyBorder="1" applyAlignment="1" applyProtection="1">
      <alignment horizontal="center" vertical="center" wrapText="1"/>
      <protection/>
    </xf>
    <xf numFmtId="0" fontId="29" fillId="4" borderId="209" xfId="0" applyFont="1" applyFill="1" applyBorder="1" applyAlignment="1" applyProtection="1">
      <alignment horizontal="center" vertical="center" wrapText="1"/>
      <protection/>
    </xf>
    <xf numFmtId="0" fontId="29" fillId="4" borderId="210" xfId="0" applyFont="1" applyFill="1" applyBorder="1" applyAlignment="1" applyProtection="1">
      <alignment horizontal="center" vertical="center" wrapText="1"/>
      <protection/>
    </xf>
    <xf numFmtId="0" fontId="28" fillId="0" borderId="27" xfId="0" applyFont="1" applyFill="1" applyBorder="1" applyAlignment="1" applyProtection="1">
      <alignment vertical="center" wrapText="1"/>
      <protection locked="0"/>
    </xf>
    <xf numFmtId="0" fontId="28" fillId="0" borderId="36" xfId="0" applyFont="1" applyFill="1" applyBorder="1" applyAlignment="1" applyProtection="1">
      <alignment horizontal="left" vertical="center" wrapText="1" indent="1"/>
      <protection locked="0"/>
    </xf>
    <xf numFmtId="0" fontId="28" fillId="0" borderId="35" xfId="0" applyFont="1" applyFill="1" applyBorder="1" applyAlignment="1" applyProtection="1">
      <alignment horizontal="left" vertical="center" wrapText="1" indent="1"/>
      <protection locked="0"/>
    </xf>
    <xf numFmtId="0" fontId="28" fillId="0" borderId="35" xfId="0" applyFont="1" applyFill="1" applyBorder="1" applyAlignment="1" applyProtection="1">
      <alignment vertical="center" wrapText="1"/>
      <protection locked="0"/>
    </xf>
    <xf numFmtId="0" fontId="28" fillId="0" borderId="39" xfId="0" applyFont="1" applyFill="1" applyBorder="1" applyAlignment="1" applyProtection="1">
      <alignment vertical="center" wrapText="1"/>
      <protection locked="0"/>
    </xf>
    <xf numFmtId="0" fontId="50" fillId="0" borderId="176" xfId="0" applyFont="1" applyFill="1" applyBorder="1" applyAlignment="1" applyProtection="1">
      <alignment vertical="center" wrapText="1"/>
      <protection locked="0"/>
    </xf>
    <xf numFmtId="0" fontId="106" fillId="0" borderId="176" xfId="0" applyFont="1" applyFill="1" applyBorder="1" applyAlignment="1" applyProtection="1">
      <alignment horizontal="justify" vertical="center" wrapText="1"/>
      <protection locked="0"/>
    </xf>
    <xf numFmtId="0" fontId="158" fillId="0" borderId="176" xfId="0" applyFont="1" applyFill="1" applyBorder="1" applyAlignment="1" applyProtection="1">
      <alignment horizontal="justify" vertical="center" wrapText="1"/>
      <protection locked="0"/>
    </xf>
    <xf numFmtId="0" fontId="29" fillId="42" borderId="19" xfId="0" applyFont="1" applyFill="1" applyBorder="1" applyAlignment="1" applyProtection="1">
      <alignment horizontal="left" vertical="center" indent="1"/>
      <protection/>
    </xf>
    <xf numFmtId="0" fontId="35" fillId="42" borderId="149" xfId="0" applyFont="1" applyFill="1" applyBorder="1" applyAlignment="1" applyProtection="1">
      <alignment horizontal="left" vertical="center" indent="1"/>
      <protection/>
    </xf>
    <xf numFmtId="0" fontId="29" fillId="4" borderId="203" xfId="0" applyFont="1" applyFill="1" applyBorder="1" applyAlignment="1" applyProtection="1">
      <alignment horizontal="center" vertical="center" wrapText="1"/>
      <protection/>
    </xf>
    <xf numFmtId="0" fontId="29" fillId="4" borderId="176" xfId="0" applyFont="1" applyFill="1" applyBorder="1" applyAlignment="1" applyProtection="1">
      <alignment horizontal="center" vertical="center" wrapText="1"/>
      <protection/>
    </xf>
    <xf numFmtId="0" fontId="40" fillId="42" borderId="211" xfId="0" applyFont="1" applyFill="1" applyBorder="1" applyAlignment="1" applyProtection="1">
      <alignment vertical="center"/>
      <protection/>
    </xf>
    <xf numFmtId="0" fontId="40" fillId="42" borderId="212" xfId="0" applyFont="1" applyFill="1" applyBorder="1" applyAlignment="1" applyProtection="1">
      <alignment vertical="center"/>
      <protection/>
    </xf>
    <xf numFmtId="0" fontId="40" fillId="42" borderId="213" xfId="0" applyFont="1" applyFill="1" applyBorder="1" applyAlignment="1" applyProtection="1">
      <alignment vertical="center"/>
      <protection/>
    </xf>
    <xf numFmtId="0" fontId="38" fillId="4" borderId="203" xfId="0" applyFont="1" applyFill="1" applyBorder="1" applyAlignment="1" applyProtection="1">
      <alignment horizontal="center" vertical="center" wrapText="1"/>
      <protection/>
    </xf>
    <xf numFmtId="0" fontId="38" fillId="4" borderId="176" xfId="0" applyFont="1" applyFill="1" applyBorder="1" applyAlignment="1" applyProtection="1">
      <alignment horizontal="center" vertical="center" wrapText="1"/>
      <protection/>
    </xf>
    <xf numFmtId="0" fontId="19" fillId="4" borderId="214" xfId="0" applyFont="1" applyFill="1" applyBorder="1" applyAlignment="1" applyProtection="1">
      <alignment horizontal="center" vertical="center" wrapText="1"/>
      <protection/>
    </xf>
    <xf numFmtId="0" fontId="19" fillId="4" borderId="215" xfId="0" applyFont="1" applyFill="1" applyBorder="1" applyAlignment="1" applyProtection="1">
      <alignment horizontal="center" vertical="center" wrapText="1"/>
      <protection/>
    </xf>
    <xf numFmtId="0" fontId="19" fillId="4" borderId="185" xfId="0" applyFont="1" applyFill="1" applyBorder="1" applyAlignment="1" applyProtection="1">
      <alignment horizontal="center" vertical="center" wrapText="1"/>
      <protection/>
    </xf>
    <xf numFmtId="0" fontId="19" fillId="4" borderId="189" xfId="0" applyFont="1" applyFill="1" applyBorder="1" applyAlignment="1" applyProtection="1">
      <alignment horizontal="center" vertical="center" wrapText="1"/>
      <protection/>
    </xf>
    <xf numFmtId="0" fontId="159" fillId="66" borderId="203" xfId="0" applyFont="1" applyFill="1" applyBorder="1" applyAlignment="1" applyProtection="1">
      <alignment horizontal="center" vertical="center" wrapText="1"/>
      <protection/>
    </xf>
    <xf numFmtId="0" fontId="159" fillId="66" borderId="176" xfId="0" applyFont="1" applyFill="1" applyBorder="1" applyAlignment="1" applyProtection="1">
      <alignment horizontal="center" vertical="center" wrapText="1"/>
      <protection/>
    </xf>
    <xf numFmtId="0" fontId="107" fillId="0" borderId="176" xfId="0" applyFont="1" applyFill="1" applyBorder="1" applyAlignment="1" applyProtection="1">
      <alignment horizontal="justify" vertical="center" wrapText="1"/>
      <protection locked="0"/>
    </xf>
    <xf numFmtId="0" fontId="160" fillId="0" borderId="176" xfId="0" applyFont="1" applyFill="1" applyBorder="1" applyAlignment="1" applyProtection="1">
      <alignment horizontal="justify" vertical="center" wrapText="1"/>
      <protection locked="0"/>
    </xf>
    <xf numFmtId="0" fontId="49" fillId="0" borderId="176" xfId="0" applyFont="1" applyFill="1" applyBorder="1" applyAlignment="1" applyProtection="1">
      <alignment horizontal="justify" vertical="center" wrapText="1"/>
      <protection locked="0"/>
    </xf>
    <xf numFmtId="0" fontId="27" fillId="0" borderId="176" xfId="0" applyFont="1" applyFill="1" applyBorder="1" applyAlignment="1" applyProtection="1">
      <alignment horizontal="justify" vertical="center" wrapText="1"/>
      <protection locked="0"/>
    </xf>
    <xf numFmtId="0" fontId="27" fillId="0" borderId="176" xfId="0" applyFont="1" applyFill="1" applyBorder="1" applyAlignment="1" applyProtection="1">
      <alignment horizontal="left" vertical="center" wrapText="1" indent="1"/>
      <protection locked="0"/>
    </xf>
    <xf numFmtId="0" fontId="27" fillId="0" borderId="176" xfId="0" applyFont="1" applyFill="1" applyBorder="1" applyAlignment="1" applyProtection="1">
      <alignment horizontal="center" vertical="center" wrapText="1"/>
      <protection locked="0"/>
    </xf>
    <xf numFmtId="0" fontId="29" fillId="0" borderId="0" xfId="0" applyFont="1" applyFill="1" applyBorder="1" applyAlignment="1" applyProtection="1">
      <alignment vertical="center" wrapText="1"/>
      <protection/>
    </xf>
    <xf numFmtId="0" fontId="113" fillId="0" borderId="48" xfId="0" applyFont="1" applyFill="1" applyBorder="1" applyAlignment="1" applyProtection="1">
      <alignment vertical="center" wrapText="1"/>
      <protection locked="0"/>
    </xf>
    <xf numFmtId="0" fontId="27" fillId="0" borderId="0" xfId="0" applyFont="1" applyFill="1" applyBorder="1" applyAlignment="1" applyProtection="1">
      <alignment horizontal="left" vertical="center" indent="1"/>
      <protection/>
    </xf>
    <xf numFmtId="0" fontId="27" fillId="0" borderId="0" xfId="0" applyFont="1" applyFill="1" applyBorder="1" applyAlignment="1" applyProtection="1">
      <alignment horizontal="center" vertical="center" wrapText="1" readingOrder="1"/>
      <protection locked="0"/>
    </xf>
    <xf numFmtId="0" fontId="38" fillId="4" borderId="31" xfId="0" applyFont="1" applyFill="1" applyBorder="1" applyAlignment="1" applyProtection="1">
      <alignment horizontal="center" vertical="center" wrapText="1"/>
      <protection/>
    </xf>
    <xf numFmtId="0" fontId="38" fillId="4" borderId="32" xfId="0" applyFont="1" applyFill="1" applyBorder="1" applyAlignment="1" applyProtection="1">
      <alignment horizontal="center" vertical="center" wrapText="1"/>
      <protection/>
    </xf>
    <xf numFmtId="0" fontId="38" fillId="4" borderId="22" xfId="0" applyFont="1" applyFill="1" applyBorder="1" applyAlignment="1" applyProtection="1">
      <alignment horizontal="center" vertical="center" wrapText="1"/>
      <protection/>
    </xf>
    <xf numFmtId="0" fontId="38" fillId="4" borderId="19" xfId="0" applyFont="1" applyFill="1" applyBorder="1" applyAlignment="1" applyProtection="1">
      <alignment horizontal="center" vertical="center" wrapText="1"/>
      <protection/>
    </xf>
    <xf numFmtId="0" fontId="42" fillId="56" borderId="205" xfId="0" applyFont="1" applyFill="1" applyBorder="1" applyAlignment="1" applyProtection="1">
      <alignment horizontal="left" vertical="center"/>
      <protection/>
    </xf>
    <xf numFmtId="0" fontId="30" fillId="42" borderId="19" xfId="0" applyFont="1" applyFill="1" applyBorder="1" applyAlignment="1" applyProtection="1">
      <alignment horizontal="left" vertical="center" indent="1"/>
      <protection/>
    </xf>
    <xf numFmtId="0" fontId="44" fillId="0" borderId="21" xfId="0" applyFont="1" applyFill="1" applyBorder="1" applyAlignment="1" applyProtection="1">
      <alignment horizontal="center"/>
      <protection/>
    </xf>
    <xf numFmtId="0" fontId="45" fillId="0" borderId="0" xfId="0" applyFont="1" applyFill="1" applyBorder="1" applyAlignment="1" applyProtection="1">
      <alignment horizontal="left" wrapText="1"/>
      <protection/>
    </xf>
    <xf numFmtId="0" fontId="20" fillId="0" borderId="27" xfId="0" applyFont="1" applyFill="1" applyBorder="1" applyAlignment="1" applyProtection="1">
      <alignment horizontal="left" vertical="top" wrapText="1"/>
      <protection locked="0"/>
    </xf>
    <xf numFmtId="0" fontId="20" fillId="0" borderId="27" xfId="0" applyFont="1" applyFill="1" applyBorder="1" applyAlignment="1" applyProtection="1">
      <alignment horizontal="left" vertical="center" wrapText="1" indent="1"/>
      <protection locked="0"/>
    </xf>
    <xf numFmtId="0" fontId="20" fillId="0" borderId="128" xfId="0" applyFont="1" applyFill="1" applyBorder="1" applyAlignment="1" applyProtection="1">
      <alignment horizontal="left" vertical="top" wrapText="1"/>
      <protection locked="0"/>
    </xf>
    <xf numFmtId="0" fontId="20" fillId="0" borderId="142" xfId="0" applyFont="1" applyFill="1" applyBorder="1" applyAlignment="1" applyProtection="1">
      <alignment horizontal="left" vertical="center" wrapText="1" indent="1"/>
      <protection locked="0"/>
    </xf>
    <xf numFmtId="0" fontId="20" fillId="0" borderId="128" xfId="0" applyFont="1" applyFill="1" applyBorder="1" applyAlignment="1" applyProtection="1">
      <alignment horizontal="left" vertical="center" wrapText="1"/>
      <protection locked="0"/>
    </xf>
    <xf numFmtId="0" fontId="161" fillId="0" borderId="36" xfId="0" applyFont="1" applyFill="1" applyBorder="1" applyAlignment="1" applyProtection="1">
      <alignment horizontal="left" vertical="center" wrapText="1"/>
      <protection locked="0"/>
    </xf>
    <xf numFmtId="0" fontId="20" fillId="0" borderId="36" xfId="0" applyFont="1" applyFill="1" applyBorder="1" applyAlignment="1" applyProtection="1">
      <alignment horizontal="left" vertical="center" wrapText="1"/>
      <protection locked="0"/>
    </xf>
    <xf numFmtId="0" fontId="28" fillId="0" borderId="128" xfId="0" applyFont="1" applyFill="1" applyBorder="1" applyAlignment="1" applyProtection="1">
      <alignment horizontal="left" vertical="center" wrapText="1"/>
      <protection locked="0"/>
    </xf>
    <xf numFmtId="0" fontId="28" fillId="0" borderId="36" xfId="0" applyFont="1" applyFill="1" applyBorder="1" applyAlignment="1" applyProtection="1">
      <alignment horizontal="left" vertical="center" wrapText="1"/>
      <protection locked="0"/>
    </xf>
    <xf numFmtId="0" fontId="28" fillId="0" borderId="129" xfId="0" applyFont="1" applyFill="1" applyBorder="1" applyAlignment="1" applyProtection="1">
      <alignment horizontal="left" vertical="center" wrapText="1"/>
      <protection locked="0"/>
    </xf>
    <xf numFmtId="0" fontId="28" fillId="0" borderId="37" xfId="0" applyFont="1" applyFill="1" applyBorder="1" applyAlignment="1" applyProtection="1">
      <alignment horizontal="left" vertical="center" wrapText="1"/>
      <protection locked="0"/>
    </xf>
    <xf numFmtId="0" fontId="43" fillId="56" borderId="25" xfId="0" applyFont="1" applyFill="1" applyBorder="1" applyAlignment="1" applyProtection="1">
      <alignment horizontal="left" vertical="center"/>
      <protection/>
    </xf>
    <xf numFmtId="0" fontId="46" fillId="55" borderId="25" xfId="0" applyFont="1" applyFill="1" applyBorder="1" applyAlignment="1" applyProtection="1">
      <alignment horizontal="left" vertical="top" wrapText="1"/>
      <protection/>
    </xf>
    <xf numFmtId="0" fontId="38" fillId="0" borderId="216" xfId="0" applyFont="1" applyFill="1" applyBorder="1" applyAlignment="1" applyProtection="1">
      <alignment horizontal="left" vertical="center" wrapText="1"/>
      <protection locked="0"/>
    </xf>
    <xf numFmtId="0" fontId="38" fillId="0" borderId="217" xfId="0" applyFont="1" applyFill="1" applyBorder="1" applyAlignment="1" applyProtection="1">
      <alignment horizontal="left" vertical="center" wrapText="1"/>
      <protection locked="0"/>
    </xf>
    <xf numFmtId="0" fontId="38" fillId="0" borderId="218" xfId="0" applyFont="1" applyFill="1" applyBorder="1" applyAlignment="1" applyProtection="1">
      <alignment horizontal="left" vertical="center" wrapText="1"/>
      <protection locked="0"/>
    </xf>
    <xf numFmtId="0" fontId="35" fillId="0" borderId="219" xfId="0" applyFont="1" applyFill="1" applyBorder="1" applyAlignment="1" applyProtection="1">
      <alignment horizontal="left" vertical="center" wrapText="1"/>
      <protection/>
    </xf>
    <xf numFmtId="0" fontId="35" fillId="0" borderId="217" xfId="0" applyFont="1" applyFill="1" applyBorder="1" applyAlignment="1" applyProtection="1">
      <alignment horizontal="left" vertical="center" wrapText="1"/>
      <protection/>
    </xf>
    <xf numFmtId="0" fontId="35" fillId="0" borderId="218" xfId="0" applyFont="1" applyFill="1" applyBorder="1" applyAlignment="1" applyProtection="1">
      <alignment horizontal="left" vertical="center" wrapText="1"/>
      <protection/>
    </xf>
    <xf numFmtId="0" fontId="35" fillId="0" borderId="176" xfId="0" applyFont="1" applyFill="1" applyBorder="1" applyAlignment="1" applyProtection="1">
      <alignment horizontal="left" vertical="center" wrapText="1"/>
      <protection/>
    </xf>
    <xf numFmtId="0" fontId="38" fillId="0" borderId="176" xfId="0" applyFont="1" applyFill="1" applyBorder="1" applyAlignment="1" applyProtection="1">
      <alignment horizontal="left" vertical="center" wrapText="1"/>
      <protection/>
    </xf>
    <xf numFmtId="0" fontId="31" fillId="4" borderId="127" xfId="0" applyFont="1" applyFill="1" applyBorder="1" applyAlignment="1" applyProtection="1">
      <alignment horizontal="center" vertical="center" wrapText="1"/>
      <protection/>
    </xf>
    <xf numFmtId="0" fontId="31" fillId="4" borderId="19" xfId="0" applyFont="1" applyFill="1" applyBorder="1" applyAlignment="1" applyProtection="1">
      <alignment horizontal="center" vertical="center" wrapText="1"/>
      <protection/>
    </xf>
    <xf numFmtId="0" fontId="162" fillId="0" borderId="176" xfId="0" applyFont="1" applyFill="1" applyBorder="1" applyAlignment="1" applyProtection="1">
      <alignment horizontal="left" vertical="center" wrapText="1"/>
      <protection/>
    </xf>
    <xf numFmtId="0" fontId="80" fillId="0" borderId="176" xfId="0" applyFont="1" applyFill="1" applyBorder="1" applyAlignment="1" applyProtection="1">
      <alignment horizontal="left" vertical="center" wrapText="1"/>
      <protection locked="0"/>
    </xf>
    <xf numFmtId="0" fontId="43" fillId="56" borderId="161" xfId="0" applyFont="1" applyFill="1" applyBorder="1" applyAlignment="1" applyProtection="1">
      <alignment horizontal="left" vertical="center"/>
      <protection/>
    </xf>
    <xf numFmtId="0" fontId="43" fillId="56" borderId="99" xfId="0" applyFont="1" applyFill="1" applyBorder="1" applyAlignment="1" applyProtection="1">
      <alignment horizontal="left" vertical="center"/>
      <protection/>
    </xf>
    <xf numFmtId="0" fontId="39" fillId="0" borderId="30" xfId="0" applyFont="1" applyFill="1" applyBorder="1" applyAlignment="1" applyProtection="1">
      <alignment horizontal="left" vertical="center"/>
      <protection/>
    </xf>
    <xf numFmtId="0" fontId="0" fillId="55" borderId="132" xfId="0" applyFill="1" applyBorder="1" applyAlignment="1" applyProtection="1">
      <alignment horizontal="center"/>
      <protection/>
    </xf>
    <xf numFmtId="0" fontId="47" fillId="55" borderId="176" xfId="0" applyFont="1" applyFill="1" applyBorder="1" applyAlignment="1" applyProtection="1">
      <alignment horizontal="center" vertical="top" wrapText="1"/>
      <protection/>
    </xf>
    <xf numFmtId="0" fontId="30" fillId="0" borderId="129" xfId="0" applyFont="1" applyFill="1" applyBorder="1" applyAlignment="1" applyProtection="1">
      <alignment horizontal="left" vertical="center" wrapText="1"/>
      <protection/>
    </xf>
    <xf numFmtId="0" fontId="30" fillId="4" borderId="127" xfId="0" applyFont="1" applyFill="1" applyBorder="1" applyAlignment="1" applyProtection="1">
      <alignment horizontal="center" vertical="center" wrapText="1"/>
      <protection/>
    </xf>
    <xf numFmtId="0" fontId="30" fillId="4" borderId="19" xfId="0" applyFont="1" applyFill="1" applyBorder="1" applyAlignment="1" applyProtection="1">
      <alignment horizontal="center" vertical="center" wrapText="1"/>
      <protection/>
    </xf>
    <xf numFmtId="0" fontId="30" fillId="0" borderId="128" xfId="0" applyFont="1" applyFill="1" applyBorder="1" applyAlignment="1" applyProtection="1">
      <alignment horizontal="left" vertical="center" wrapText="1"/>
      <protection/>
    </xf>
    <xf numFmtId="0" fontId="42" fillId="56" borderId="206" xfId="0" applyFont="1" applyFill="1" applyBorder="1" applyAlignment="1" applyProtection="1">
      <alignment horizontal="left" vertical="center"/>
      <protection/>
    </xf>
    <xf numFmtId="0" fontId="28" fillId="39" borderId="81" xfId="0" applyFont="1" applyFill="1" applyBorder="1" applyAlignment="1" applyProtection="1">
      <alignment horizontal="center" vertical="center"/>
      <protection/>
    </xf>
    <xf numFmtId="0" fontId="31" fillId="0" borderId="0" xfId="0" applyFont="1" applyFill="1" applyBorder="1" applyAlignment="1" applyProtection="1">
      <alignment horizontal="left" vertical="center"/>
      <protection/>
    </xf>
    <xf numFmtId="0" fontId="19" fillId="0" borderId="0" xfId="0" applyFont="1" applyBorder="1" applyAlignment="1" applyProtection="1">
      <alignment horizontal="left" wrapText="1"/>
      <protection/>
    </xf>
    <xf numFmtId="0" fontId="30" fillId="39" borderId="148" xfId="0" applyFont="1" applyFill="1" applyBorder="1" applyAlignment="1" applyProtection="1">
      <alignment horizontal="left" vertical="center" indent="1"/>
      <protection/>
    </xf>
    <xf numFmtId="0" fontId="28" fillId="39" borderId="149" xfId="0" applyFont="1" applyFill="1" applyBorder="1" applyAlignment="1" applyProtection="1">
      <alignment horizontal="left" vertical="center" indent="1"/>
      <protection/>
    </xf>
    <xf numFmtId="0" fontId="28" fillId="57" borderId="27" xfId="0" applyFont="1" applyFill="1" applyBorder="1" applyAlignment="1" applyProtection="1">
      <alignment horizontal="left" vertical="center"/>
      <protection/>
    </xf>
    <xf numFmtId="0" fontId="35" fillId="0" borderId="128" xfId="0" applyFont="1" applyFill="1" applyBorder="1" applyAlignment="1" applyProtection="1">
      <alignment horizontal="left" vertical="center"/>
      <protection/>
    </xf>
    <xf numFmtId="0" fontId="35" fillId="0" borderId="27" xfId="0" applyFont="1" applyFill="1" applyBorder="1" applyAlignment="1" applyProtection="1">
      <alignment horizontal="left" vertical="center" wrapText="1"/>
      <protection locked="0"/>
    </xf>
    <xf numFmtId="0" fontId="30" fillId="4" borderId="24" xfId="0" applyFont="1" applyFill="1" applyBorder="1" applyAlignment="1" applyProtection="1">
      <alignment horizontal="center" vertical="center"/>
      <protection/>
    </xf>
    <xf numFmtId="0" fontId="28" fillId="0" borderId="128" xfId="0" applyFont="1" applyFill="1" applyBorder="1" applyAlignment="1" applyProtection="1">
      <alignment horizontal="left" vertical="center"/>
      <protection/>
    </xf>
    <xf numFmtId="0" fontId="28" fillId="0" borderId="27" xfId="0" applyFont="1" applyFill="1" applyBorder="1" applyAlignment="1" applyProtection="1">
      <alignment horizontal="left" vertical="center" wrapText="1"/>
      <protection locked="0"/>
    </xf>
    <xf numFmtId="0" fontId="28" fillId="0" borderId="129" xfId="0" applyFont="1" applyFill="1" applyBorder="1" applyAlignment="1" applyProtection="1">
      <alignment horizontal="left" vertical="center" wrapText="1"/>
      <protection/>
    </xf>
    <xf numFmtId="0" fontId="49" fillId="0" borderId="33" xfId="0" applyFont="1" applyFill="1" applyBorder="1" applyAlignment="1" applyProtection="1">
      <alignment horizontal="left" vertical="center" wrapText="1"/>
      <protection locked="0"/>
    </xf>
    <xf numFmtId="197" fontId="30" fillId="57" borderId="27" xfId="0" applyNumberFormat="1" applyFont="1" applyFill="1" applyBorder="1" applyAlignment="1" applyProtection="1">
      <alignment horizontal="right" vertical="center" wrapText="1"/>
      <protection/>
    </xf>
    <xf numFmtId="0" fontId="28" fillId="0" borderId="128" xfId="0" applyFont="1" applyFill="1" applyBorder="1" applyAlignment="1" applyProtection="1">
      <alignment horizontal="left" vertical="center" wrapText="1"/>
      <protection/>
    </xf>
    <xf numFmtId="0" fontId="49" fillId="0" borderId="27" xfId="0" applyFont="1" applyFill="1" applyBorder="1" applyAlignment="1" applyProtection="1">
      <alignment horizontal="left" vertical="center" wrapText="1"/>
      <protection locked="0"/>
    </xf>
    <xf numFmtId="0" fontId="47" fillId="6" borderId="128" xfId="0" applyFont="1" applyFill="1" applyBorder="1" applyAlignment="1" applyProtection="1">
      <alignment horizontal="left"/>
      <protection/>
    </xf>
    <xf numFmtId="0" fontId="0" fillId="39" borderId="36" xfId="0" applyFill="1" applyBorder="1" applyAlignment="1" applyProtection="1">
      <alignment horizontal="left" wrapText="1" indent="1"/>
      <protection/>
    </xf>
    <xf numFmtId="0" fontId="38" fillId="0" borderId="0" xfId="0" applyFont="1" applyBorder="1" applyAlignment="1" applyProtection="1">
      <alignment horizontal="left"/>
      <protection/>
    </xf>
    <xf numFmtId="0" fontId="47" fillId="6" borderId="127" xfId="0" applyFont="1" applyFill="1" applyBorder="1" applyAlignment="1" applyProtection="1">
      <alignment horizontal="left"/>
      <protection/>
    </xf>
    <xf numFmtId="0" fontId="0" fillId="39" borderId="19" xfId="0" applyNumberFormat="1" applyFill="1" applyBorder="1" applyAlignment="1" applyProtection="1">
      <alignment horizontal="left" wrapText="1" indent="1"/>
      <protection/>
    </xf>
    <xf numFmtId="191" fontId="53" fillId="55" borderId="0" xfId="0" applyNumberFormat="1" applyFont="1" applyFill="1" applyBorder="1" applyAlignment="1" applyProtection="1">
      <alignment horizontal="center" wrapText="1"/>
      <protection/>
    </xf>
    <xf numFmtId="0" fontId="47" fillId="6" borderId="129" xfId="0" applyFont="1" applyFill="1" applyBorder="1" applyAlignment="1" applyProtection="1">
      <alignment horizontal="left"/>
      <protection/>
    </xf>
    <xf numFmtId="0" fontId="0" fillId="55" borderId="37" xfId="0" applyFont="1" applyFill="1" applyBorder="1" applyAlignment="1" applyProtection="1">
      <alignment horizontal="left" wrapText="1" indent="1"/>
      <protection locked="0"/>
    </xf>
    <xf numFmtId="0" fontId="47" fillId="6" borderId="27" xfId="0" applyFont="1" applyFill="1" applyBorder="1" applyAlignment="1" applyProtection="1">
      <alignment horizontal="center" wrapText="1"/>
      <protection/>
    </xf>
    <xf numFmtId="0" fontId="0" fillId="55" borderId="0" xfId="0" applyFill="1" applyBorder="1" applyAlignment="1" applyProtection="1">
      <alignment horizontal="left" wrapText="1" indent="1"/>
      <protection/>
    </xf>
    <xf numFmtId="0" fontId="47" fillId="55" borderId="0" xfId="0" applyFont="1" applyFill="1" applyBorder="1" applyAlignment="1" applyProtection="1">
      <alignment horizontal="left"/>
      <protection/>
    </xf>
    <xf numFmtId="0" fontId="30" fillId="4" borderId="24" xfId="0" applyFont="1" applyFill="1" applyBorder="1" applyAlignment="1" applyProtection="1">
      <alignment horizontal="center" vertical="center" wrapText="1"/>
      <protection/>
    </xf>
    <xf numFmtId="0" fontId="30" fillId="0" borderId="128" xfId="0" applyFont="1" applyFill="1" applyBorder="1" applyAlignment="1" applyProtection="1">
      <alignment horizontal="left" vertical="center"/>
      <protection/>
    </xf>
    <xf numFmtId="0" fontId="47" fillId="55" borderId="0" xfId="0" applyFont="1" applyFill="1" applyBorder="1" applyAlignment="1" applyProtection="1">
      <alignment horizontal="center" wrapText="1"/>
      <protection/>
    </xf>
    <xf numFmtId="0" fontId="30" fillId="39" borderId="220" xfId="0" applyFont="1" applyFill="1" applyBorder="1" applyAlignment="1" applyProtection="1">
      <alignment horizontal="center"/>
      <protection/>
    </xf>
    <xf numFmtId="0" fontId="30" fillId="39" borderId="221" xfId="0" applyFont="1" applyFill="1" applyBorder="1" applyAlignment="1" applyProtection="1">
      <alignment horizontal="center"/>
      <protection/>
    </xf>
    <xf numFmtId="0" fontId="30" fillId="6" borderId="42" xfId="0" applyFont="1" applyFill="1" applyBorder="1" applyAlignment="1" applyProtection="1">
      <alignment horizontal="center"/>
      <protection/>
    </xf>
    <xf numFmtId="0" fontId="0" fillId="0" borderId="52" xfId="0" applyFont="1" applyFill="1" applyBorder="1" applyAlignment="1" applyProtection="1">
      <alignment horizontal="left" indent="1"/>
      <protection/>
    </xf>
    <xf numFmtId="0" fontId="28" fillId="0" borderId="33" xfId="0" applyFont="1" applyFill="1" applyBorder="1" applyAlignment="1" applyProtection="1">
      <alignment horizontal="left" vertical="center" wrapText="1"/>
      <protection locked="0"/>
    </xf>
    <xf numFmtId="0" fontId="0" fillId="0" borderId="52" xfId="0" applyFont="1" applyBorder="1" applyAlignment="1" applyProtection="1">
      <alignment horizontal="left" indent="1"/>
      <protection/>
    </xf>
    <xf numFmtId="0" fontId="0" fillId="0" borderId="71" xfId="0" applyFont="1" applyBorder="1" applyAlignment="1" applyProtection="1">
      <alignment horizontal="left" indent="1"/>
      <protection/>
    </xf>
    <xf numFmtId="0" fontId="28" fillId="0" borderId="129" xfId="0" applyFont="1" applyFill="1" applyBorder="1" applyAlignment="1" applyProtection="1">
      <alignment horizontal="left" vertical="center"/>
      <protection/>
    </xf>
    <xf numFmtId="0" fontId="0" fillId="0" borderId="74" xfId="0" applyFont="1" applyBorder="1" applyAlignment="1" applyProtection="1">
      <alignment horizontal="left" indent="1"/>
      <protection/>
    </xf>
    <xf numFmtId="0" fontId="56" fillId="52" borderId="41" xfId="0" applyFont="1" applyFill="1" applyBorder="1" applyAlignment="1" applyProtection="1">
      <alignment horizontal="center" vertical="center"/>
      <protection/>
    </xf>
    <xf numFmtId="0" fontId="30" fillId="39" borderId="41" xfId="0" applyFont="1" applyFill="1" applyBorder="1" applyAlignment="1" applyProtection="1">
      <alignment horizontal="center"/>
      <protection/>
    </xf>
    <xf numFmtId="49" fontId="0" fillId="0" borderId="63" xfId="221" applyNumberFormat="1" applyFont="1" applyFill="1" applyBorder="1" applyAlignment="1" applyProtection="1">
      <alignment horizontal="center" wrapText="1"/>
      <protection locked="0"/>
    </xf>
    <xf numFmtId="0" fontId="30" fillId="42" borderId="48" xfId="0" applyFont="1" applyFill="1" applyBorder="1" applyAlignment="1" applyProtection="1">
      <alignment horizontal="center"/>
      <protection/>
    </xf>
    <xf numFmtId="191" fontId="30" fillId="6" borderId="48" xfId="0" applyNumberFormat="1" applyFont="1" applyFill="1" applyBorder="1" applyAlignment="1" applyProtection="1">
      <alignment horizontal="center" wrapText="1"/>
      <protection/>
    </xf>
    <xf numFmtId="49" fontId="0" fillId="0" borderId="222" xfId="221" applyNumberFormat="1" applyFont="1" applyFill="1" applyBorder="1" applyAlignment="1" applyProtection="1">
      <alignment horizontal="center" wrapText="1"/>
      <protection locked="0"/>
    </xf>
    <xf numFmtId="49" fontId="0" fillId="0" borderId="223" xfId="221" applyNumberFormat="1" applyFont="1" applyFill="1" applyBorder="1" applyAlignment="1" applyProtection="1">
      <alignment horizontal="center" wrapText="1"/>
      <protection locked="0"/>
    </xf>
    <xf numFmtId="0" fontId="30" fillId="6" borderId="48" xfId="0" applyFont="1" applyFill="1" applyBorder="1" applyAlignment="1" applyProtection="1">
      <alignment horizontal="center"/>
      <protection/>
    </xf>
    <xf numFmtId="0" fontId="0" fillId="0" borderId="48" xfId="0" applyNumberFormat="1" applyBorder="1" applyAlignment="1" applyProtection="1">
      <alignment horizontal="left" vertical="top" wrapText="1"/>
      <protection locked="0"/>
    </xf>
    <xf numFmtId="0" fontId="47" fillId="52" borderId="48" xfId="0" applyFont="1" applyFill="1" applyBorder="1" applyAlignment="1" applyProtection="1">
      <alignment horizontal="right" vertical="center"/>
      <protection/>
    </xf>
    <xf numFmtId="0" fontId="0" fillId="55" borderId="132" xfId="0" applyFont="1" applyFill="1" applyBorder="1" applyAlignment="1" applyProtection="1">
      <alignment wrapText="1"/>
      <protection/>
    </xf>
    <xf numFmtId="0" fontId="55" fillId="39" borderId="48" xfId="0" applyFont="1" applyFill="1" applyBorder="1" applyAlignment="1" applyProtection="1">
      <alignment horizontal="left"/>
      <protection/>
    </xf>
    <xf numFmtId="0" fontId="30" fillId="39" borderId="19" xfId="0" applyFont="1" applyFill="1" applyBorder="1" applyAlignment="1" applyProtection="1">
      <alignment horizontal="left" vertical="center" indent="1"/>
      <protection/>
    </xf>
    <xf numFmtId="0" fontId="28" fillId="39" borderId="37" xfId="0" applyFont="1" applyFill="1" applyBorder="1" applyAlignment="1" applyProtection="1">
      <alignment horizontal="left" vertical="center" indent="1"/>
      <protection/>
    </xf>
    <xf numFmtId="0" fontId="21" fillId="55" borderId="224" xfId="0" applyFont="1" applyFill="1" applyBorder="1" applyAlignment="1" applyProtection="1">
      <alignment horizontal="left" vertical="center" wrapText="1"/>
      <protection/>
    </xf>
    <xf numFmtId="0" fontId="35" fillId="0" borderId="139" xfId="0" applyFont="1" applyFill="1" applyBorder="1" applyAlignment="1" applyProtection="1">
      <alignment vertical="top" wrapText="1"/>
      <protection locked="0"/>
    </xf>
    <xf numFmtId="0" fontId="30" fillId="55" borderId="30" xfId="0" applyFont="1" applyFill="1" applyBorder="1" applyAlignment="1" applyProtection="1">
      <alignment/>
      <protection/>
    </xf>
    <xf numFmtId="0" fontId="49" fillId="0" borderId="48" xfId="0" applyFont="1" applyFill="1" applyBorder="1" applyAlignment="1" applyProtection="1">
      <alignment horizontal="left" vertical="center" wrapText="1"/>
      <protection locked="0"/>
    </xf>
    <xf numFmtId="0" fontId="31" fillId="55" borderId="30" xfId="0" applyFont="1" applyFill="1" applyBorder="1" applyAlignment="1" applyProtection="1">
      <alignment horizontal="left" vertical="center"/>
      <protection/>
    </xf>
    <xf numFmtId="0" fontId="30" fillId="0" borderId="64" xfId="0" applyFont="1" applyFill="1" applyBorder="1" applyAlignment="1" applyProtection="1">
      <alignment horizontal="center" vertical="center" wrapText="1"/>
      <protection/>
    </xf>
    <xf numFmtId="0" fontId="30" fillId="0" borderId="31" xfId="0" applyFont="1" applyFill="1" applyBorder="1" applyAlignment="1" applyProtection="1">
      <alignment horizontal="left" vertical="center" wrapText="1"/>
      <protection/>
    </xf>
    <xf numFmtId="0" fontId="35" fillId="0" borderId="31" xfId="0" applyFont="1" applyFill="1" applyBorder="1" applyAlignment="1" applyProtection="1">
      <alignment horizontal="left" vertical="center" wrapText="1"/>
      <protection locked="0"/>
    </xf>
    <xf numFmtId="0" fontId="35" fillId="0" borderId="32" xfId="0" applyFont="1" applyFill="1" applyBorder="1" applyAlignment="1" applyProtection="1">
      <alignment horizontal="left" vertical="center" wrapText="1"/>
      <protection locked="0"/>
    </xf>
    <xf numFmtId="0" fontId="35" fillId="0" borderId="136" xfId="0" applyFont="1" applyFill="1" applyBorder="1" applyAlignment="1" applyProtection="1">
      <alignment horizontal="left" vertical="center" wrapText="1"/>
      <protection locked="0"/>
    </xf>
    <xf numFmtId="0" fontId="28" fillId="0" borderId="35" xfId="0" applyFont="1" applyBorder="1" applyAlignment="1" applyProtection="1">
      <alignment horizontal="left" vertical="center" wrapText="1"/>
      <protection locked="0"/>
    </xf>
    <xf numFmtId="0" fontId="19" fillId="0" borderId="117" xfId="0" applyFont="1" applyBorder="1" applyAlignment="1" applyProtection="1">
      <alignment horizontal="left" wrapText="1"/>
      <protection/>
    </xf>
    <xf numFmtId="0" fontId="32" fillId="0" borderId="86" xfId="0" applyFont="1" applyBorder="1" applyAlignment="1" applyProtection="1">
      <alignment horizontal="left" vertical="center" wrapText="1" indent="5"/>
      <protection/>
    </xf>
    <xf numFmtId="0" fontId="43" fillId="56" borderId="48" xfId="0" applyFont="1" applyFill="1" applyBorder="1" applyAlignment="1" applyProtection="1">
      <alignment horizontal="left"/>
      <protection/>
    </xf>
    <xf numFmtId="0" fontId="20" fillId="0" borderId="89" xfId="0" applyFont="1" applyFill="1" applyBorder="1" applyAlignment="1" applyProtection="1">
      <alignment horizontal="left" vertical="center"/>
      <protection/>
    </xf>
    <xf numFmtId="0" fontId="28" fillId="0" borderId="83" xfId="0" applyFont="1" applyFill="1" applyBorder="1" applyAlignment="1" applyProtection="1">
      <alignment horizontal="left"/>
      <protection/>
    </xf>
    <xf numFmtId="0" fontId="28" fillId="55" borderId="100" xfId="0" applyFont="1" applyFill="1" applyBorder="1" applyAlignment="1" applyProtection="1">
      <alignment horizontal="left" vertical="center" wrapText="1"/>
      <protection/>
    </xf>
    <xf numFmtId="0" fontId="28" fillId="39" borderId="48" xfId="0" applyFont="1" applyFill="1" applyBorder="1" applyAlignment="1" applyProtection="1">
      <alignment horizontal="center" vertical="center"/>
      <protection/>
    </xf>
    <xf numFmtId="0" fontId="28" fillId="55" borderId="92" xfId="0" applyFont="1" applyFill="1" applyBorder="1" applyAlignment="1" applyProtection="1">
      <alignment horizontal="left" wrapText="1"/>
      <protection/>
    </xf>
    <xf numFmtId="0" fontId="28" fillId="0" borderId="27" xfId="0" applyFont="1" applyBorder="1" applyAlignment="1" applyProtection="1">
      <alignment horizontal="left"/>
      <protection locked="0"/>
    </xf>
    <xf numFmtId="0" fontId="28" fillId="0" borderId="93" xfId="0" applyFont="1" applyFill="1" applyBorder="1" applyAlignment="1" applyProtection="1">
      <alignment horizontal="center" vertical="center"/>
      <protection/>
    </xf>
    <xf numFmtId="0" fontId="28" fillId="55" borderId="85" xfId="0" applyFont="1" applyFill="1" applyBorder="1" applyAlignment="1" applyProtection="1">
      <alignment horizontal="center"/>
      <protection/>
    </xf>
    <xf numFmtId="0" fontId="28" fillId="0" borderId="38" xfId="0" applyFont="1" applyFill="1" applyBorder="1" applyAlignment="1" applyProtection="1">
      <alignment horizontal="left" vertical="center" wrapText="1"/>
      <protection/>
    </xf>
    <xf numFmtId="0" fontId="67" fillId="0" borderId="48" xfId="0" applyFont="1" applyBorder="1" applyAlignment="1" applyProtection="1">
      <alignment vertical="top" wrapText="1"/>
      <protection locked="0"/>
    </xf>
    <xf numFmtId="0" fontId="42" fillId="0" borderId="158" xfId="0" applyFont="1" applyFill="1" applyBorder="1" applyAlignment="1" applyProtection="1">
      <alignment horizontal="center"/>
      <protection/>
    </xf>
    <xf numFmtId="0" fontId="30" fillId="0" borderId="115" xfId="0" applyFont="1" applyFill="1" applyBorder="1" applyAlignment="1" applyProtection="1">
      <alignment horizontal="left" wrapText="1"/>
      <protection/>
    </xf>
    <xf numFmtId="0" fontId="30" fillId="0" borderId="0" xfId="0" applyFont="1" applyFill="1" applyBorder="1" applyAlignment="1" applyProtection="1">
      <alignment horizontal="left" wrapText="1"/>
      <protection/>
    </xf>
    <xf numFmtId="0" fontId="35" fillId="55" borderId="27" xfId="0" applyFont="1" applyFill="1" applyBorder="1" applyAlignment="1" applyProtection="1">
      <alignment horizontal="left" vertical="center" wrapText="1"/>
      <protection locked="0"/>
    </xf>
    <xf numFmtId="0" fontId="44" fillId="67" borderId="171" xfId="0" applyFont="1" applyFill="1" applyBorder="1" applyAlignment="1" applyProtection="1">
      <alignment horizontal="left"/>
      <protection/>
    </xf>
    <xf numFmtId="200" fontId="32" fillId="0" borderId="103" xfId="0" applyNumberFormat="1" applyFont="1" applyFill="1" applyBorder="1" applyAlignment="1" applyProtection="1">
      <alignment horizontal="left" vertical="center" wrapText="1" indent="2"/>
      <protection/>
    </xf>
    <xf numFmtId="0" fontId="20" fillId="0" borderId="153" xfId="0" applyFont="1" applyFill="1" applyBorder="1" applyAlignment="1" applyProtection="1">
      <alignment horizontal="left" vertical="center" wrapText="1"/>
      <protection locked="0"/>
    </xf>
    <xf numFmtId="0" fontId="20" fillId="0" borderId="99" xfId="0" applyFont="1" applyFill="1" applyBorder="1" applyAlignment="1" applyProtection="1">
      <alignment horizontal="left" vertical="center" wrapText="1"/>
      <protection locked="0"/>
    </xf>
    <xf numFmtId="0" fontId="20" fillId="0" borderId="175" xfId="0" applyFont="1" applyFill="1" applyBorder="1" applyAlignment="1" applyProtection="1">
      <alignment horizontal="left" vertical="center" wrapText="1"/>
      <protection locked="0"/>
    </xf>
    <xf numFmtId="0" fontId="20" fillId="0" borderId="171"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0" fillId="0" borderId="157" xfId="0" applyFont="1" applyFill="1" applyBorder="1" applyAlignment="1" applyProtection="1">
      <alignment horizontal="left" vertical="center" wrapText="1"/>
      <protection locked="0"/>
    </xf>
    <xf numFmtId="0" fontId="20" fillId="0" borderId="135" xfId="0" applyFont="1" applyFill="1" applyBorder="1" applyAlignment="1" applyProtection="1">
      <alignment horizontal="left" vertical="center" wrapText="1"/>
      <protection locked="0"/>
    </xf>
    <xf numFmtId="0" fontId="20" fillId="0" borderId="103" xfId="0" applyFont="1" applyFill="1" applyBorder="1" applyAlignment="1" applyProtection="1">
      <alignment horizontal="left" vertical="center" wrapText="1"/>
      <protection locked="0"/>
    </xf>
    <xf numFmtId="0" fontId="20" fillId="0" borderId="225" xfId="0" applyFont="1" applyFill="1" applyBorder="1" applyAlignment="1" applyProtection="1">
      <alignment horizontal="left" vertical="center" wrapText="1"/>
      <protection locked="0"/>
    </xf>
    <xf numFmtId="0" fontId="43" fillId="67" borderId="171" xfId="0" applyFont="1" applyFill="1" applyBorder="1" applyAlignment="1" applyProtection="1">
      <alignment horizontal="left" vertical="center"/>
      <protection/>
    </xf>
    <xf numFmtId="0" fontId="28" fillId="55" borderId="27" xfId="0" applyFont="1" applyFill="1" applyBorder="1" applyAlignment="1" applyProtection="1">
      <alignment horizontal="center" vertical="center" wrapText="1"/>
      <protection locked="0"/>
    </xf>
    <xf numFmtId="0" fontId="42" fillId="56" borderId="204" xfId="0" applyFont="1" applyFill="1" applyBorder="1" applyAlignment="1" applyProtection="1">
      <alignment horizontal="left"/>
      <protection/>
    </xf>
    <xf numFmtId="0" fontId="21" fillId="39" borderId="36" xfId="0" applyFont="1" applyFill="1" applyBorder="1" applyAlignment="1" applyProtection="1">
      <alignment horizontal="left" indent="1"/>
      <protection/>
    </xf>
    <xf numFmtId="0" fontId="42" fillId="56" borderId="204" xfId="0" applyFont="1" applyFill="1" applyBorder="1" applyAlignment="1" applyProtection="1">
      <alignment horizontal="left" vertical="center"/>
      <protection/>
    </xf>
    <xf numFmtId="0" fontId="20" fillId="39" borderId="36" xfId="0" applyFont="1" applyFill="1" applyBorder="1" applyAlignment="1" applyProtection="1">
      <alignment horizontal="left" vertical="center" indent="1"/>
      <protection/>
    </xf>
    <xf numFmtId="0" fontId="42" fillId="56" borderId="205" xfId="0" applyFont="1" applyFill="1" applyBorder="1" applyAlignment="1" applyProtection="1">
      <alignment horizontal="left"/>
      <protection/>
    </xf>
    <xf numFmtId="0" fontId="20" fillId="39" borderId="19" xfId="0" applyFont="1" applyFill="1" applyBorder="1" applyAlignment="1" applyProtection="1">
      <alignment horizontal="left" indent="1"/>
      <protection/>
    </xf>
    <xf numFmtId="0" fontId="20" fillId="39" borderId="36" xfId="0" applyFont="1" applyFill="1" applyBorder="1" applyAlignment="1" applyProtection="1">
      <alignment horizontal="left" indent="1"/>
      <protection/>
    </xf>
    <xf numFmtId="0" fontId="43" fillId="56" borderId="25" xfId="0" applyFont="1" applyFill="1" applyBorder="1" applyAlignment="1" applyProtection="1">
      <alignment horizontal="left"/>
      <protection/>
    </xf>
    <xf numFmtId="0" fontId="42" fillId="56" borderId="206" xfId="0" applyFont="1" applyFill="1" applyBorder="1" applyAlignment="1" applyProtection="1">
      <alignment horizontal="left"/>
      <protection/>
    </xf>
    <xf numFmtId="0" fontId="20" fillId="39" borderId="37" xfId="0" applyFont="1" applyFill="1" applyBorder="1" applyAlignment="1" applyProtection="1">
      <alignment horizontal="left" indent="1"/>
      <protection/>
    </xf>
    <xf numFmtId="0" fontId="20" fillId="39" borderId="37" xfId="0" applyFont="1" applyFill="1" applyBorder="1" applyAlignment="1" applyProtection="1">
      <alignment horizontal="left" vertical="center" indent="1"/>
      <protection/>
    </xf>
    <xf numFmtId="194" fontId="20" fillId="39" borderId="36" xfId="0" applyNumberFormat="1" applyFont="1" applyFill="1" applyBorder="1" applyAlignment="1" applyProtection="1">
      <alignment horizontal="left" indent="1"/>
      <protection/>
    </xf>
    <xf numFmtId="0" fontId="28" fillId="0" borderId="0" xfId="0" applyFont="1" applyFill="1" applyBorder="1" applyAlignment="1" applyProtection="1">
      <alignment horizontal="left" wrapText="1"/>
      <protection/>
    </xf>
    <xf numFmtId="0" fontId="30" fillId="0" borderId="103" xfId="0" applyFont="1" applyFill="1" applyBorder="1" applyAlignment="1" applyProtection="1">
      <alignment horizontal="left"/>
      <protection locked="0"/>
    </xf>
    <xf numFmtId="0" fontId="46" fillId="0" borderId="0" xfId="0" applyFont="1" applyBorder="1" applyAlignment="1" applyProtection="1">
      <alignment wrapText="1"/>
      <protection/>
    </xf>
    <xf numFmtId="0" fontId="0" fillId="55" borderId="0" xfId="0" applyFill="1" applyAlignment="1" applyProtection="1">
      <alignment/>
      <protection/>
    </xf>
    <xf numFmtId="187" fontId="0" fillId="55" borderId="0" xfId="317" applyNumberFormat="1" applyFont="1" applyFill="1" applyBorder="1" applyAlignment="1" applyProtection="1">
      <alignment/>
      <protection/>
    </xf>
    <xf numFmtId="0" fontId="28" fillId="0" borderId="0" xfId="0" applyFont="1" applyBorder="1" applyAlignment="1" applyProtection="1">
      <alignment horizontal="left" wrapText="1"/>
      <protection/>
    </xf>
    <xf numFmtId="0" fontId="28" fillId="0" borderId="103" xfId="0" applyFont="1" applyBorder="1" applyAlignment="1" applyProtection="1">
      <alignment horizontal="left" indent="1"/>
      <protection locked="0"/>
    </xf>
    <xf numFmtId="0" fontId="35" fillId="0" borderId="103" xfId="0" applyFont="1" applyBorder="1" applyAlignment="1" applyProtection="1">
      <alignment horizontal="left" indent="1"/>
      <protection locked="0"/>
    </xf>
    <xf numFmtId="0" fontId="19" fillId="55" borderId="0" xfId="374" applyFont="1" applyFill="1" applyBorder="1" applyAlignment="1" applyProtection="1">
      <alignment horizontal="left" wrapText="1"/>
      <protection/>
    </xf>
    <xf numFmtId="0" fontId="46" fillId="55" borderId="0" xfId="374" applyFont="1" applyFill="1" applyBorder="1" applyAlignment="1" applyProtection="1">
      <alignment horizontal="left" wrapText="1"/>
      <protection/>
    </xf>
    <xf numFmtId="0" fontId="28" fillId="62" borderId="25" xfId="374" applyFont="1" applyFill="1" applyBorder="1" applyAlignment="1" applyProtection="1">
      <alignment horizontal="center" wrapText="1"/>
      <protection/>
    </xf>
    <xf numFmtId="0" fontId="28" fillId="39" borderId="48" xfId="0" applyFont="1" applyFill="1" applyBorder="1" applyAlignment="1" applyProtection="1">
      <alignment horizontal="left" vertical="center"/>
      <protection/>
    </xf>
    <xf numFmtId="0" fontId="19" fillId="55" borderId="0" xfId="0" applyFont="1" applyFill="1" applyBorder="1" applyAlignment="1" applyProtection="1">
      <alignment horizontal="left" wrapText="1"/>
      <protection/>
    </xf>
    <xf numFmtId="0" fontId="28" fillId="39" borderId="27" xfId="0" applyFont="1" applyFill="1" applyBorder="1" applyAlignment="1" applyProtection="1">
      <alignment horizontal="center" vertical="center"/>
      <protection/>
    </xf>
    <xf numFmtId="0" fontId="42" fillId="56" borderId="27" xfId="0" applyFont="1" applyFill="1" applyBorder="1" applyAlignment="1" applyProtection="1">
      <alignment horizontal="left" vertical="center"/>
      <protection/>
    </xf>
    <xf numFmtId="194" fontId="28" fillId="39" borderId="27" xfId="0" applyNumberFormat="1" applyFont="1" applyFill="1" applyBorder="1" applyAlignment="1" applyProtection="1">
      <alignment horizontal="center" vertical="center"/>
      <protection/>
    </xf>
    <xf numFmtId="0" fontId="42" fillId="56" borderId="35" xfId="0" applyFont="1" applyFill="1" applyBorder="1" applyAlignment="1" applyProtection="1">
      <alignment horizontal="left" vertical="center"/>
      <protection/>
    </xf>
    <xf numFmtId="0" fontId="73" fillId="54" borderId="148" xfId="0" applyFont="1" applyFill="1" applyBorder="1" applyAlignment="1" applyProtection="1">
      <alignment horizontal="center" wrapText="1"/>
      <protection/>
    </xf>
    <xf numFmtId="0" fontId="73" fillId="54" borderId="149" xfId="0" applyFont="1" applyFill="1" applyBorder="1" applyAlignment="1" applyProtection="1">
      <alignment horizontal="center" wrapText="1"/>
      <protection/>
    </xf>
    <xf numFmtId="0" fontId="28" fillId="39" borderId="155" xfId="0" applyFont="1" applyFill="1" applyBorder="1" applyAlignment="1" applyProtection="1">
      <alignment horizontal="left" vertical="center" indent="1"/>
      <protection/>
    </xf>
    <xf numFmtId="0" fontId="42" fillId="56" borderId="154" xfId="0" applyFont="1" applyFill="1" applyBorder="1" applyAlignment="1" applyProtection="1">
      <alignment horizontal="left" vertical="center"/>
      <protection/>
    </xf>
    <xf numFmtId="0" fontId="28" fillId="0" borderId="130" xfId="0" applyFont="1" applyBorder="1" applyAlignment="1" applyProtection="1">
      <alignment horizontal="left" vertical="center" wrapText="1" indent="1"/>
      <protection locked="0"/>
    </xf>
    <xf numFmtId="0" fontId="28" fillId="39" borderId="19" xfId="0" applyFont="1" applyFill="1" applyBorder="1" applyAlignment="1" applyProtection="1">
      <alignment horizontal="left" vertical="center" indent="1"/>
      <protection/>
    </xf>
    <xf numFmtId="0" fontId="34" fillId="39" borderId="32" xfId="0" applyFont="1" applyFill="1" applyBorder="1" applyAlignment="1" applyProtection="1">
      <alignment horizontal="center" vertical="center"/>
      <protection/>
    </xf>
    <xf numFmtId="0" fontId="28" fillId="39" borderId="36" xfId="0" applyFont="1" applyFill="1" applyBorder="1" applyAlignment="1" applyProtection="1">
      <alignment horizontal="left" vertical="center" indent="1"/>
      <protection/>
    </xf>
    <xf numFmtId="194" fontId="28" fillId="39" borderId="36" xfId="0" applyNumberFormat="1" applyFont="1" applyFill="1" applyBorder="1" applyAlignment="1" applyProtection="1">
      <alignment horizontal="left" vertical="center" indent="1"/>
      <protection/>
    </xf>
    <xf numFmtId="0" fontId="30" fillId="39" borderId="36" xfId="0" applyFont="1" applyFill="1" applyBorder="1" applyAlignment="1" applyProtection="1">
      <alignment horizontal="left" vertical="center" indent="1"/>
      <protection/>
    </xf>
    <xf numFmtId="0" fontId="0" fillId="55" borderId="0" xfId="0" applyFont="1" applyFill="1" applyBorder="1" applyAlignment="1" applyProtection="1">
      <alignment horizontal="left" vertical="center" wrapText="1"/>
      <protection/>
    </xf>
    <xf numFmtId="0" fontId="30" fillId="4" borderId="27" xfId="0" applyFont="1" applyFill="1" applyBorder="1" applyAlignment="1" applyProtection="1">
      <alignment horizontal="center" vertical="center" wrapText="1"/>
      <protection/>
    </xf>
    <xf numFmtId="0" fontId="30" fillId="4" borderId="128" xfId="0" applyFont="1" applyFill="1" applyBorder="1" applyAlignment="1" applyProtection="1">
      <alignment horizontal="center" vertical="center" wrapText="1"/>
      <protection/>
    </xf>
    <xf numFmtId="0" fontId="30" fillId="4" borderId="35" xfId="0" applyFont="1" applyFill="1" applyBorder="1" applyAlignment="1" applyProtection="1">
      <alignment horizontal="center" vertical="center" wrapText="1"/>
      <protection/>
    </xf>
    <xf numFmtId="191" fontId="28" fillId="39" borderId="36" xfId="0" applyNumberFormat="1" applyFont="1" applyFill="1" applyBorder="1" applyAlignment="1" applyProtection="1">
      <alignment horizontal="left" vertical="center" wrapText="1"/>
      <protection/>
    </xf>
    <xf numFmtId="0" fontId="30" fillId="62" borderId="27" xfId="0" applyFont="1" applyFill="1" applyBorder="1" applyAlignment="1" applyProtection="1">
      <alignment horizontal="center" vertical="center" wrapText="1"/>
      <protection/>
    </xf>
    <xf numFmtId="0" fontId="30" fillId="4" borderId="132" xfId="0" applyFont="1" applyFill="1" applyBorder="1" applyAlignment="1" applyProtection="1">
      <alignment horizontal="center" vertical="center" wrapText="1"/>
      <protection/>
    </xf>
    <xf numFmtId="0" fontId="30" fillId="62" borderId="36" xfId="0" applyFont="1" applyFill="1" applyBorder="1" applyAlignment="1" applyProtection="1">
      <alignment horizontal="center" vertical="center" wrapText="1"/>
      <protection/>
    </xf>
    <xf numFmtId="0" fontId="28" fillId="39" borderId="27" xfId="0" applyNumberFormat="1" applyFont="1" applyFill="1" applyBorder="1" applyAlignment="1" applyProtection="1">
      <alignment horizontal="left" vertical="center" wrapText="1" indent="1"/>
      <protection/>
    </xf>
    <xf numFmtId="191" fontId="28" fillId="42" borderId="27" xfId="0" applyNumberFormat="1" applyFont="1" applyFill="1" applyBorder="1" applyAlignment="1" applyProtection="1">
      <alignment horizontal="left" vertical="center" wrapText="1"/>
      <protection/>
    </xf>
    <xf numFmtId="0" fontId="30" fillId="4" borderId="36" xfId="0" applyFont="1" applyFill="1" applyBorder="1" applyAlignment="1" applyProtection="1">
      <alignment horizontal="center" vertical="center" wrapText="1"/>
      <protection/>
    </xf>
    <xf numFmtId="0" fontId="28" fillId="39" borderId="33" xfId="0" applyNumberFormat="1" applyFont="1" applyFill="1" applyBorder="1" applyAlignment="1" applyProtection="1">
      <alignment horizontal="left" vertical="center" wrapText="1" indent="1"/>
      <protection/>
    </xf>
    <xf numFmtId="191" fontId="28" fillId="42" borderId="33" xfId="0" applyNumberFormat="1" applyFont="1" applyFill="1" applyBorder="1" applyAlignment="1" applyProtection="1">
      <alignment horizontal="left" vertical="center" wrapText="1"/>
      <protection/>
    </xf>
    <xf numFmtId="0" fontId="28" fillId="0" borderId="37" xfId="0" applyFont="1" applyFill="1" applyBorder="1" applyAlignment="1" applyProtection="1">
      <alignment horizontal="left" vertical="center" wrapText="1" indent="1"/>
      <protection locked="0"/>
    </xf>
    <xf numFmtId="0" fontId="42" fillId="56" borderId="25" xfId="0" applyFont="1" applyFill="1" applyBorder="1" applyAlignment="1" applyProtection="1">
      <alignment horizontal="left" vertical="center"/>
      <protection/>
    </xf>
    <xf numFmtId="0" fontId="42" fillId="56" borderId="25" xfId="0" applyFont="1" applyFill="1" applyBorder="1" applyAlignment="1" applyProtection="1">
      <alignment vertical="center"/>
      <protection/>
    </xf>
    <xf numFmtId="0" fontId="30" fillId="4" borderId="140" xfId="0" applyFont="1" applyFill="1" applyBorder="1" applyAlignment="1" applyProtection="1">
      <alignment horizontal="center" vertical="center" wrapText="1"/>
      <protection/>
    </xf>
    <xf numFmtId="0" fontId="42" fillId="56" borderId="48" xfId="0" applyFont="1" applyFill="1" applyBorder="1" applyAlignment="1" applyProtection="1">
      <alignment vertical="center"/>
      <protection/>
    </xf>
    <xf numFmtId="0" fontId="44" fillId="55" borderId="0" xfId="0" applyFont="1" applyFill="1" applyBorder="1" applyAlignment="1" applyProtection="1">
      <alignment horizontal="center" vertical="center"/>
      <protection/>
    </xf>
    <xf numFmtId="0" fontId="46" fillId="55" borderId="0" xfId="0" applyFont="1" applyFill="1" applyBorder="1" applyAlignment="1" applyProtection="1">
      <alignment horizontal="left" vertical="center" wrapText="1"/>
      <protection/>
    </xf>
    <xf numFmtId="0" fontId="33" fillId="39" borderId="147" xfId="0" applyFont="1" applyFill="1" applyBorder="1" applyAlignment="1" applyProtection="1">
      <alignment horizontal="left" vertical="center"/>
      <protection/>
    </xf>
    <xf numFmtId="0" fontId="30" fillId="4" borderId="154" xfId="0" applyFont="1" applyFill="1" applyBorder="1" applyAlignment="1" applyProtection="1">
      <alignment horizontal="center" vertical="center" wrapText="1"/>
      <protection/>
    </xf>
    <xf numFmtId="0" fontId="47" fillId="4" borderId="140" xfId="0" applyFont="1" applyFill="1" applyBorder="1" applyAlignment="1" applyProtection="1">
      <alignment horizontal="center" vertical="center" wrapText="1"/>
      <protection/>
    </xf>
    <xf numFmtId="0" fontId="28" fillId="39" borderId="24" xfId="0" applyFont="1" applyFill="1" applyBorder="1" applyAlignment="1" applyProtection="1">
      <alignment horizontal="left" vertical="center" wrapText="1"/>
      <protection/>
    </xf>
    <xf numFmtId="191" fontId="28" fillId="55" borderId="24" xfId="0" applyNumberFormat="1" applyFont="1" applyFill="1" applyBorder="1" applyAlignment="1" applyProtection="1">
      <alignment horizontal="center" vertical="center" wrapText="1"/>
      <protection locked="0"/>
    </xf>
    <xf numFmtId="191" fontId="28" fillId="0" borderId="134" xfId="0" applyNumberFormat="1" applyFont="1" applyFill="1" applyBorder="1" applyAlignment="1" applyProtection="1">
      <alignment horizontal="left" vertical="center" wrapText="1"/>
      <protection locked="0"/>
    </xf>
    <xf numFmtId="0" fontId="30" fillId="62" borderId="140" xfId="0" applyFont="1" applyFill="1" applyBorder="1" applyAlignment="1" applyProtection="1">
      <alignment horizontal="center" vertical="center" wrapText="1"/>
      <protection/>
    </xf>
    <xf numFmtId="0" fontId="30" fillId="4" borderId="130" xfId="0" applyFont="1" applyFill="1" applyBorder="1" applyAlignment="1" applyProtection="1">
      <alignment horizontal="center" vertical="center" wrapText="1"/>
      <protection/>
    </xf>
    <xf numFmtId="0" fontId="28" fillId="39" borderId="27" xfId="0" applyFont="1" applyFill="1" applyBorder="1" applyAlignment="1" applyProtection="1">
      <alignment horizontal="left" vertical="center" wrapText="1"/>
      <protection/>
    </xf>
    <xf numFmtId="191" fontId="28" fillId="55" borderId="27" xfId="0" applyNumberFormat="1" applyFont="1" applyFill="1" applyBorder="1" applyAlignment="1" applyProtection="1">
      <alignment horizontal="center" vertical="center" wrapText="1"/>
      <protection locked="0"/>
    </xf>
    <xf numFmtId="191" fontId="28" fillId="0" borderId="142" xfId="0" applyNumberFormat="1" applyFont="1" applyFill="1" applyBorder="1" applyAlignment="1" applyProtection="1">
      <alignment horizontal="left" vertical="center" wrapText="1"/>
      <protection locked="0"/>
    </xf>
    <xf numFmtId="191" fontId="28" fillId="0" borderId="36" xfId="0" applyNumberFormat="1" applyFont="1" applyFill="1" applyBorder="1" applyAlignment="1" applyProtection="1">
      <alignment horizontal="left" vertical="center" wrapText="1"/>
      <protection locked="0"/>
    </xf>
    <xf numFmtId="0" fontId="28" fillId="39" borderId="149" xfId="0" applyFont="1" applyFill="1" applyBorder="1" applyAlignment="1" applyProtection="1">
      <alignment horizontal="center" vertical="center" wrapText="1"/>
      <protection/>
    </xf>
    <xf numFmtId="0" fontId="28" fillId="0" borderId="48" xfId="0" applyFont="1" applyFill="1" applyBorder="1" applyAlignment="1" applyProtection="1">
      <alignment horizontal="left" vertical="center"/>
      <protection locked="0"/>
    </xf>
    <xf numFmtId="0" fontId="30" fillId="55" borderId="30" xfId="0" applyFont="1" applyFill="1" applyBorder="1" applyAlignment="1" applyProtection="1">
      <alignment vertical="center" wrapText="1"/>
      <protection/>
    </xf>
    <xf numFmtId="0" fontId="39" fillId="39" borderId="0" xfId="0" applyFont="1" applyFill="1" applyBorder="1" applyAlignment="1" applyProtection="1">
      <alignment horizontal="left" vertical="center" wrapText="1"/>
      <protection/>
    </xf>
    <xf numFmtId="0" fontId="39" fillId="39" borderId="115" xfId="0" applyFont="1" applyFill="1" applyBorder="1" applyAlignment="1" applyProtection="1">
      <alignment horizontal="left" vertical="center" wrapText="1"/>
      <protection/>
    </xf>
    <xf numFmtId="0" fontId="39" fillId="39" borderId="30" xfId="0" applyFont="1" applyFill="1" applyBorder="1" applyAlignment="1" applyProtection="1">
      <alignment horizontal="left" wrapText="1"/>
      <protection/>
    </xf>
    <xf numFmtId="0" fontId="21" fillId="0" borderId="48" xfId="0" applyFont="1" applyFill="1" applyBorder="1" applyAlignment="1" applyProtection="1">
      <alignment horizontal="center" vertical="center" wrapText="1"/>
      <protection/>
    </xf>
    <xf numFmtId="0" fontId="30" fillId="4" borderId="147" xfId="0" applyFont="1" applyFill="1" applyBorder="1" applyAlignment="1" applyProtection="1">
      <alignment horizontal="center" vertical="center" wrapText="1"/>
      <protection/>
    </xf>
    <xf numFmtId="0" fontId="47" fillId="4" borderId="170" xfId="0" applyFont="1" applyFill="1" applyBorder="1" applyAlignment="1" applyProtection="1">
      <alignment horizontal="center" vertical="center" wrapText="1"/>
      <protection/>
    </xf>
    <xf numFmtId="0" fontId="28" fillId="39" borderId="148" xfId="0" applyNumberFormat="1" applyFont="1" applyFill="1" applyBorder="1" applyAlignment="1" applyProtection="1">
      <alignment horizontal="left" vertical="center" wrapText="1" indent="1"/>
      <protection/>
    </xf>
    <xf numFmtId="0" fontId="28" fillId="0" borderId="136" xfId="0" applyFont="1" applyBorder="1" applyAlignment="1" applyProtection="1">
      <alignment horizontal="left" vertical="center" wrapText="1"/>
      <protection locked="0"/>
    </xf>
    <xf numFmtId="0" fontId="28" fillId="39" borderId="149" xfId="0" applyNumberFormat="1" applyFont="1" applyFill="1" applyBorder="1" applyAlignment="1" applyProtection="1">
      <alignment horizontal="left" vertical="center" wrapText="1" indent="1"/>
      <protection/>
    </xf>
    <xf numFmtId="0" fontId="28" fillId="0" borderId="39" xfId="0" applyFont="1" applyBorder="1" applyAlignment="1" applyProtection="1">
      <alignment horizontal="left" vertical="center" wrapText="1"/>
      <protection locked="0"/>
    </xf>
    <xf numFmtId="0" fontId="28" fillId="39" borderId="149" xfId="0" applyNumberFormat="1" applyFont="1" applyFill="1" applyBorder="1" applyAlignment="1" applyProtection="1">
      <alignment horizontal="center" vertical="center" wrapText="1"/>
      <protection/>
    </xf>
    <xf numFmtId="0" fontId="39" fillId="55" borderId="28" xfId="0" applyFont="1" applyFill="1" applyBorder="1" applyAlignment="1" applyProtection="1">
      <alignment horizontal="left"/>
      <protection/>
    </xf>
    <xf numFmtId="0" fontId="30" fillId="4" borderId="31" xfId="0" applyFont="1" applyFill="1" applyBorder="1" applyAlignment="1" applyProtection="1">
      <alignment horizontal="center" vertical="center" wrapText="1"/>
      <protection/>
    </xf>
    <xf numFmtId="0" fontId="30" fillId="4" borderId="147" xfId="0" applyFont="1" applyFill="1" applyBorder="1" applyAlignment="1" applyProtection="1">
      <alignment horizontal="center" vertical="center"/>
      <protection/>
    </xf>
    <xf numFmtId="0" fontId="28" fillId="39" borderId="226" xfId="0" applyFont="1" applyFill="1" applyBorder="1" applyAlignment="1" applyProtection="1">
      <alignment horizontal="left" vertical="center" wrapText="1" indent="1"/>
      <protection/>
    </xf>
    <xf numFmtId="0" fontId="28" fillId="55" borderId="149" xfId="0" applyFont="1" applyFill="1" applyBorder="1" applyAlignment="1" applyProtection="1">
      <alignment horizontal="left" vertical="center" wrapText="1"/>
      <protection locked="0"/>
    </xf>
    <xf numFmtId="0" fontId="28" fillId="55" borderId="36" xfId="0" applyFont="1" applyFill="1" applyBorder="1" applyAlignment="1" applyProtection="1">
      <alignment horizontal="center" vertical="center" wrapText="1"/>
      <protection locked="0"/>
    </xf>
    <xf numFmtId="0" fontId="38" fillId="55" borderId="0" xfId="0" applyFont="1" applyFill="1" applyBorder="1" applyAlignment="1" applyProtection="1">
      <alignment horizontal="left" vertical="center"/>
      <protection/>
    </xf>
    <xf numFmtId="0" fontId="27" fillId="0" borderId="227" xfId="0" applyFont="1" applyFill="1" applyBorder="1" applyAlignment="1" applyProtection="1">
      <alignment horizontal="left" vertical="center"/>
      <protection/>
    </xf>
    <xf numFmtId="0" fontId="28" fillId="55" borderId="224" xfId="0" applyFont="1" applyFill="1" applyBorder="1" applyAlignment="1" applyProtection="1">
      <alignment horizontal="left" vertical="center" wrapText="1"/>
      <protection/>
    </xf>
    <xf numFmtId="0" fontId="28" fillId="55" borderId="33" xfId="0" applyFont="1" applyFill="1" applyBorder="1" applyAlignment="1" applyProtection="1">
      <alignment horizontal="center" vertical="center" wrapText="1"/>
      <protection locked="0"/>
    </xf>
    <xf numFmtId="0" fontId="28" fillId="55" borderId="37" xfId="0" applyFont="1" applyFill="1" applyBorder="1" applyAlignment="1" applyProtection="1">
      <alignment horizontal="center" vertical="center"/>
      <protection locked="0"/>
    </xf>
    <xf numFmtId="0" fontId="47" fillId="55" borderId="48" xfId="0" applyFont="1" applyFill="1" applyBorder="1" applyAlignment="1" applyProtection="1">
      <alignment horizontal="center" vertical="center"/>
      <protection/>
    </xf>
    <xf numFmtId="0" fontId="47" fillId="55" borderId="48" xfId="0" applyFont="1" applyFill="1" applyBorder="1" applyAlignment="1" applyProtection="1">
      <alignment horizontal="center" vertical="center" wrapText="1"/>
      <protection/>
    </xf>
    <xf numFmtId="0" fontId="47" fillId="4" borderId="155" xfId="0" applyFont="1" applyFill="1" applyBorder="1" applyAlignment="1" applyProtection="1">
      <alignment horizontal="center" vertical="center"/>
      <protection/>
    </xf>
    <xf numFmtId="0" fontId="28" fillId="55" borderId="226" xfId="0" applyFont="1" applyFill="1" applyBorder="1" applyAlignment="1" applyProtection="1">
      <alignment horizontal="left" vertical="center" wrapText="1"/>
      <protection/>
    </xf>
    <xf numFmtId="0" fontId="42" fillId="56" borderId="20" xfId="0" applyFont="1" applyFill="1" applyBorder="1" applyAlignment="1" applyProtection="1">
      <alignment horizontal="left" vertical="center"/>
      <protection/>
    </xf>
    <xf numFmtId="0" fontId="30" fillId="42" borderId="147" xfId="0" applyFont="1" applyFill="1" applyBorder="1" applyAlignment="1" applyProtection="1">
      <alignment horizontal="left" vertical="center"/>
      <protection/>
    </xf>
    <xf numFmtId="0" fontId="28" fillId="39" borderId="27" xfId="0" applyFont="1" applyFill="1" applyBorder="1" applyAlignment="1" applyProtection="1">
      <alignment horizontal="left" vertical="center" indent="1"/>
      <protection/>
    </xf>
    <xf numFmtId="194" fontId="28" fillId="39" borderId="27" xfId="0" applyNumberFormat="1" applyFont="1" applyFill="1" applyBorder="1" applyAlignment="1" applyProtection="1">
      <alignment horizontal="left" vertical="center" indent="1"/>
      <protection/>
    </xf>
    <xf numFmtId="0" fontId="28" fillId="39" borderId="81" xfId="0" applyFont="1" applyFill="1" applyBorder="1" applyAlignment="1" applyProtection="1">
      <alignment horizontal="left" vertical="center"/>
      <protection/>
    </xf>
    <xf numFmtId="0" fontId="30" fillId="4" borderId="205" xfId="0" applyFont="1" applyFill="1" applyBorder="1" applyAlignment="1" applyProtection="1">
      <alignment horizontal="center" vertical="center" wrapText="1"/>
      <protection/>
    </xf>
    <xf numFmtId="0" fontId="30" fillId="4" borderId="141" xfId="0" applyFont="1" applyFill="1" applyBorder="1" applyAlignment="1" applyProtection="1">
      <alignment horizontal="center" vertical="center" wrapText="1"/>
      <protection/>
    </xf>
    <xf numFmtId="0" fontId="30" fillId="55" borderId="127" xfId="0" applyFont="1" applyFill="1" applyBorder="1" applyAlignment="1" applyProtection="1">
      <alignment horizontal="left" vertical="center"/>
      <protection/>
    </xf>
    <xf numFmtId="191" fontId="28" fillId="57" borderId="24" xfId="0" applyNumberFormat="1" applyFont="1" applyFill="1" applyBorder="1" applyAlignment="1" applyProtection="1">
      <alignment horizontal="center" vertical="center"/>
      <protection/>
    </xf>
    <xf numFmtId="0" fontId="28" fillId="0" borderId="34" xfId="0" applyFont="1" applyFill="1" applyBorder="1" applyAlignment="1" applyProtection="1">
      <alignment horizontal="center" vertical="center"/>
      <protection/>
    </xf>
    <xf numFmtId="0" fontId="28" fillId="0" borderId="129" xfId="0" applyFont="1" applyFill="1" applyBorder="1" applyAlignment="1" applyProtection="1">
      <alignment horizontal="center" vertical="center"/>
      <protection/>
    </xf>
    <xf numFmtId="191" fontId="28" fillId="55" borderId="33" xfId="0" applyNumberFormat="1" applyFont="1" applyFill="1" applyBorder="1" applyAlignment="1" applyProtection="1">
      <alignment horizontal="center" vertical="center" wrapText="1"/>
      <protection locked="0"/>
    </xf>
    <xf numFmtId="0" fontId="30" fillId="4" borderId="205" xfId="0" applyFont="1" applyFill="1" applyBorder="1" applyAlignment="1" applyProtection="1">
      <alignment horizontal="left" vertical="center" wrapText="1"/>
      <protection/>
    </xf>
    <xf numFmtId="0" fontId="28" fillId="0" borderId="226" xfId="0" applyFont="1" applyFill="1" applyBorder="1" applyAlignment="1" applyProtection="1">
      <alignment horizontal="left" vertical="center" wrapText="1"/>
      <protection/>
    </xf>
    <xf numFmtId="0" fontId="30" fillId="55" borderId="31" xfId="0" applyFont="1" applyFill="1" applyBorder="1" applyAlignment="1" applyProtection="1">
      <alignment horizontal="left" vertical="center" wrapText="1"/>
      <protection/>
    </xf>
    <xf numFmtId="191" fontId="28" fillId="57" borderId="24" xfId="0" applyNumberFormat="1" applyFont="1" applyFill="1" applyBorder="1" applyAlignment="1" applyProtection="1">
      <alignment horizontal="center" vertical="center" wrapText="1"/>
      <protection/>
    </xf>
    <xf numFmtId="0" fontId="30" fillId="55" borderId="127" xfId="0" applyFont="1" applyFill="1" applyBorder="1" applyAlignment="1" applyProtection="1">
      <alignment horizontal="left" vertical="center" wrapText="1"/>
      <protection/>
    </xf>
    <xf numFmtId="0" fontId="30" fillId="4" borderId="48" xfId="0" applyFont="1" applyFill="1" applyBorder="1" applyAlignment="1" applyProtection="1">
      <alignment horizontal="left" wrapText="1"/>
      <protection/>
    </xf>
    <xf numFmtId="0" fontId="28" fillId="55" borderId="48" xfId="0" applyFont="1" applyFill="1" applyBorder="1" applyAlignment="1" applyProtection="1">
      <alignment horizontal="left" vertical="top" wrapText="1"/>
      <protection locked="0"/>
    </xf>
    <xf numFmtId="0" fontId="28" fillId="55" borderId="129" xfId="0" applyFont="1" applyFill="1" applyBorder="1" applyAlignment="1" applyProtection="1">
      <alignment horizontal="left" vertical="center" wrapText="1"/>
      <protection/>
    </xf>
    <xf numFmtId="0" fontId="28" fillId="39" borderId="36" xfId="0" applyNumberFormat="1" applyFont="1" applyFill="1" applyBorder="1" applyAlignment="1" applyProtection="1">
      <alignment horizontal="left" vertical="center" indent="1"/>
      <protection/>
    </xf>
    <xf numFmtId="0" fontId="28" fillId="39" borderId="130" xfId="0" applyNumberFormat="1" applyFont="1" applyFill="1" applyBorder="1" applyAlignment="1" applyProtection="1">
      <alignment horizontal="left" vertical="center" wrapText="1" indent="1"/>
      <protection/>
    </xf>
    <xf numFmtId="0" fontId="28" fillId="39" borderId="19" xfId="0" applyNumberFormat="1" applyFont="1" applyFill="1" applyBorder="1" applyAlignment="1" applyProtection="1">
      <alignment horizontal="left" vertical="center" indent="1"/>
      <protection/>
    </xf>
    <xf numFmtId="0" fontId="30" fillId="39" borderId="36" xfId="0" applyNumberFormat="1" applyFont="1" applyFill="1" applyBorder="1" applyAlignment="1" applyProtection="1">
      <alignment horizontal="left" vertical="center" indent="1"/>
      <protection/>
    </xf>
    <xf numFmtId="0" fontId="42" fillId="56" borderId="128" xfId="0" applyFont="1" applyFill="1" applyBorder="1" applyAlignment="1" applyProtection="1">
      <alignment horizontal="left" vertical="center"/>
      <protection/>
    </xf>
    <xf numFmtId="0" fontId="42" fillId="56" borderId="129" xfId="0" applyFont="1" applyFill="1" applyBorder="1" applyAlignment="1" applyProtection="1">
      <alignment horizontal="left" vertical="center"/>
      <protection/>
    </xf>
    <xf numFmtId="0" fontId="30" fillId="55" borderId="103" xfId="0" applyFont="1" applyFill="1" applyBorder="1" applyAlignment="1" applyProtection="1">
      <alignment horizontal="center" vertical="center"/>
      <protection locked="0"/>
    </xf>
    <xf numFmtId="0" fontId="28" fillId="55" borderId="0" xfId="0" applyFont="1" applyFill="1" applyBorder="1" applyAlignment="1" applyProtection="1">
      <alignment vertical="center"/>
      <protection/>
    </xf>
    <xf numFmtId="187" fontId="28" fillId="55" borderId="103" xfId="219" applyNumberFormat="1" applyFont="1" applyFill="1" applyBorder="1" applyAlignment="1" applyProtection="1">
      <alignment horizontal="left" vertical="top" wrapText="1"/>
      <protection locked="0"/>
    </xf>
    <xf numFmtId="0" fontId="30" fillId="55" borderId="38" xfId="0" applyFont="1" applyFill="1" applyBorder="1" applyAlignment="1" applyProtection="1">
      <alignment horizontal="center" vertical="center"/>
      <protection locked="0"/>
    </xf>
    <xf numFmtId="0" fontId="28" fillId="55" borderId="38" xfId="0" applyFont="1" applyFill="1" applyBorder="1" applyAlignment="1" applyProtection="1">
      <alignment horizontal="left" vertical="top" wrapText="1" indent="1"/>
      <protection locked="0"/>
    </xf>
    <xf numFmtId="0" fontId="28" fillId="55" borderId="0" xfId="0" applyFont="1" applyFill="1" applyBorder="1" applyAlignment="1" applyProtection="1">
      <alignment vertical="center" wrapText="1"/>
      <protection/>
    </xf>
    <xf numFmtId="0" fontId="43" fillId="56" borderId="25" xfId="0" applyFont="1" applyFill="1" applyBorder="1" applyAlignment="1" applyProtection="1">
      <alignment horizontal="left"/>
      <protection locked="0"/>
    </xf>
    <xf numFmtId="0" fontId="28" fillId="55" borderId="38" xfId="0" applyFont="1" applyFill="1" applyBorder="1" applyAlignment="1" applyProtection="1">
      <alignment horizontal="left"/>
      <protection locked="0"/>
    </xf>
    <xf numFmtId="0" fontId="28" fillId="55" borderId="103" xfId="0" applyFont="1" applyFill="1" applyBorder="1" applyAlignment="1" applyProtection="1">
      <alignment horizontal="left"/>
      <protection locked="0"/>
    </xf>
    <xf numFmtId="0" fontId="0" fillId="55" borderId="27" xfId="0" applyFill="1" applyBorder="1" applyAlignment="1" applyProtection="1">
      <alignment horizontal="left" vertical="top" wrapText="1" indent="1"/>
      <protection locked="0"/>
    </xf>
    <xf numFmtId="0" fontId="28" fillId="55" borderId="27" xfId="0" applyFont="1" applyFill="1" applyBorder="1" applyAlignment="1" applyProtection="1">
      <alignment horizontal="left" vertical="top" wrapText="1" indent="1"/>
      <protection locked="0"/>
    </xf>
    <xf numFmtId="0" fontId="30" fillId="55" borderId="0" xfId="0" applyFont="1" applyFill="1" applyBorder="1" applyAlignment="1" applyProtection="1">
      <alignment horizontal="left" vertical="center"/>
      <protection/>
    </xf>
    <xf numFmtId="0" fontId="32" fillId="55" borderId="115" xfId="0" applyFont="1" applyFill="1" applyBorder="1" applyAlignment="1" applyProtection="1">
      <alignment horizontal="left" vertical="center" wrapText="1"/>
      <protection/>
    </xf>
    <xf numFmtId="0" fontId="30" fillId="4" borderId="41" xfId="0" applyFont="1" applyFill="1" applyBorder="1" applyAlignment="1" applyProtection="1">
      <alignment horizontal="left" vertical="center"/>
      <protection/>
    </xf>
    <xf numFmtId="0" fontId="30" fillId="4" borderId="48" xfId="0" applyFont="1" applyFill="1" applyBorder="1" applyAlignment="1" applyProtection="1">
      <alignment horizontal="center" vertical="center" wrapText="1"/>
      <protection/>
    </xf>
    <xf numFmtId="0" fontId="30" fillId="55" borderId="41" xfId="0" applyFont="1" applyFill="1" applyBorder="1" applyAlignment="1" applyProtection="1">
      <alignment horizontal="left" vertical="center" wrapText="1"/>
      <protection/>
    </xf>
    <xf numFmtId="0" fontId="28" fillId="55" borderId="130" xfId="0" applyFont="1" applyFill="1" applyBorder="1" applyAlignment="1" applyProtection="1">
      <alignment horizontal="left" vertical="center" wrapText="1"/>
      <protection locked="0"/>
    </xf>
    <xf numFmtId="197" fontId="30" fillId="0" borderId="27" xfId="0" applyNumberFormat="1" applyFont="1" applyFill="1" applyBorder="1" applyAlignment="1" applyProtection="1">
      <alignment horizontal="right" vertical="center"/>
      <protection locked="0"/>
    </xf>
    <xf numFmtId="0" fontId="28" fillId="0" borderId="133" xfId="0" applyFont="1" applyFill="1" applyBorder="1" applyAlignment="1" applyProtection="1">
      <alignment horizontal="left" vertical="center"/>
      <protection/>
    </xf>
    <xf numFmtId="197" fontId="30" fillId="0" borderId="132" xfId="0" applyNumberFormat="1" applyFont="1" applyFill="1" applyBorder="1" applyAlignment="1" applyProtection="1">
      <alignment horizontal="right" vertical="center"/>
      <protection locked="0"/>
    </xf>
    <xf numFmtId="0" fontId="30" fillId="42" borderId="129" xfId="0" applyFont="1" applyFill="1" applyBorder="1" applyAlignment="1" applyProtection="1">
      <alignment horizontal="left" vertical="center" wrapText="1"/>
      <protection/>
    </xf>
    <xf numFmtId="0" fontId="28" fillId="55" borderId="37" xfId="0" applyFont="1" applyFill="1" applyBorder="1" applyAlignment="1" applyProtection="1">
      <alignment vertical="center" wrapText="1"/>
      <protection locked="0"/>
    </xf>
    <xf numFmtId="0" fontId="28" fillId="0" borderId="34" xfId="0" applyFont="1" applyFill="1" applyBorder="1" applyAlignment="1" applyProtection="1">
      <alignment horizontal="left" vertical="center"/>
      <protection/>
    </xf>
    <xf numFmtId="197" fontId="30" fillId="0" borderId="131" xfId="0" applyNumberFormat="1" applyFont="1" applyFill="1" applyBorder="1" applyAlignment="1" applyProtection="1">
      <alignment horizontal="right" vertical="center"/>
      <protection locked="0"/>
    </xf>
    <xf numFmtId="0" fontId="30" fillId="0" borderId="154" xfId="0" applyFont="1" applyFill="1" applyBorder="1" applyAlignment="1" applyProtection="1">
      <alignment horizontal="right" vertical="center"/>
      <protection/>
    </xf>
    <xf numFmtId="197" fontId="30" fillId="0" borderId="140" xfId="0" applyNumberFormat="1" applyFont="1" applyFill="1" applyBorder="1" applyAlignment="1" applyProtection="1">
      <alignment horizontal="right" vertical="center"/>
      <protection/>
    </xf>
    <xf numFmtId="0" fontId="30" fillId="4" borderId="41" xfId="0" applyFont="1" applyFill="1" applyBorder="1" applyAlignment="1" applyProtection="1">
      <alignment horizontal="left" vertical="center" wrapText="1"/>
      <protection/>
    </xf>
    <xf numFmtId="0" fontId="30" fillId="55" borderId="130" xfId="0" applyFont="1" applyFill="1" applyBorder="1" applyAlignment="1" applyProtection="1">
      <alignment horizontal="left" vertical="center" wrapText="1"/>
      <protection locked="0"/>
    </xf>
    <xf numFmtId="0" fontId="51" fillId="0" borderId="82" xfId="0" applyFont="1" applyFill="1" applyBorder="1" applyAlignment="1" applyProtection="1">
      <alignment horizontal="left" vertical="center" wrapText="1"/>
      <protection/>
    </xf>
    <xf numFmtId="0" fontId="30" fillId="4" borderId="41" xfId="0" applyFont="1" applyFill="1" applyBorder="1" applyAlignment="1" applyProtection="1">
      <alignment horizontal="center" vertical="center" wrapText="1"/>
      <protection/>
    </xf>
    <xf numFmtId="0" fontId="30" fillId="0" borderId="226" xfId="0" applyFont="1" applyFill="1" applyBorder="1" applyAlignment="1" applyProtection="1">
      <alignment horizontal="center" vertical="center" wrapText="1"/>
      <protection locked="0"/>
    </xf>
    <xf numFmtId="0" fontId="28" fillId="0" borderId="148" xfId="0" applyFont="1" applyFill="1" applyBorder="1" applyAlignment="1" applyProtection="1">
      <alignment horizontal="left" vertical="center" wrapText="1"/>
      <protection locked="0"/>
    </xf>
    <xf numFmtId="0" fontId="28" fillId="0" borderId="149" xfId="0" applyFont="1" applyFill="1" applyBorder="1" applyAlignment="1" applyProtection="1">
      <alignment horizontal="left" vertical="center" wrapText="1"/>
      <protection locked="0"/>
    </xf>
    <xf numFmtId="0" fontId="30" fillId="0" borderId="224" xfId="0" applyFont="1" applyFill="1" applyBorder="1" applyAlignment="1" applyProtection="1">
      <alignment horizontal="center" vertical="center" wrapText="1"/>
      <protection locked="0"/>
    </xf>
    <xf numFmtId="0" fontId="28" fillId="0" borderId="81" xfId="0" applyFont="1" applyFill="1" applyBorder="1" applyAlignment="1" applyProtection="1">
      <alignment horizontal="left" vertical="center" wrapText="1"/>
      <protection locked="0"/>
    </xf>
    <xf numFmtId="0" fontId="43" fillId="56" borderId="25" xfId="0" applyFont="1" applyFill="1" applyBorder="1" applyAlignment="1" applyProtection="1">
      <alignment horizontal="left" wrapText="1"/>
      <protection/>
    </xf>
    <xf numFmtId="0" fontId="47" fillId="55" borderId="19" xfId="0" applyFont="1" applyFill="1" applyBorder="1" applyAlignment="1" applyProtection="1">
      <alignment horizontal="center" vertical="center" wrapText="1"/>
      <protection/>
    </xf>
    <xf numFmtId="0" fontId="30" fillId="39" borderId="134" xfId="0" applyFont="1" applyFill="1" applyBorder="1" applyAlignment="1" applyProtection="1">
      <alignment horizontal="left" indent="1"/>
      <protection/>
    </xf>
    <xf numFmtId="0" fontId="28" fillId="39" borderId="37" xfId="0" applyFont="1" applyFill="1" applyBorder="1" applyAlignment="1" applyProtection="1">
      <alignment horizontal="left" indent="1"/>
      <protection/>
    </xf>
    <xf numFmtId="0" fontId="84" fillId="55" borderId="34" xfId="0" applyFont="1" applyFill="1" applyBorder="1" applyAlignment="1" applyProtection="1">
      <alignment horizontal="left" vertical="center" wrapText="1"/>
      <protection/>
    </xf>
    <xf numFmtId="0" fontId="28" fillId="55" borderId="142" xfId="0" applyFont="1" applyFill="1" applyBorder="1" applyAlignment="1" applyProtection="1">
      <alignment horizontal="left" vertical="center" wrapText="1"/>
      <protection locked="0"/>
    </xf>
    <xf numFmtId="0" fontId="0" fillId="0" borderId="161" xfId="0" applyFont="1" applyBorder="1" applyAlignment="1" applyProtection="1">
      <alignment vertical="center" wrapText="1"/>
      <protection/>
    </xf>
    <xf numFmtId="191" fontId="28" fillId="39" borderId="27" xfId="0" applyNumberFormat="1" applyFont="1" applyFill="1" applyBorder="1" applyAlignment="1" applyProtection="1">
      <alignment horizontal="center" vertical="center"/>
      <protection/>
    </xf>
    <xf numFmtId="191" fontId="28" fillId="55" borderId="131" xfId="0" applyNumberFormat="1" applyFont="1" applyFill="1" applyBorder="1" applyAlignment="1" applyProtection="1">
      <alignment horizontal="center" vertical="center"/>
      <protection locked="0"/>
    </xf>
    <xf numFmtId="0" fontId="28" fillId="55" borderId="36" xfId="0" applyFont="1" applyFill="1" applyBorder="1" applyAlignment="1" applyProtection="1">
      <alignment horizontal="left" vertical="center" wrapText="1"/>
      <protection locked="0"/>
    </xf>
    <xf numFmtId="0" fontId="0" fillId="55" borderId="157" xfId="0" applyFont="1" applyFill="1" applyBorder="1" applyAlignment="1" applyProtection="1">
      <alignment vertical="center" wrapText="1"/>
      <protection/>
    </xf>
    <xf numFmtId="0" fontId="0" fillId="55" borderId="129" xfId="0" applyFont="1" applyFill="1" applyBorder="1" applyAlignment="1" applyProtection="1">
      <alignment horizontal="left" vertical="center" wrapText="1"/>
      <protection/>
    </xf>
    <xf numFmtId="0" fontId="28" fillId="55" borderId="37" xfId="0" applyFont="1" applyFill="1" applyBorder="1" applyAlignment="1" applyProtection="1">
      <alignment horizontal="left" vertical="center" wrapText="1"/>
      <protection locked="0"/>
    </xf>
    <xf numFmtId="0" fontId="0" fillId="55" borderId="103" xfId="0" applyFont="1" applyFill="1" applyBorder="1" applyAlignment="1" applyProtection="1">
      <alignment vertical="center" wrapText="1"/>
      <protection/>
    </xf>
    <xf numFmtId="0" fontId="0" fillId="55" borderId="0" xfId="0" applyFont="1" applyFill="1" applyBorder="1" applyAlignment="1" applyProtection="1">
      <alignment vertical="center" wrapText="1"/>
      <protection/>
    </xf>
    <xf numFmtId="0" fontId="0" fillId="55" borderId="228" xfId="0" applyFont="1" applyFill="1" applyBorder="1" applyAlignment="1" applyProtection="1">
      <alignment horizontal="left" vertical="center" wrapText="1"/>
      <protection/>
    </xf>
    <xf numFmtId="0" fontId="0" fillId="55" borderId="225" xfId="0" applyFont="1" applyFill="1" applyBorder="1" applyAlignment="1" applyProtection="1">
      <alignment horizontal="left" vertical="center" wrapText="1"/>
      <protection/>
    </xf>
    <xf numFmtId="0" fontId="0" fillId="55" borderId="26" xfId="0" applyFont="1" applyFill="1" applyBorder="1" applyAlignment="1" applyProtection="1">
      <alignment horizontal="left" vertical="center" wrapText="1"/>
      <protection/>
    </xf>
    <xf numFmtId="0" fontId="0" fillId="55" borderId="26" xfId="0" applyFont="1" applyFill="1" applyBorder="1" applyAlignment="1" applyProtection="1">
      <alignment vertical="center" wrapText="1"/>
      <protection/>
    </xf>
    <xf numFmtId="0" fontId="30" fillId="0" borderId="27" xfId="0" applyFont="1" applyFill="1" applyBorder="1" applyAlignment="1" applyProtection="1">
      <alignment horizontal="left" vertical="center" wrapText="1" indent="1"/>
      <protection/>
    </xf>
    <xf numFmtId="0" fontId="28" fillId="55" borderId="27" xfId="0" applyFont="1" applyFill="1" applyBorder="1" applyAlignment="1" applyProtection="1">
      <alignment horizontal="left" vertical="center" wrapText="1"/>
      <protection locked="0"/>
    </xf>
    <xf numFmtId="0" fontId="42" fillId="56" borderId="20" xfId="0" applyFont="1" applyFill="1" applyBorder="1" applyAlignment="1" applyProtection="1">
      <alignment horizontal="left"/>
      <protection/>
    </xf>
    <xf numFmtId="0" fontId="28" fillId="39" borderId="229" xfId="0" applyFont="1" applyFill="1" applyBorder="1" applyAlignment="1" applyProtection="1">
      <alignment horizontal="left" vertical="center"/>
      <protection/>
    </xf>
    <xf numFmtId="0" fontId="42" fillId="0" borderId="83" xfId="0" applyFont="1" applyFill="1" applyBorder="1" applyAlignment="1" applyProtection="1">
      <alignment horizontal="center"/>
      <protection/>
    </xf>
    <xf numFmtId="0" fontId="30" fillId="55" borderId="115" xfId="0" applyFont="1" applyFill="1" applyBorder="1" applyAlignment="1" applyProtection="1">
      <alignment horizontal="left" wrapText="1"/>
      <protection/>
    </xf>
    <xf numFmtId="0" fontId="30" fillId="55" borderId="0" xfId="0" applyFont="1" applyFill="1" applyBorder="1" applyAlignment="1" applyProtection="1">
      <alignment horizontal="left" wrapText="1"/>
      <protection/>
    </xf>
    <xf numFmtId="0" fontId="48" fillId="39" borderId="27" xfId="0" applyNumberFormat="1" applyFont="1" applyFill="1" applyBorder="1" applyAlignment="1" applyProtection="1">
      <alignment horizontal="left" vertical="center" wrapText="1"/>
      <protection/>
    </xf>
    <xf numFmtId="0" fontId="28" fillId="0" borderId="230" xfId="0" applyFont="1" applyFill="1" applyBorder="1" applyAlignment="1" applyProtection="1">
      <alignment horizontal="center" vertical="center"/>
      <protection/>
    </xf>
    <xf numFmtId="0" fontId="28" fillId="0" borderId="231" xfId="0" applyFont="1" applyFill="1" applyBorder="1" applyAlignment="1" applyProtection="1">
      <alignment horizontal="left" wrapText="1"/>
      <protection/>
    </xf>
    <xf numFmtId="0" fontId="47" fillId="4" borderId="27" xfId="0" applyFont="1" applyFill="1" applyBorder="1" applyAlignment="1" applyProtection="1">
      <alignment horizontal="center" vertical="center"/>
      <protection/>
    </xf>
    <xf numFmtId="0" fontId="28" fillId="55" borderId="27" xfId="0" applyFont="1" applyFill="1" applyBorder="1" applyAlignment="1" applyProtection="1">
      <alignment horizontal="center" vertical="center"/>
      <protection locked="0"/>
    </xf>
    <xf numFmtId="0" fontId="28" fillId="0" borderId="75" xfId="0" applyFont="1" applyFill="1" applyBorder="1" applyAlignment="1" applyProtection="1">
      <alignment horizontal="left"/>
      <protection/>
    </xf>
    <xf numFmtId="0" fontId="28" fillId="55" borderId="75" xfId="0" applyFont="1" applyFill="1" applyBorder="1" applyAlignment="1" applyProtection="1">
      <alignment horizontal="left"/>
      <protection/>
    </xf>
    <xf numFmtId="0" fontId="28" fillId="55" borderId="48" xfId="0" applyFont="1" applyFill="1" applyBorder="1" applyAlignment="1" applyProtection="1">
      <alignment horizontal="center" vertical="center" wrapText="1"/>
      <protection locked="0"/>
    </xf>
    <xf numFmtId="0" fontId="28" fillId="55" borderId="85" xfId="0" applyFont="1" applyFill="1" applyBorder="1" applyAlignment="1" applyProtection="1">
      <alignment horizontal="left" wrapText="1"/>
      <protection/>
    </xf>
    <xf numFmtId="0" fontId="47" fillId="4" borderId="27" xfId="0" applyFont="1" applyFill="1" applyBorder="1" applyAlignment="1" applyProtection="1">
      <alignment horizontal="center" vertical="center" wrapText="1"/>
      <protection/>
    </xf>
    <xf numFmtId="0" fontId="28" fillId="0" borderId="168" xfId="0" applyFont="1" applyFill="1" applyBorder="1" applyAlignment="1" applyProtection="1">
      <alignment horizontal="left" wrapText="1"/>
      <protection/>
    </xf>
    <xf numFmtId="0" fontId="30" fillId="55" borderId="93" xfId="0" applyFont="1" applyFill="1" applyBorder="1" applyAlignment="1" applyProtection="1">
      <alignment horizontal="center" vertical="center"/>
      <protection/>
    </xf>
    <xf numFmtId="0" fontId="31" fillId="55" borderId="0" xfId="0" applyFont="1" applyFill="1" applyBorder="1" applyAlignment="1" applyProtection="1">
      <alignment horizontal="left"/>
      <protection/>
    </xf>
    <xf numFmtId="0" fontId="42" fillId="67" borderId="147" xfId="0" applyFont="1" applyFill="1" applyBorder="1" applyAlignment="1" applyProtection="1">
      <alignment horizontal="left"/>
      <protection/>
    </xf>
    <xf numFmtId="200" fontId="32" fillId="0" borderId="0" xfId="0" applyNumberFormat="1" applyFont="1" applyFill="1" applyBorder="1" applyAlignment="1" applyProtection="1">
      <alignment horizontal="left" wrapText="1" indent="2"/>
      <protection/>
    </xf>
    <xf numFmtId="0" fontId="28" fillId="55" borderId="48" xfId="0" applyFont="1" applyFill="1" applyBorder="1" applyAlignment="1" applyProtection="1">
      <alignment horizontal="left" vertical="center" wrapText="1"/>
      <protection locked="0"/>
    </xf>
    <xf numFmtId="0" fontId="42" fillId="55" borderId="0" xfId="0" applyFont="1" applyFill="1" applyBorder="1" applyAlignment="1" applyProtection="1">
      <alignment horizontal="left" vertical="center"/>
      <protection/>
    </xf>
    <xf numFmtId="0" fontId="42" fillId="67" borderId="232" xfId="0" applyFont="1" applyFill="1" applyBorder="1" applyAlignment="1" applyProtection="1">
      <alignment vertical="center"/>
      <protection/>
    </xf>
    <xf numFmtId="0" fontId="28" fillId="55" borderId="233" xfId="0" applyFont="1" applyFill="1" applyBorder="1" applyAlignment="1" applyProtection="1">
      <alignment horizontal="left" vertical="center" wrapText="1"/>
      <protection locked="0"/>
    </xf>
    <xf numFmtId="0" fontId="42" fillId="67" borderId="232" xfId="0" applyFont="1" applyFill="1" applyBorder="1" applyAlignment="1" applyProtection="1">
      <alignment horizontal="left" vertical="center"/>
      <protection/>
    </xf>
    <xf numFmtId="0" fontId="23" fillId="55" borderId="0" xfId="0" applyFont="1" applyFill="1" applyBorder="1" applyAlignment="1" applyProtection="1">
      <alignment horizontal="center" vertical="center" wrapText="1"/>
      <protection/>
    </xf>
    <xf numFmtId="0" fontId="42" fillId="56" borderId="127" xfId="0" applyFont="1" applyFill="1" applyBorder="1" applyAlignment="1" applyProtection="1">
      <alignment horizontal="left" vertical="center"/>
      <protection/>
    </xf>
    <xf numFmtId="0" fontId="28" fillId="39" borderId="130" xfId="0" applyFont="1" applyFill="1" applyBorder="1" applyAlignment="1" applyProtection="1">
      <alignment horizontal="left" vertical="center" wrapText="1" indent="1"/>
      <protection/>
    </xf>
    <xf numFmtId="0" fontId="20" fillId="55" borderId="27" xfId="0" applyFont="1" applyFill="1" applyBorder="1" applyAlignment="1" applyProtection="1">
      <alignment horizontal="left"/>
      <protection/>
    </xf>
    <xf numFmtId="0" fontId="52" fillId="55" borderId="0" xfId="0" applyFont="1" applyFill="1" applyBorder="1" applyAlignment="1" applyProtection="1">
      <alignment horizontal="left" wrapText="1"/>
      <protection/>
    </xf>
    <xf numFmtId="0" fontId="20" fillId="55" borderId="27" xfId="0" applyFont="1" applyFill="1" applyBorder="1" applyAlignment="1" applyProtection="1">
      <alignment horizontal="center"/>
      <protection/>
    </xf>
    <xf numFmtId="0" fontId="28" fillId="39" borderId="139" xfId="0" applyFont="1" applyFill="1" applyBorder="1" applyAlignment="1" applyProtection="1">
      <alignment horizontal="left" vertical="center" indent="1"/>
      <protection/>
    </xf>
    <xf numFmtId="0" fontId="28" fillId="55" borderId="0" xfId="0" applyFont="1" applyFill="1" applyBorder="1" applyAlignment="1" applyProtection="1">
      <alignment horizontal="left" wrapText="1" indent="1"/>
      <protection/>
    </xf>
    <xf numFmtId="0" fontId="28" fillId="55" borderId="38" xfId="0" applyFont="1" applyFill="1" applyBorder="1" applyAlignment="1" applyProtection="1">
      <alignment horizontal="center" vertical="center" wrapText="1"/>
      <protection locked="0"/>
    </xf>
    <xf numFmtId="0" fontId="28" fillId="55" borderId="103" xfId="0" applyFont="1" applyFill="1" applyBorder="1" applyAlignment="1" applyProtection="1">
      <alignment horizontal="center" vertical="center" wrapText="1"/>
      <protection locked="0"/>
    </xf>
    <xf numFmtId="0" fontId="52" fillId="55" borderId="0" xfId="0" applyFont="1" applyFill="1" applyBorder="1" applyAlignment="1" applyProtection="1">
      <alignment horizontal="center" wrapText="1"/>
      <protection/>
    </xf>
    <xf numFmtId="0" fontId="28" fillId="55" borderId="103" xfId="0" applyFont="1" applyFill="1" applyBorder="1" applyAlignment="1" applyProtection="1">
      <alignment horizontal="left" vertical="center"/>
      <protection/>
    </xf>
    <xf numFmtId="0" fontId="46" fillId="55" borderId="0" xfId="0" applyFont="1" applyFill="1" applyBorder="1" applyAlignment="1" applyProtection="1">
      <alignment horizontal="left" wrapText="1"/>
      <protection/>
    </xf>
    <xf numFmtId="0" fontId="51" fillId="55" borderId="99" xfId="0" applyFont="1" applyFill="1" applyBorder="1" applyAlignment="1" applyProtection="1">
      <alignment horizontal="left" wrapText="1"/>
      <protection locked="0"/>
    </xf>
    <xf numFmtId="0" fontId="35" fillId="55" borderId="103" xfId="0" applyFont="1" applyFill="1" applyBorder="1" applyAlignment="1" applyProtection="1">
      <alignment horizontal="left"/>
      <protection locked="0"/>
    </xf>
    <xf numFmtId="0" fontId="28" fillId="55" borderId="0" xfId="0" applyFont="1" applyFill="1" applyBorder="1" applyAlignment="1" applyProtection="1">
      <alignment horizontal="left" wrapText="1"/>
      <protection/>
    </xf>
    <xf numFmtId="0" fontId="20" fillId="55" borderId="27" xfId="0" applyFont="1" applyFill="1" applyBorder="1" applyAlignment="1" applyProtection="1">
      <alignment horizontal="center" vertical="center" wrapText="1"/>
      <protection locked="0"/>
    </xf>
    <xf numFmtId="0" fontId="38" fillId="55" borderId="0" xfId="0" applyFont="1" applyFill="1" applyBorder="1" applyAlignment="1" applyProtection="1">
      <alignment horizontal="left"/>
      <protection/>
    </xf>
    <xf numFmtId="0" fontId="0" fillId="0" borderId="27" xfId="0" applyFill="1" applyBorder="1" applyAlignment="1" applyProtection="1">
      <alignment horizontal="left" vertical="center" wrapText="1"/>
      <protection locked="0"/>
    </xf>
    <xf numFmtId="0" fontId="46" fillId="0" borderId="0" xfId="0" applyFont="1" applyFill="1" applyBorder="1" applyAlignment="1" applyProtection="1">
      <alignment horizontal="left" wrapText="1"/>
      <protection/>
    </xf>
    <xf numFmtId="0" fontId="90" fillId="55" borderId="48" xfId="0" applyFont="1" applyFill="1" applyBorder="1" applyAlignment="1" applyProtection="1">
      <alignment horizontal="left" wrapText="1"/>
      <protection/>
    </xf>
    <xf numFmtId="0" fontId="42" fillId="56" borderId="48" xfId="0" applyFont="1" applyFill="1" applyBorder="1" applyAlignment="1" applyProtection="1">
      <alignment horizontal="left" vertical="center"/>
      <protection/>
    </xf>
    <xf numFmtId="0" fontId="0" fillId="0" borderId="0" xfId="374" applyFont="1" applyFill="1" applyAlignment="1">
      <alignment horizontal="left"/>
      <protection/>
    </xf>
    <xf numFmtId="0" fontId="0" fillId="0" borderId="0" xfId="374" applyFill="1" applyAlignment="1">
      <alignment horizontal="left"/>
      <protection/>
    </xf>
    <xf numFmtId="0" fontId="93" fillId="0" borderId="234" xfId="374" applyFont="1" applyFill="1" applyBorder="1" applyAlignment="1" applyProtection="1">
      <alignment horizontal="left" indent="1"/>
      <protection/>
    </xf>
    <xf numFmtId="0" fontId="47" fillId="0" borderId="235" xfId="374" applyFont="1" applyFill="1" applyBorder="1" applyAlignment="1" applyProtection="1">
      <alignment horizontal="left" indent="1"/>
      <protection/>
    </xf>
    <xf numFmtId="0" fontId="47" fillId="0" borderId="236" xfId="374" applyFont="1" applyFill="1" applyBorder="1" applyAlignment="1" applyProtection="1">
      <alignment horizontal="left" indent="1"/>
      <protection/>
    </xf>
    <xf numFmtId="0" fontId="93" fillId="0" borderId="237" xfId="374" applyFont="1" applyBorder="1" applyAlignment="1" applyProtection="1">
      <alignment horizontal="left" indent="1"/>
      <protection/>
    </xf>
    <xf numFmtId="0" fontId="47" fillId="0" borderId="235" xfId="374" applyFont="1" applyBorder="1" applyAlignment="1" applyProtection="1">
      <alignment horizontal="left" indent="1"/>
      <protection/>
    </xf>
    <xf numFmtId="0" fontId="47" fillId="0" borderId="236" xfId="374" applyFont="1" applyBorder="1" applyAlignment="1" applyProtection="1">
      <alignment horizontal="left" indent="1"/>
      <protection/>
    </xf>
    <xf numFmtId="0" fontId="93" fillId="0" borderId="237" xfId="374" applyFont="1" applyFill="1" applyBorder="1" applyAlignment="1" applyProtection="1">
      <alignment horizontal="left" indent="1"/>
      <protection/>
    </xf>
    <xf numFmtId="0" fontId="93" fillId="0" borderId="235" xfId="374" applyFont="1" applyFill="1" applyBorder="1" applyAlignment="1" applyProtection="1">
      <alignment horizontal="left" indent="1"/>
      <protection/>
    </xf>
    <xf numFmtId="0" fontId="0" fillId="0" borderId="0" xfId="374" applyFont="1" applyFill="1" applyAlignment="1">
      <alignment horizontal="center"/>
      <protection/>
    </xf>
    <xf numFmtId="0" fontId="93" fillId="0" borderId="237" xfId="374" applyFont="1" applyFill="1" applyBorder="1" applyAlignment="1" applyProtection="1">
      <alignment horizontal="left" wrapText="1" indent="1"/>
      <protection/>
    </xf>
    <xf numFmtId="0" fontId="47" fillId="0" borderId="235" xfId="374" applyFont="1" applyFill="1" applyBorder="1" applyAlignment="1" applyProtection="1">
      <alignment horizontal="left" wrapText="1" indent="1"/>
      <protection/>
    </xf>
    <xf numFmtId="0" fontId="47" fillId="0" borderId="236" xfId="374" applyFont="1" applyFill="1" applyBorder="1" applyAlignment="1" applyProtection="1">
      <alignment horizontal="left" wrapText="1" indent="1"/>
      <protection/>
    </xf>
    <xf numFmtId="0" fontId="93" fillId="0" borderId="235" xfId="374" applyFont="1" applyFill="1" applyBorder="1" applyAlignment="1" applyProtection="1">
      <alignment horizontal="left" wrapText="1" indent="1"/>
      <protection/>
    </xf>
    <xf numFmtId="0" fontId="18" fillId="0" borderId="237" xfId="422" applyFont="1" applyFill="1" applyBorder="1" applyAlignment="1">
      <alignment horizontal="center" wrapText="1"/>
      <protection/>
    </xf>
    <xf numFmtId="0" fontId="18" fillId="0" borderId="235" xfId="422" applyFont="1" applyFill="1" applyBorder="1" applyAlignment="1">
      <alignment horizontal="center" wrapText="1"/>
      <protection/>
    </xf>
    <xf numFmtId="0" fontId="18" fillId="0" borderId="236" xfId="422" applyFont="1" applyFill="1" applyBorder="1" applyAlignment="1">
      <alignment horizontal="center" wrapText="1"/>
      <protection/>
    </xf>
    <xf numFmtId="0" fontId="93" fillId="0" borderId="214" xfId="374" applyFont="1" applyFill="1" applyBorder="1" applyAlignment="1" applyProtection="1">
      <alignment horizontal="left" indent="1"/>
      <protection/>
    </xf>
    <xf numFmtId="0" fontId="47" fillId="0" borderId="238" xfId="374" applyFont="1" applyFill="1" applyBorder="1" applyAlignment="1" applyProtection="1">
      <alignment horizontal="left" indent="1"/>
      <protection/>
    </xf>
    <xf numFmtId="0" fontId="47" fillId="0" borderId="239" xfId="374" applyFont="1" applyFill="1" applyBorder="1" applyAlignment="1" applyProtection="1">
      <alignment horizontal="left" indent="1"/>
      <protection/>
    </xf>
    <xf numFmtId="0" fontId="0" fillId="0" borderId="0" xfId="374" applyFill="1" applyBorder="1" applyAlignment="1">
      <alignment horizontal="left"/>
      <protection/>
    </xf>
    <xf numFmtId="0" fontId="0" fillId="0" borderId="0" xfId="374" applyFont="1" applyFill="1" applyBorder="1" applyAlignment="1">
      <alignment horizontal="left"/>
      <protection/>
    </xf>
    <xf numFmtId="0" fontId="0" fillId="0" borderId="0" xfId="374" applyFill="1" applyBorder="1" applyAlignment="1">
      <alignment horizontal="left" wrapText="1"/>
      <protection/>
    </xf>
    <xf numFmtId="170" fontId="94" fillId="0" borderId="0" xfId="421" applyNumberFormat="1" applyFont="1" applyFill="1" applyAlignment="1">
      <alignment horizontal="left" wrapText="1"/>
      <protection/>
    </xf>
    <xf numFmtId="0" fontId="0" fillId="0" borderId="0" xfId="421" applyFont="1" applyFill="1" applyAlignment="1">
      <alignment horizontal="left" wrapText="1"/>
      <protection/>
    </xf>
    <xf numFmtId="170" fontId="94" fillId="0" borderId="0" xfId="421" applyNumberFormat="1" applyFont="1" applyFill="1" applyBorder="1" applyAlignment="1">
      <alignment horizontal="left"/>
      <protection/>
    </xf>
    <xf numFmtId="0" fontId="55" fillId="0" borderId="0" xfId="421" applyFont="1" applyAlignment="1">
      <alignment horizontal="center" vertical="top" wrapText="1"/>
      <protection/>
    </xf>
    <xf numFmtId="170" fontId="94" fillId="0" borderId="0" xfId="421" applyNumberFormat="1" applyFont="1" applyFill="1" applyAlignment="1">
      <alignment horizontal="center" wrapText="1"/>
      <protection/>
    </xf>
    <xf numFmtId="0" fontId="126" fillId="0" borderId="240" xfId="0" applyFont="1" applyFill="1" applyBorder="1" applyAlignment="1" applyProtection="1">
      <alignment horizontal="left" vertical="center" wrapText="1"/>
      <protection locked="0"/>
    </xf>
    <xf numFmtId="0" fontId="126" fillId="0" borderId="241" xfId="0" applyFont="1" applyFill="1" applyBorder="1" applyAlignment="1" applyProtection="1">
      <alignment horizontal="left" vertical="center" wrapText="1"/>
      <protection locked="0"/>
    </xf>
    <xf numFmtId="0" fontId="126" fillId="0" borderId="187" xfId="0" applyFont="1" applyFill="1" applyBorder="1" applyAlignment="1" applyProtection="1">
      <alignment horizontal="left" vertical="center" wrapText="1"/>
      <protection locked="0"/>
    </xf>
    <xf numFmtId="0" fontId="163" fillId="0" borderId="176" xfId="0" applyFont="1" applyFill="1" applyBorder="1" applyAlignment="1" applyProtection="1">
      <alignment horizontal="left" vertical="center" wrapText="1"/>
      <protection/>
    </xf>
    <xf numFmtId="0" fontId="164" fillId="0" borderId="176" xfId="0" applyFont="1" applyFill="1" applyBorder="1" applyAlignment="1" applyProtection="1">
      <alignment horizontal="left" vertical="center" wrapText="1"/>
      <protection/>
    </xf>
    <xf numFmtId="0" fontId="126" fillId="0" borderId="216" xfId="0" applyFont="1" applyFill="1" applyBorder="1" applyAlignment="1" applyProtection="1">
      <alignment horizontal="left" vertical="center" wrapText="1"/>
      <protection locked="0"/>
    </xf>
    <xf numFmtId="0" fontId="126" fillId="0" borderId="217" xfId="0" applyFont="1" applyFill="1" applyBorder="1" applyAlignment="1" applyProtection="1">
      <alignment horizontal="left" vertical="center" wrapText="1"/>
      <protection locked="0"/>
    </xf>
    <xf numFmtId="0" fontId="126" fillId="0" borderId="218" xfId="0" applyFont="1" applyFill="1" applyBorder="1" applyAlignment="1" applyProtection="1">
      <alignment horizontal="left" vertical="center" wrapText="1"/>
      <protection locked="0"/>
    </xf>
    <xf numFmtId="0" fontId="165" fillId="0" borderId="176" xfId="0" applyFont="1" applyFill="1" applyBorder="1" applyAlignment="1" applyProtection="1">
      <alignment horizontal="left" vertical="center" wrapText="1"/>
      <protection/>
    </xf>
    <xf numFmtId="0" fontId="126" fillId="0" borderId="176" xfId="0" applyFont="1" applyFill="1" applyBorder="1" applyAlignment="1" applyProtection="1">
      <alignment horizontal="left" vertical="center" wrapText="1"/>
      <protection/>
    </xf>
    <xf numFmtId="0" fontId="101" fillId="0" borderId="216" xfId="0" applyFont="1" applyFill="1" applyBorder="1" applyAlignment="1" applyProtection="1">
      <alignment horizontal="left" vertical="center" wrapText="1"/>
      <protection locked="0"/>
    </xf>
    <xf numFmtId="0" fontId="101" fillId="0" borderId="217" xfId="0" applyFont="1" applyFill="1" applyBorder="1" applyAlignment="1" applyProtection="1">
      <alignment horizontal="left" vertical="center" wrapText="1"/>
      <protection locked="0"/>
    </xf>
    <xf numFmtId="0" fontId="101" fillId="0" borderId="218" xfId="0" applyFont="1" applyFill="1" applyBorder="1" applyAlignment="1" applyProtection="1">
      <alignment horizontal="left" vertical="center" wrapText="1"/>
      <protection locked="0"/>
    </xf>
    <xf numFmtId="0" fontId="126" fillId="0" borderId="183" xfId="0" applyFont="1" applyFill="1" applyBorder="1" applyAlignment="1" applyProtection="1">
      <alignment horizontal="left" vertical="center" wrapText="1"/>
      <protection locked="0"/>
    </xf>
    <xf numFmtId="0" fontId="133" fillId="0" borderId="241" xfId="0" applyFont="1" applyFill="1" applyBorder="1" applyAlignment="1" applyProtection="1">
      <alignment horizontal="left" vertical="center" wrapText="1"/>
      <protection locked="0"/>
    </xf>
    <xf numFmtId="0" fontId="133" fillId="0" borderId="187" xfId="0" applyFont="1" applyFill="1" applyBorder="1" applyAlignment="1" applyProtection="1">
      <alignment horizontal="left" vertical="center" wrapText="1"/>
      <protection locked="0"/>
    </xf>
    <xf numFmtId="0" fontId="126" fillId="0" borderId="176" xfId="0" applyFont="1" applyFill="1" applyBorder="1" applyAlignment="1" applyProtection="1">
      <alignment horizontal="left" vertical="center" wrapText="1"/>
      <protection locked="0"/>
    </xf>
    <xf numFmtId="0" fontId="133" fillId="0" borderId="176" xfId="0" applyFont="1" applyFill="1" applyBorder="1" applyAlignment="1" applyProtection="1">
      <alignment horizontal="left" vertical="center" wrapText="1"/>
      <protection locked="0"/>
    </xf>
    <xf numFmtId="0" fontId="126" fillId="0" borderId="183" xfId="0" applyFont="1" applyFill="1" applyBorder="1" applyAlignment="1" applyProtection="1">
      <alignment horizontal="left" vertical="top" wrapText="1"/>
      <protection locked="0"/>
    </xf>
    <xf numFmtId="0" fontId="133" fillId="0" borderId="241" xfId="0" applyFont="1" applyFill="1" applyBorder="1" applyAlignment="1" applyProtection="1">
      <alignment horizontal="left" vertical="top" wrapText="1"/>
      <protection locked="0"/>
    </xf>
    <xf numFmtId="0" fontId="133" fillId="0" borderId="187" xfId="0" applyFont="1" applyFill="1" applyBorder="1" applyAlignment="1" applyProtection="1">
      <alignment horizontal="left" vertical="top" wrapText="1"/>
      <protection locked="0"/>
    </xf>
  </cellXfs>
  <cellStyles count="48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2" xfId="29"/>
    <cellStyle name="20% - Énfasis2 2" xfId="30"/>
    <cellStyle name="20% - Énfasis2 3" xfId="31"/>
    <cellStyle name="20% - Énfasis2 4" xfId="32"/>
    <cellStyle name="20% - Énfasis2 5" xfId="33"/>
    <cellStyle name="20% - Énfasis2 6" xfId="34"/>
    <cellStyle name="20% - Énfasis2 7" xfId="35"/>
    <cellStyle name="20% - Énfasis2 8" xfId="36"/>
    <cellStyle name="20% - Énfasis3" xfId="37"/>
    <cellStyle name="20% - Énfasis3 2" xfId="38"/>
    <cellStyle name="20% - Énfasis3 3" xfId="39"/>
    <cellStyle name="20% - Énfasis3 4" xfId="40"/>
    <cellStyle name="20% - Énfasis3 5" xfId="41"/>
    <cellStyle name="20% - Énfasis3 6" xfId="42"/>
    <cellStyle name="20% - Énfasis3 7" xfId="43"/>
    <cellStyle name="20% - Énfasis3 8" xfId="44"/>
    <cellStyle name="20% - Énfasis4" xfId="45"/>
    <cellStyle name="20% - Énfasis4 2" xfId="46"/>
    <cellStyle name="20% - Énfasis4 3" xfId="47"/>
    <cellStyle name="20% - Énfasis4 4" xfId="48"/>
    <cellStyle name="20% - Énfasis4 5" xfId="49"/>
    <cellStyle name="20% - Énfasis4 6" xfId="50"/>
    <cellStyle name="20% - Énfasis4 7" xfId="51"/>
    <cellStyle name="20% - Énfasis4 8" xfId="52"/>
    <cellStyle name="20% - Énfasis5" xfId="53"/>
    <cellStyle name="20% - Énfasis5 2" xfId="54"/>
    <cellStyle name="20% - Énfasis5 3" xfId="55"/>
    <cellStyle name="20% - Énfasis5 4" xfId="56"/>
    <cellStyle name="20% - Énfasis5 5" xfId="57"/>
    <cellStyle name="20% - Énfasis5 6" xfId="58"/>
    <cellStyle name="20% - Énfasis5 7" xfId="59"/>
    <cellStyle name="20% - Énfasis5 8" xfId="60"/>
    <cellStyle name="20% - Énfasis6" xfId="61"/>
    <cellStyle name="20% - Énfasis6 2" xfId="62"/>
    <cellStyle name="20% - Énfasis6 3" xfId="63"/>
    <cellStyle name="20% - Énfasis6 4" xfId="64"/>
    <cellStyle name="20% - Énfasis6 5" xfId="65"/>
    <cellStyle name="20% - Énfasis6 6" xfId="66"/>
    <cellStyle name="20% - Énfasis6 7" xfId="67"/>
    <cellStyle name="20% - Énfasis6 8" xfId="68"/>
    <cellStyle name="40% - Accent1" xfId="69"/>
    <cellStyle name="40% - Accent2" xfId="70"/>
    <cellStyle name="40% - Accent3" xfId="71"/>
    <cellStyle name="40% - Accent4" xfId="72"/>
    <cellStyle name="40% - Accent5" xfId="73"/>
    <cellStyle name="40% - Accent6" xfId="74"/>
    <cellStyle name="40% - Énfasis1" xfId="75"/>
    <cellStyle name="40% - Énfasis1 2" xfId="76"/>
    <cellStyle name="40% - Énfasis1 3" xfId="77"/>
    <cellStyle name="40% - Énfasis1 4" xfId="78"/>
    <cellStyle name="40% - Énfasis1 5" xfId="79"/>
    <cellStyle name="40% - Énfasis1 6" xfId="80"/>
    <cellStyle name="40% - Énfasis1 7" xfId="81"/>
    <cellStyle name="40% - Énfasis1 8" xfId="82"/>
    <cellStyle name="40% - Énfasis2" xfId="83"/>
    <cellStyle name="40% - Énfasis2 2" xfId="84"/>
    <cellStyle name="40% - Énfasis2 3" xfId="85"/>
    <cellStyle name="40% - Énfasis2 4" xfId="86"/>
    <cellStyle name="40% - Énfasis2 5" xfId="87"/>
    <cellStyle name="40% - Énfasis2 6" xfId="88"/>
    <cellStyle name="40% - Énfasis2 7" xfId="89"/>
    <cellStyle name="40% - Énfasis2 8" xfId="90"/>
    <cellStyle name="40% - Énfasis3" xfId="91"/>
    <cellStyle name="40% - Énfasis3 2" xfId="92"/>
    <cellStyle name="40% - Énfasis3 3" xfId="93"/>
    <cellStyle name="40% - Énfasis3 4" xfId="94"/>
    <cellStyle name="40% - Énfasis3 5" xfId="95"/>
    <cellStyle name="40% - Énfasis3 6" xfId="96"/>
    <cellStyle name="40% - Énfasis3 7" xfId="97"/>
    <cellStyle name="40% - Énfasis3 8" xfId="98"/>
    <cellStyle name="40% - Énfasis4" xfId="99"/>
    <cellStyle name="40% - Énfasis4 2" xfId="100"/>
    <cellStyle name="40% - Énfasis4 3" xfId="101"/>
    <cellStyle name="40% - Énfasis4 4" xfId="102"/>
    <cellStyle name="40% - Énfasis4 5" xfId="103"/>
    <cellStyle name="40% - Énfasis4 6" xfId="104"/>
    <cellStyle name="40% - Énfasis4 7" xfId="105"/>
    <cellStyle name="40% - Énfasis4 8" xfId="106"/>
    <cellStyle name="40% - Énfasis5" xfId="107"/>
    <cellStyle name="40% - Énfasis5 2" xfId="108"/>
    <cellStyle name="40% - Énfasis5 3" xfId="109"/>
    <cellStyle name="40% - Énfasis5 4" xfId="110"/>
    <cellStyle name="40% - Énfasis5 5" xfId="111"/>
    <cellStyle name="40% - Énfasis5 6" xfId="112"/>
    <cellStyle name="40% - Énfasis5 7" xfId="113"/>
    <cellStyle name="40% - Énfasis5 8" xfId="114"/>
    <cellStyle name="40% - Énfasis6" xfId="115"/>
    <cellStyle name="40% - Énfasis6 2" xfId="116"/>
    <cellStyle name="40% - Énfasis6 3" xfId="117"/>
    <cellStyle name="40% - Énfasis6 4" xfId="118"/>
    <cellStyle name="40% - Énfasis6 5" xfId="119"/>
    <cellStyle name="40% - Énfasis6 6" xfId="120"/>
    <cellStyle name="40% - Énfasis6 7" xfId="121"/>
    <cellStyle name="40% - Énfasis6 8" xfId="122"/>
    <cellStyle name="60% - Accent1" xfId="123"/>
    <cellStyle name="60% - Accent2" xfId="124"/>
    <cellStyle name="60% - Accent3" xfId="125"/>
    <cellStyle name="60% - Accent4" xfId="126"/>
    <cellStyle name="60% - Accent5" xfId="127"/>
    <cellStyle name="60% - Accent6" xfId="128"/>
    <cellStyle name="60% - Énfasis1" xfId="129"/>
    <cellStyle name="60% - Énfasis1 2" xfId="130"/>
    <cellStyle name="60% - Énfasis1 3" xfId="131"/>
    <cellStyle name="60% - Énfasis1 4" xfId="132"/>
    <cellStyle name="60% - Énfasis1 5" xfId="133"/>
    <cellStyle name="60% - Énfasis1 6" xfId="134"/>
    <cellStyle name="60% - Énfasis1 7" xfId="135"/>
    <cellStyle name="60% - Énfasis1 8" xfId="136"/>
    <cellStyle name="60% - Énfasis2" xfId="137"/>
    <cellStyle name="60% - Énfasis2 2" xfId="138"/>
    <cellStyle name="60% - Énfasis2 3" xfId="139"/>
    <cellStyle name="60% - Énfasis2 4" xfId="140"/>
    <cellStyle name="60% - Énfasis2 5" xfId="141"/>
    <cellStyle name="60% - Énfasis2 6" xfId="142"/>
    <cellStyle name="60% - Énfasis2 7" xfId="143"/>
    <cellStyle name="60% - Énfasis2 8" xfId="144"/>
    <cellStyle name="60% - Énfasis3" xfId="145"/>
    <cellStyle name="60% - Énfasis3 2" xfId="146"/>
    <cellStyle name="60% - Énfasis3 3" xfId="147"/>
    <cellStyle name="60% - Énfasis3 4" xfId="148"/>
    <cellStyle name="60% - Énfasis3 5" xfId="149"/>
    <cellStyle name="60% - Énfasis3 6" xfId="150"/>
    <cellStyle name="60% - Énfasis3 7" xfId="151"/>
    <cellStyle name="60% - Énfasis3 8" xfId="152"/>
    <cellStyle name="60% - Énfasis4" xfId="153"/>
    <cellStyle name="60% - Énfasis4 2" xfId="154"/>
    <cellStyle name="60% - Énfasis4 3" xfId="155"/>
    <cellStyle name="60% - Énfasis4 4" xfId="156"/>
    <cellStyle name="60% - Énfasis4 5" xfId="157"/>
    <cellStyle name="60% - Énfasis4 6" xfId="158"/>
    <cellStyle name="60% - Énfasis4 7" xfId="159"/>
    <cellStyle name="60% - Énfasis4 8" xfId="160"/>
    <cellStyle name="60% - Énfasis5" xfId="161"/>
    <cellStyle name="60% - Énfasis5 2" xfId="162"/>
    <cellStyle name="60% - Énfasis5 3" xfId="163"/>
    <cellStyle name="60% - Énfasis5 4" xfId="164"/>
    <cellStyle name="60% - Énfasis5 5" xfId="165"/>
    <cellStyle name="60% - Énfasis5 6" xfId="166"/>
    <cellStyle name="60% - Énfasis5 7" xfId="167"/>
    <cellStyle name="60% - Énfasis5 8" xfId="168"/>
    <cellStyle name="60% - Énfasis6" xfId="169"/>
    <cellStyle name="60% - Énfasis6 2" xfId="170"/>
    <cellStyle name="60% - Énfasis6 3" xfId="171"/>
    <cellStyle name="60% - Énfasis6 4" xfId="172"/>
    <cellStyle name="60% - Énfasis6 5" xfId="173"/>
    <cellStyle name="60% - Énfasis6 6" xfId="174"/>
    <cellStyle name="60% - Énfasis6 7" xfId="175"/>
    <cellStyle name="60% - Énfasis6 8" xfId="176"/>
    <cellStyle name="Accent1" xfId="177"/>
    <cellStyle name="Accent2" xfId="178"/>
    <cellStyle name="Accent3" xfId="179"/>
    <cellStyle name="Accent4" xfId="180"/>
    <cellStyle name="Accent5" xfId="181"/>
    <cellStyle name="Accent6" xfId="182"/>
    <cellStyle name="Bad" xfId="183"/>
    <cellStyle name="Buena" xfId="184"/>
    <cellStyle name="Buena 2" xfId="185"/>
    <cellStyle name="Buena 3" xfId="186"/>
    <cellStyle name="Buena 4" xfId="187"/>
    <cellStyle name="Buena 5" xfId="188"/>
    <cellStyle name="Buena 6" xfId="189"/>
    <cellStyle name="Buena 7" xfId="190"/>
    <cellStyle name="Buena 8" xfId="191"/>
    <cellStyle name="Calculation" xfId="192"/>
    <cellStyle name="Cálculo" xfId="193"/>
    <cellStyle name="Cálculo 2" xfId="194"/>
    <cellStyle name="Cálculo 3" xfId="195"/>
    <cellStyle name="Cálculo 4" xfId="196"/>
    <cellStyle name="Cálculo 5" xfId="197"/>
    <cellStyle name="Cálculo 6" xfId="198"/>
    <cellStyle name="Cálculo 7" xfId="199"/>
    <cellStyle name="Cálculo 8" xfId="200"/>
    <cellStyle name="Celda de comprobación" xfId="201"/>
    <cellStyle name="Celda de comprobación 2" xfId="202"/>
    <cellStyle name="Celda de comprobación 3" xfId="203"/>
    <cellStyle name="Celda de comprobación 4" xfId="204"/>
    <cellStyle name="Celda de comprobación 5" xfId="205"/>
    <cellStyle name="Celda de comprobación 6" xfId="206"/>
    <cellStyle name="Celda de comprobación 7" xfId="207"/>
    <cellStyle name="Celda de comprobación 8" xfId="208"/>
    <cellStyle name="Celda vinculada" xfId="209"/>
    <cellStyle name="Celda vinculada 2" xfId="210"/>
    <cellStyle name="Celda vinculada 3" xfId="211"/>
    <cellStyle name="Celda vinculada 4" xfId="212"/>
    <cellStyle name="Celda vinculada 5" xfId="213"/>
    <cellStyle name="Celda vinculada 6" xfId="214"/>
    <cellStyle name="Celda vinculada 7" xfId="215"/>
    <cellStyle name="Celda vinculada 8" xfId="216"/>
    <cellStyle name="Check Cell" xfId="217"/>
    <cellStyle name="Comma 2" xfId="218"/>
    <cellStyle name="Comma 3" xfId="219"/>
    <cellStyle name="Comma 4" xfId="220"/>
    <cellStyle name="Comma_HIV_Financial Reporting Template_Nov16" xfId="221"/>
    <cellStyle name="Currency 2" xfId="222"/>
    <cellStyle name="Encabezado 4" xfId="223"/>
    <cellStyle name="Encabezado 4 2" xfId="224"/>
    <cellStyle name="Encabezado 4 3" xfId="225"/>
    <cellStyle name="Encabezado 4 4" xfId="226"/>
    <cellStyle name="Encabezado 4 5" xfId="227"/>
    <cellStyle name="Encabezado 4 6" xfId="228"/>
    <cellStyle name="Encabezado 4 7" xfId="229"/>
    <cellStyle name="Encabezado 4 8" xfId="230"/>
    <cellStyle name="Énfasis1" xfId="231"/>
    <cellStyle name="Énfasis1 2" xfId="232"/>
    <cellStyle name="Énfasis1 3" xfId="233"/>
    <cellStyle name="Énfasis1 4" xfId="234"/>
    <cellStyle name="Énfasis1 5" xfId="235"/>
    <cellStyle name="Énfasis1 6" xfId="236"/>
    <cellStyle name="Énfasis1 7" xfId="237"/>
    <cellStyle name="Énfasis1 8" xfId="238"/>
    <cellStyle name="Énfasis2" xfId="239"/>
    <cellStyle name="Énfasis2 2" xfId="240"/>
    <cellStyle name="Énfasis2 3" xfId="241"/>
    <cellStyle name="Énfasis2 4" xfId="242"/>
    <cellStyle name="Énfasis2 5" xfId="243"/>
    <cellStyle name="Énfasis2 6" xfId="244"/>
    <cellStyle name="Énfasis2 7" xfId="245"/>
    <cellStyle name="Énfasis2 8" xfId="246"/>
    <cellStyle name="Énfasis3" xfId="247"/>
    <cellStyle name="Énfasis3 2" xfId="248"/>
    <cellStyle name="Énfasis3 3" xfId="249"/>
    <cellStyle name="Énfasis3 4" xfId="250"/>
    <cellStyle name="Énfasis3 5" xfId="251"/>
    <cellStyle name="Énfasis3 6" xfId="252"/>
    <cellStyle name="Énfasis3 7" xfId="253"/>
    <cellStyle name="Énfasis3 8" xfId="254"/>
    <cellStyle name="Énfasis4" xfId="255"/>
    <cellStyle name="Énfasis4 2" xfId="256"/>
    <cellStyle name="Énfasis4 3" xfId="257"/>
    <cellStyle name="Énfasis4 4" xfId="258"/>
    <cellStyle name="Énfasis4 5" xfId="259"/>
    <cellStyle name="Énfasis4 6" xfId="260"/>
    <cellStyle name="Énfasis4 7" xfId="261"/>
    <cellStyle name="Énfasis4 8" xfId="262"/>
    <cellStyle name="Énfasis5" xfId="263"/>
    <cellStyle name="Énfasis5 2" xfId="264"/>
    <cellStyle name="Énfasis5 3" xfId="265"/>
    <cellStyle name="Énfasis5 4" xfId="266"/>
    <cellStyle name="Énfasis5 5" xfId="267"/>
    <cellStyle name="Énfasis5 6" xfId="268"/>
    <cellStyle name="Énfasis5 7" xfId="269"/>
    <cellStyle name="Énfasis5 8" xfId="270"/>
    <cellStyle name="Énfasis6" xfId="271"/>
    <cellStyle name="Énfasis6 2" xfId="272"/>
    <cellStyle name="Énfasis6 3" xfId="273"/>
    <cellStyle name="Énfasis6 4" xfId="274"/>
    <cellStyle name="Énfasis6 5" xfId="275"/>
    <cellStyle name="Énfasis6 6" xfId="276"/>
    <cellStyle name="Énfasis6 7" xfId="277"/>
    <cellStyle name="Énfasis6 8" xfId="278"/>
    <cellStyle name="Entrada" xfId="279"/>
    <cellStyle name="Entrada 2" xfId="280"/>
    <cellStyle name="Entrada 3" xfId="281"/>
    <cellStyle name="Entrada 4" xfId="282"/>
    <cellStyle name="Entrada 5" xfId="283"/>
    <cellStyle name="Entrada 6" xfId="284"/>
    <cellStyle name="Entrada 7" xfId="285"/>
    <cellStyle name="Entrada 8" xfId="286"/>
    <cellStyle name="Euro" xfId="287"/>
    <cellStyle name="Euro 2" xfId="288"/>
    <cellStyle name="Euro 2 2" xfId="289"/>
    <cellStyle name="Euro 2 3" xfId="290"/>
    <cellStyle name="Euro 3" xfId="291"/>
    <cellStyle name="Euro 4" xfId="292"/>
    <cellStyle name="Euro 5" xfId="293"/>
    <cellStyle name="Euro 6" xfId="294"/>
    <cellStyle name="Euro 7" xfId="295"/>
    <cellStyle name="Euro 8" xfId="296"/>
    <cellStyle name="Euro 9" xfId="297"/>
    <cellStyle name="Euro_PROGRAMATICO R7F1" xfId="298"/>
    <cellStyle name="Explanatory Text" xfId="299"/>
    <cellStyle name="Good" xfId="300"/>
    <cellStyle name="Heading 1" xfId="301"/>
    <cellStyle name="Heading 2" xfId="302"/>
    <cellStyle name="Heading 3" xfId="303"/>
    <cellStyle name="Heading 4" xfId="304"/>
    <cellStyle name="Hyperlink" xfId="305"/>
    <cellStyle name="Followed Hyperlink" xfId="306"/>
    <cellStyle name="Incorrecto" xfId="307"/>
    <cellStyle name="Incorrecto 2" xfId="308"/>
    <cellStyle name="Incorrecto 3" xfId="309"/>
    <cellStyle name="Incorrecto 4" xfId="310"/>
    <cellStyle name="Incorrecto 5" xfId="311"/>
    <cellStyle name="Incorrecto 6" xfId="312"/>
    <cellStyle name="Incorrecto 7" xfId="313"/>
    <cellStyle name="Incorrecto 8" xfId="314"/>
    <cellStyle name="Input" xfId="315"/>
    <cellStyle name="Linked Cell" xfId="316"/>
    <cellStyle name="Comma" xfId="317"/>
    <cellStyle name="Comma [0]" xfId="318"/>
    <cellStyle name="Millares 10" xfId="319"/>
    <cellStyle name="Millares 15" xfId="320"/>
    <cellStyle name="Millares 17" xfId="321"/>
    <cellStyle name="Millares 2" xfId="322"/>
    <cellStyle name="Millares 2 2" xfId="323"/>
    <cellStyle name="Millares 2 3" xfId="324"/>
    <cellStyle name="Millares 2_Detailed assumptions" xfId="325"/>
    <cellStyle name="Millares 21" xfId="326"/>
    <cellStyle name="Millares 22" xfId="327"/>
    <cellStyle name="Millares 23" xfId="328"/>
    <cellStyle name="Millares 28" xfId="329"/>
    <cellStyle name="Millares 29" xfId="330"/>
    <cellStyle name="Millares 30" xfId="331"/>
    <cellStyle name="Millares 31" xfId="332"/>
    <cellStyle name="Currency" xfId="333"/>
    <cellStyle name="Currency [0]" xfId="334"/>
    <cellStyle name="Moneda 10" xfId="335"/>
    <cellStyle name="Moneda 11" xfId="336"/>
    <cellStyle name="Neutral" xfId="337"/>
    <cellStyle name="Neutral 2" xfId="338"/>
    <cellStyle name="Neutral 3" xfId="339"/>
    <cellStyle name="Neutral 4" xfId="340"/>
    <cellStyle name="Neutral 5" xfId="341"/>
    <cellStyle name="Neutral 6" xfId="342"/>
    <cellStyle name="Neutral 7" xfId="343"/>
    <cellStyle name="Neutral 8" xfId="344"/>
    <cellStyle name="Normal 10" xfId="345"/>
    <cellStyle name="Normal 100 3" xfId="346"/>
    <cellStyle name="Normal 104" xfId="347"/>
    <cellStyle name="Normal 106 2" xfId="348"/>
    <cellStyle name="Normal 107" xfId="349"/>
    <cellStyle name="Normal 11" xfId="350"/>
    <cellStyle name="Normal 113" xfId="351"/>
    <cellStyle name="Normal 116" xfId="352"/>
    <cellStyle name="Normal 117" xfId="353"/>
    <cellStyle name="Normal 12" xfId="354"/>
    <cellStyle name="Normal 124" xfId="355"/>
    <cellStyle name="Normal 125" xfId="356"/>
    <cellStyle name="Normal 126" xfId="357"/>
    <cellStyle name="Normal 127" xfId="358"/>
    <cellStyle name="Normal 13" xfId="359"/>
    <cellStyle name="Normal 130" xfId="360"/>
    <cellStyle name="Normal 131" xfId="361"/>
    <cellStyle name="Normal 132" xfId="362"/>
    <cellStyle name="Normal 134" xfId="363"/>
    <cellStyle name="Normal 135" xfId="364"/>
    <cellStyle name="Normal 136" xfId="365"/>
    <cellStyle name="Normal 137" xfId="366"/>
    <cellStyle name="Normal 138" xfId="367"/>
    <cellStyle name="Normal 139" xfId="368"/>
    <cellStyle name="Normal 14" xfId="369"/>
    <cellStyle name="Normal 140" xfId="370"/>
    <cellStyle name="Normal 16" xfId="371"/>
    <cellStyle name="Normal 17" xfId="372"/>
    <cellStyle name="Normal 19" xfId="373"/>
    <cellStyle name="Normal 2" xfId="374"/>
    <cellStyle name="Normal 2 2" xfId="375"/>
    <cellStyle name="Normal 2 3" xfId="376"/>
    <cellStyle name="Normal 2 4" xfId="377"/>
    <cellStyle name="Normal 2 5" xfId="378"/>
    <cellStyle name="Normal 2 6" xfId="379"/>
    <cellStyle name="Normal 2 7" xfId="380"/>
    <cellStyle name="Normal 2 8" xfId="381"/>
    <cellStyle name="Normal 2 85" xfId="382"/>
    <cellStyle name="Normal 2_Detailed assumptions" xfId="383"/>
    <cellStyle name="Normal 21" xfId="384"/>
    <cellStyle name="Normal 22" xfId="385"/>
    <cellStyle name="Normal 23" xfId="386"/>
    <cellStyle name="Normal 24" xfId="387"/>
    <cellStyle name="Normal 26" xfId="388"/>
    <cellStyle name="Normal 27" xfId="389"/>
    <cellStyle name="Normal 28" xfId="390"/>
    <cellStyle name="Normal 3" xfId="391"/>
    <cellStyle name="Normal 37" xfId="392"/>
    <cellStyle name="Normal 39 6" xfId="393"/>
    <cellStyle name="Normal 4" xfId="394"/>
    <cellStyle name="Normal 41" xfId="395"/>
    <cellStyle name="Normal 43" xfId="396"/>
    <cellStyle name="Normal 44" xfId="397"/>
    <cellStyle name="Normal 44 7" xfId="398"/>
    <cellStyle name="Normal 45" xfId="399"/>
    <cellStyle name="Normal 48" xfId="400"/>
    <cellStyle name="Normal 49" xfId="401"/>
    <cellStyle name="Normal 5" xfId="402"/>
    <cellStyle name="Normal 55" xfId="403"/>
    <cellStyle name="Normal 6" xfId="404"/>
    <cellStyle name="Normal 7" xfId="405"/>
    <cellStyle name="Normal 79" xfId="406"/>
    <cellStyle name="Normal 8" xfId="407"/>
    <cellStyle name="Normal 82" xfId="408"/>
    <cellStyle name="Normal 83" xfId="409"/>
    <cellStyle name="Normal 85" xfId="410"/>
    <cellStyle name="Normal 86" xfId="411"/>
    <cellStyle name="Normal 87" xfId="412"/>
    <cellStyle name="Normal 88 6" xfId="413"/>
    <cellStyle name="Normal 89" xfId="414"/>
    <cellStyle name="Normal 9" xfId="415"/>
    <cellStyle name="Normal 90" xfId="416"/>
    <cellStyle name="Normal 92" xfId="417"/>
    <cellStyle name="Normal 94" xfId="418"/>
    <cellStyle name="Normal 97" xfId="419"/>
    <cellStyle name="Normal 98 3" xfId="420"/>
    <cellStyle name="Normal_aps" xfId="421"/>
    <cellStyle name="Normal_Hoja1" xfId="422"/>
    <cellStyle name="Normal_Template for Summary budgets Generic" xfId="423"/>
    <cellStyle name="Notas" xfId="424"/>
    <cellStyle name="Notas 2" xfId="425"/>
    <cellStyle name="Notas 3" xfId="426"/>
    <cellStyle name="Notas 4" xfId="427"/>
    <cellStyle name="Notas 5" xfId="428"/>
    <cellStyle name="Notas 6" xfId="429"/>
    <cellStyle name="Notas 7" xfId="430"/>
    <cellStyle name="Notas 8" xfId="431"/>
    <cellStyle name="Note" xfId="432"/>
    <cellStyle name="Output" xfId="433"/>
    <cellStyle name="Percent" xfId="434"/>
    <cellStyle name="Salida" xfId="435"/>
    <cellStyle name="Salida 2" xfId="436"/>
    <cellStyle name="Salida 3" xfId="437"/>
    <cellStyle name="Salida 4" xfId="438"/>
    <cellStyle name="Salida 5" xfId="439"/>
    <cellStyle name="Salida 6" xfId="440"/>
    <cellStyle name="Salida 7" xfId="441"/>
    <cellStyle name="Salida 8" xfId="442"/>
    <cellStyle name="Texto de advertencia" xfId="443"/>
    <cellStyle name="Texto de advertencia 2" xfId="444"/>
    <cellStyle name="Texto de advertencia 3" xfId="445"/>
    <cellStyle name="Texto de advertencia 4" xfId="446"/>
    <cellStyle name="Texto de advertencia 5" xfId="447"/>
    <cellStyle name="Texto de advertencia 6" xfId="448"/>
    <cellStyle name="Texto de advertencia 7" xfId="449"/>
    <cellStyle name="Texto de advertencia 8" xfId="450"/>
    <cellStyle name="Texto explicativo" xfId="451"/>
    <cellStyle name="Texto explicativo 2" xfId="452"/>
    <cellStyle name="Texto explicativo 3" xfId="453"/>
    <cellStyle name="Texto explicativo 4" xfId="454"/>
    <cellStyle name="Texto explicativo 5" xfId="455"/>
    <cellStyle name="Texto explicativo 6" xfId="456"/>
    <cellStyle name="Texto explicativo 7" xfId="457"/>
    <cellStyle name="Texto explicativo 8" xfId="458"/>
    <cellStyle name="Title" xfId="459"/>
    <cellStyle name="Título" xfId="460"/>
    <cellStyle name="Título 1" xfId="461"/>
    <cellStyle name="Título 1 2" xfId="462"/>
    <cellStyle name="Título 1 3" xfId="463"/>
    <cellStyle name="Título 1 4" xfId="464"/>
    <cellStyle name="Título 1 5" xfId="465"/>
    <cellStyle name="Título 1 6" xfId="466"/>
    <cellStyle name="Título 1 7" xfId="467"/>
    <cellStyle name="Título 1 8" xfId="468"/>
    <cellStyle name="Título 10" xfId="469"/>
    <cellStyle name="Título 2" xfId="470"/>
    <cellStyle name="Título 2 2" xfId="471"/>
    <cellStyle name="Título 2 3" xfId="472"/>
    <cellStyle name="Título 2 4" xfId="473"/>
    <cellStyle name="Título 2 5" xfId="474"/>
    <cellStyle name="Título 2 6" xfId="475"/>
    <cellStyle name="Título 2 7" xfId="476"/>
    <cellStyle name="Título 2 8" xfId="477"/>
    <cellStyle name="Título 3" xfId="478"/>
    <cellStyle name="Título 3 2" xfId="479"/>
    <cellStyle name="Título 3 3" xfId="480"/>
    <cellStyle name="Título 3 4" xfId="481"/>
    <cellStyle name="Título 3 5" xfId="482"/>
    <cellStyle name="Título 3 6" xfId="483"/>
    <cellStyle name="Título 3 7" xfId="484"/>
    <cellStyle name="Título 3 8" xfId="485"/>
    <cellStyle name="Título 4" xfId="486"/>
    <cellStyle name="Título 5" xfId="487"/>
    <cellStyle name="Título 6" xfId="488"/>
    <cellStyle name="Título 7" xfId="489"/>
    <cellStyle name="Título 8" xfId="490"/>
    <cellStyle name="Título 9" xfId="491"/>
    <cellStyle name="Total" xfId="492"/>
    <cellStyle name="Total 2" xfId="493"/>
    <cellStyle name="Total 3" xfId="494"/>
    <cellStyle name="Total 4" xfId="495"/>
    <cellStyle name="Total 5" xfId="496"/>
    <cellStyle name="Total 6" xfId="497"/>
    <cellStyle name="Total 7" xfId="498"/>
    <cellStyle name="Total 8" xfId="499"/>
    <cellStyle name="Warning Text" xfId="500"/>
  </cellStyles>
  <dxfs count="123">
    <dxf>
      <font>
        <color indexed="10"/>
      </font>
    </dxf>
    <dxf>
      <fill>
        <patternFill patternType="solid">
          <fgColor indexed="34"/>
          <bgColor indexed="47"/>
        </patternFill>
      </fill>
    </dxf>
    <dxf>
      <fill>
        <patternFill patternType="solid">
          <fgColor indexed="34"/>
          <bgColor indexed="47"/>
        </patternFill>
      </fill>
    </dxf>
    <dxf>
      <fill>
        <patternFill patternType="solid">
          <fgColor indexed="26"/>
          <bgColor indexed="9"/>
        </patternFill>
      </fill>
    </dxf>
    <dxf>
      <fill>
        <patternFill patternType="solid">
          <fgColor indexed="26"/>
          <bgColor indexed="9"/>
        </patternFill>
      </fill>
    </dxf>
    <dxf>
      <font>
        <b val="0"/>
        <color indexed="8"/>
      </font>
      <fill>
        <patternFill patternType="solid">
          <fgColor indexed="9"/>
          <bgColor indexed="26"/>
        </patternFill>
      </fill>
    </dxf>
    <dxf>
      <font>
        <b val="0"/>
        <color indexed="8"/>
      </font>
      <fill>
        <patternFill patternType="solid">
          <fgColor indexed="9"/>
          <bgColor indexed="26"/>
        </patternFill>
      </fill>
    </dxf>
    <dxf>
      <font>
        <b val="0"/>
        <color indexed="8"/>
      </font>
      <fill>
        <patternFill patternType="solid">
          <fgColor indexed="9"/>
          <bgColor indexed="26"/>
        </patternFill>
      </fill>
    </dxf>
    <dxf>
      <font>
        <b val="0"/>
        <color indexed="8"/>
      </font>
      <fill>
        <patternFill patternType="solid">
          <fgColor indexed="9"/>
          <bgColor indexed="26"/>
        </patternFill>
      </fill>
    </dxf>
    <dxf>
      <font>
        <b val="0"/>
        <color indexed="8"/>
      </font>
      <fill>
        <patternFill patternType="solid">
          <fgColor indexed="9"/>
          <bgColor indexed="26"/>
        </patternFill>
      </fill>
    </dxf>
    <dxf>
      <font>
        <b val="0"/>
        <color indexed="41"/>
      </font>
    </dxf>
    <dxf>
      <font>
        <b val="0"/>
        <color indexed="41"/>
      </font>
    </dxf>
    <dxf>
      <font>
        <b val="0"/>
        <color indexed="41"/>
      </font>
    </dxf>
    <dxf>
      <font>
        <b val="0"/>
        <i val="0"/>
        <color indexed="10"/>
      </font>
    </dxf>
    <dxf>
      <font>
        <b/>
        <i val="0"/>
        <color indexed="10"/>
      </font>
    </dxf>
    <dxf>
      <font>
        <b val="0"/>
        <i val="0"/>
        <color indexed="10"/>
      </font>
    </dxf>
    <dxf>
      <font>
        <b/>
        <i val="0"/>
        <color indexed="10"/>
      </font>
    </dxf>
    <dxf>
      <fill>
        <patternFill patternType="solid">
          <fgColor indexed="34"/>
          <bgColor indexed="47"/>
        </patternFill>
      </fill>
    </dxf>
    <dxf>
      <font>
        <b val="0"/>
        <i val="0"/>
        <color indexed="10"/>
      </font>
    </dxf>
    <dxf>
      <font>
        <b/>
        <i val="0"/>
        <color indexed="10"/>
      </font>
    </dxf>
    <dxf>
      <font>
        <b val="0"/>
        <i val="0"/>
        <color indexed="10"/>
      </font>
    </dxf>
    <dxf>
      <font>
        <b/>
        <i val="0"/>
        <color indexed="10"/>
      </font>
    </dxf>
    <dxf>
      <fill>
        <patternFill patternType="solid">
          <fgColor indexed="9"/>
          <bgColor indexed="41"/>
        </patternFill>
      </fill>
    </dxf>
    <dxf>
      <fill>
        <patternFill patternType="solid">
          <fgColor indexed="9"/>
          <bgColor indexed="26"/>
        </patternFill>
      </fill>
    </dxf>
    <dxf>
      <fill>
        <patternFill patternType="solid">
          <fgColor indexed="9"/>
          <bgColor indexed="26"/>
        </patternFill>
      </fill>
    </dxf>
    <dxf>
      <fill>
        <patternFill patternType="solid">
          <fgColor indexed="26"/>
          <bgColor indexed="43"/>
        </patternFill>
      </fill>
    </dxf>
    <dxf>
      <fill>
        <patternFill patternType="solid">
          <fgColor indexed="9"/>
          <bgColor indexed="41"/>
        </patternFill>
      </fill>
    </dxf>
    <dxf>
      <fill>
        <patternFill patternType="solid">
          <fgColor indexed="9"/>
          <bgColor indexed="26"/>
        </patternFill>
      </fill>
    </dxf>
    <dxf>
      <fill>
        <patternFill patternType="solid">
          <fgColor indexed="9"/>
          <bgColor indexed="41"/>
        </patternFill>
      </fill>
    </dxf>
    <dxf>
      <fill>
        <patternFill patternType="solid">
          <fgColor indexed="9"/>
          <bgColor indexed="26"/>
        </patternFill>
      </fill>
    </dxf>
    <dxf>
      <fill>
        <patternFill patternType="solid">
          <fgColor indexed="34"/>
          <bgColor indexed="47"/>
        </patternFill>
      </fill>
    </dxf>
    <dxf>
      <fill>
        <patternFill patternType="solid">
          <fgColor indexed="34"/>
          <bgColor indexed="47"/>
        </patternFill>
      </fill>
    </dxf>
    <dxf>
      <fill>
        <patternFill patternType="solid">
          <fgColor indexed="34"/>
          <bgColor indexed="47"/>
        </patternFill>
      </fill>
    </dxf>
    <dxf>
      <fill>
        <patternFill patternType="solid">
          <fgColor indexed="26"/>
          <bgColor indexed="9"/>
        </patternFill>
      </fill>
    </dxf>
    <dxf>
      <font>
        <b val="0"/>
        <color indexed="41"/>
      </font>
    </dxf>
    <dxf>
      <font>
        <b val="0"/>
        <color indexed="41"/>
      </font>
    </dxf>
    <dxf>
      <font>
        <b val="0"/>
        <color indexed="41"/>
      </font>
    </dxf>
    <dxf>
      <font>
        <b val="0"/>
        <color indexed="41"/>
      </font>
    </dxf>
    <dxf>
      <font>
        <b val="0"/>
        <color indexed="41"/>
      </font>
    </dxf>
    <dxf>
      <font>
        <b val="0"/>
        <color indexed="41"/>
      </font>
    </dxf>
    <dxf>
      <font>
        <b val="0"/>
        <i val="0"/>
        <color indexed="10"/>
      </font>
    </dxf>
    <dxf>
      <font>
        <b val="0"/>
        <i val="0"/>
        <color indexed="10"/>
      </font>
    </dxf>
    <dxf>
      <font>
        <b/>
        <i val="0"/>
        <color indexed="10"/>
      </font>
    </dxf>
    <dxf>
      <fill>
        <patternFill patternType="solid">
          <fgColor indexed="34"/>
          <bgColor indexed="47"/>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ont>
        <b val="0"/>
        <color indexed="8"/>
      </font>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ont>
        <b val="0"/>
        <i val="0"/>
        <color indexed="10"/>
      </font>
    </dxf>
    <dxf>
      <font>
        <b/>
        <i val="0"/>
        <color indexed="10"/>
      </font>
    </dxf>
    <dxf>
      <fill>
        <patternFill patternType="solid">
          <fgColor indexed="9"/>
          <bgColor indexed="41"/>
        </patternFill>
      </fill>
    </dxf>
    <dxf>
      <fill>
        <patternFill patternType="solid">
          <fgColor indexed="9"/>
          <bgColor indexed="26"/>
        </patternFill>
      </fill>
    </dxf>
    <dxf>
      <fill>
        <patternFill patternType="solid">
          <fgColor indexed="9"/>
          <bgColor indexed="26"/>
        </patternFill>
      </fill>
    </dxf>
    <dxf>
      <fill>
        <patternFill patternType="solid">
          <fgColor indexed="34"/>
          <bgColor indexed="22"/>
        </patternFill>
      </fill>
    </dxf>
    <dxf>
      <fill>
        <patternFill patternType="solid">
          <fgColor indexed="34"/>
          <bgColor indexed="22"/>
        </patternFill>
      </fill>
    </dxf>
    <dxf>
      <fill>
        <patternFill patternType="solid">
          <fgColor indexed="9"/>
          <bgColor indexed="26"/>
        </patternFill>
      </fill>
    </dxf>
    <dxf>
      <fill>
        <patternFill patternType="solid">
          <fgColor indexed="9"/>
          <bgColor indexed="41"/>
        </patternFill>
      </fill>
    </dxf>
    <dxf>
      <fill>
        <patternFill patternType="solid">
          <fgColor indexed="9"/>
          <bgColor indexed="26"/>
        </patternFill>
      </fill>
    </dxf>
    <dxf>
      <fill>
        <patternFill patternType="solid">
          <fgColor indexed="9"/>
          <bgColor indexed="26"/>
        </patternFill>
      </fill>
    </dxf>
    <dxf>
      <fill>
        <patternFill patternType="solid">
          <fgColor indexed="34"/>
          <bgColor indexed="22"/>
        </patternFill>
      </fill>
    </dxf>
    <dxf>
      <fill>
        <patternFill patternType="solid">
          <fgColor indexed="9"/>
          <bgColor indexed="26"/>
        </patternFill>
      </fill>
    </dxf>
    <dxf>
      <fill>
        <patternFill patternType="solid">
          <fgColor indexed="34"/>
          <bgColor indexed="22"/>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34"/>
          <bgColor indexed="22"/>
        </patternFill>
      </fill>
    </dxf>
    <dxf>
      <fill>
        <patternFill patternType="solid">
          <fgColor indexed="9"/>
          <bgColor indexed="26"/>
        </patternFill>
      </fill>
    </dxf>
    <dxf>
      <fill>
        <patternFill patternType="solid">
          <fgColor indexed="34"/>
          <bgColor indexed="22"/>
        </patternFill>
      </fill>
    </dxf>
    <dxf>
      <fill>
        <patternFill patternType="solid">
          <fgColor indexed="9"/>
          <bgColor indexed="26"/>
        </patternFill>
      </fill>
    </dxf>
    <dxf>
      <fill>
        <patternFill patternType="solid">
          <fgColor indexed="34"/>
          <bgColor indexed="22"/>
        </patternFill>
      </fill>
    </dxf>
    <dxf>
      <fill>
        <patternFill patternType="solid">
          <fgColor indexed="9"/>
          <bgColor indexed="26"/>
        </patternFill>
      </fill>
    </dxf>
    <dxf>
      <fill>
        <patternFill patternType="solid">
          <fgColor indexed="34"/>
          <bgColor indexed="22"/>
        </patternFill>
      </fill>
    </dxf>
    <dxf>
      <fill>
        <patternFill patternType="solid">
          <fgColor indexed="34"/>
          <bgColor indexed="22"/>
        </patternFill>
      </fill>
    </dxf>
    <dxf>
      <fill>
        <patternFill patternType="solid">
          <fgColor indexed="9"/>
          <bgColor indexed="26"/>
        </patternFill>
      </fill>
    </dxf>
    <dxf>
      <fill>
        <patternFill patternType="solid">
          <fgColor indexed="9"/>
          <bgColor indexed="41"/>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34"/>
          <bgColor indexed="22"/>
        </patternFill>
      </fill>
    </dxf>
    <dxf>
      <fill>
        <patternFill patternType="solid">
          <fgColor indexed="9"/>
          <bgColor indexed="26"/>
        </patternFill>
      </fill>
    </dxf>
    <dxf>
      <fill>
        <patternFill patternType="solid">
          <fgColor indexed="34"/>
          <bgColor indexed="22"/>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26"/>
        </patternFill>
      </fill>
    </dxf>
    <dxf>
      <fill>
        <patternFill patternType="solid">
          <fgColor indexed="9"/>
          <bgColor indexed="41"/>
        </patternFill>
      </fill>
    </dxf>
    <dxf>
      <fill>
        <patternFill patternType="solid">
          <fgColor indexed="9"/>
          <bgColor indexed="26"/>
        </patternFill>
      </fill>
    </dxf>
    <dxf>
      <fill>
        <patternFill patternType="solid">
          <fgColor indexed="9"/>
          <bgColor indexed="41"/>
        </patternFill>
      </fill>
    </dxf>
    <dxf>
      <fill>
        <patternFill patternType="solid">
          <fgColor indexed="9"/>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6A6A6"/>
      <rgbColor rgb="00993366"/>
      <rgbColor rgb="00FFFFCC"/>
      <rgbColor rgb="00CCFFFF"/>
      <rgbColor rgb="00660066"/>
      <rgbColor rgb="00FF8080"/>
      <rgbColor rgb="000066CC"/>
      <rgbColor rgb="00CCCCFF"/>
      <rgbColor rgb="00000080"/>
      <rgbColor rgb="00FF00FF"/>
      <rgbColor rgb="00C4C4C3"/>
      <rgbColor rgb="0000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86A686"/>
      <rgbColor rgb="00003366"/>
      <rgbColor rgb="00339966"/>
      <rgbColor rgb="00131312"/>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externalLink" Target="externalLinks/externalLink5.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1</xdr:col>
      <xdr:colOff>9525</xdr:colOff>
      <xdr:row>46</xdr:row>
      <xdr:rowOff>180975</xdr:rowOff>
    </xdr:to>
    <xdr:pic>
      <xdr:nvPicPr>
        <xdr:cNvPr id="1" name="Picture 1"/>
        <xdr:cNvPicPr preferRelativeResize="1">
          <a:picLocks noChangeAspect="1"/>
        </xdr:cNvPicPr>
      </xdr:nvPicPr>
      <xdr:blipFill>
        <a:blip r:embed="rId1"/>
        <a:stretch>
          <a:fillRect/>
        </a:stretch>
      </xdr:blipFill>
      <xdr:spPr>
        <a:xfrm>
          <a:off x="257175" y="10258425"/>
          <a:ext cx="95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ara%20el%20alfs6\Nueva%20carpeta\Users\jcramirez\AppData\Local\Microsoft\Windows\Temporary%20Internet%20Files\Content.Outlook\W81SOQS1\Users\chenneuse\AppData\Local\Microsoft\Windows\Temporary%20Internet%20Files\Content.Outlook\LX8CLMNA\Malaria_Financial%20Reporting%20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ara%20el%20alfs6\Nueva%20carpeta\Users\jcramirez\AppData\Local\Microsoft\Windows\Temporary%20Internet%20Files\Content.Outlook\W81SOQS1\Users\chenneuse\AppData\Local\Microsoft\Windows\Temporary%20Internet%20Files\Content.Outlook\LX8CLMNA\TB_Financial%20Reporting%20Templa"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ara%20el%20alfs6\Nueva%20carpeta\Users\jcramirez\AppData\Local\Microsoft\Windows\Temporary%20Internet%20Files\Content.Outlook\W81SOQS1\Documents%20and%20Settings\gallabergenova\Local%20Settings\Temporary%20Internet%20Files\OLK40\NGA-809-G11-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OS%20FASE2\Informes%20fase%202\SEMESTRE%2010\ALFS10\informe_mejorado_-.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mimcorleto\AppData\Local\Microsoft\Windows\Temporary%20Internet%20Files\Content.Outlook\1EUO6CIT\para%20el%20alfs6\Nueva%20carpeta\tmp\PUDR_Ronda_9%20_S6_%20(21agost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LARIA_Financial Data"/>
      <sheetName val="Definitions"/>
      <sheetName val="Annex 1"/>
      <sheetName val="Annex 2"/>
      <sheetName val="Annex 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B_Financial Data"/>
      <sheetName val="Definitions"/>
      <sheetName val="Annex 1"/>
      <sheetName val="Annex 2"/>
      <sheetName val="Annex 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_Cover Sheet"/>
      <sheetName val="PR_Programmatic Progress_1A"/>
      <sheetName val="PR_Programmatic Progress_1B"/>
      <sheetName val="PR_Grant Management_2"/>
      <sheetName val="PR_Total PR Cash Outflow_3A"/>
      <sheetName val="PR_Procurement Info_3B"/>
      <sheetName val="PR_Cash Reconciliation_4A"/>
      <sheetName val="PR_Disbursement Request_4B"/>
      <sheetName val="PR_Overall Performance_5"/>
      <sheetName val="PR_Cash Request_6A&amp;B"/>
      <sheetName val="PR_Bank Details_6C"/>
      <sheetName val="PR_Annex_SR-Financials"/>
      <sheetName val="LFA_Cover Sheet"/>
      <sheetName val="LFA_Programmatic Progress_1A"/>
      <sheetName val="LFA_Programmatic Progress_1B"/>
      <sheetName val="LFA_Grant Management_2"/>
      <sheetName val="LFA_Total PR Cash Outflow_3A"/>
      <sheetName val="LFA_Procurement Info_3B"/>
      <sheetName val="LFA_Findings&amp;Recommendations_4"/>
      <sheetName val="LFA_Cash Reconciliation_5A"/>
      <sheetName val="LFA_Disbursement Request_5B"/>
      <sheetName val="Sheet1"/>
      <sheetName val="LFA_Overall Performance_6"/>
      <sheetName val="LFA_DisbursementRecommendation7"/>
      <sheetName val="LFA_Bank Details_7D"/>
      <sheetName val="LFA_Annex-SR Financials"/>
      <sheetName val="LFA_Signature (image)"/>
      <sheetName val="Memo HIV"/>
      <sheetName val="Memo TB"/>
      <sheetName val="Memo Malari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Hoja2"/>
    </sheetNames>
    <sheetDataSet>
      <sheetData sheetId="1">
        <row r="14">
          <cell r="D14">
            <v>53363.17</v>
          </cell>
        </row>
        <row r="15">
          <cell r="D15">
            <v>100125.81</v>
          </cell>
        </row>
        <row r="16">
          <cell r="D16">
            <v>36534.39</v>
          </cell>
        </row>
        <row r="17">
          <cell r="D17">
            <v>51736.22</v>
          </cell>
        </row>
        <row r="18">
          <cell r="D18">
            <v>41671.590000000004</v>
          </cell>
        </row>
        <row r="19">
          <cell r="D19">
            <v>0</v>
          </cell>
        </row>
        <row r="21">
          <cell r="D21">
            <v>43242.54</v>
          </cell>
        </row>
        <row r="22">
          <cell r="D22">
            <v>114777.31999999999</v>
          </cell>
        </row>
        <row r="23">
          <cell r="D23">
            <v>0</v>
          </cell>
        </row>
        <row r="24">
          <cell r="D24">
            <v>0</v>
          </cell>
        </row>
        <row r="25">
          <cell r="D25">
            <v>9493.62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
      <sheetName val="PR_Programmatic Progress_1A"/>
      <sheetName val="PR_Programmatic Progress_1B"/>
      <sheetName val="PR_Grant Management_2"/>
      <sheetName val="PR_Total PR Cash Outflow_3A"/>
      <sheetName val="EFR TB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Memo HIV"/>
      <sheetName val="Memo TB"/>
      <sheetName val="Memo Malaria"/>
      <sheetName val="Definitions-lists-EFR"/>
      <sheetName val="Sheet2"/>
    </sheetNames>
    <sheetDataSet>
      <sheetData sheetId="1">
        <row r="7">
          <cell r="C7" t="str">
            <v>SLV-910-G08-T</v>
          </cell>
        </row>
        <row r="12">
          <cell r="D12" t="str">
            <v>Semestral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hyperlink" Target="file://C:\Documents%20and%20Settings\gflores\Configuraci&#65533;n%20local\Temp\CONSOLIDADO%2015%20%%20Y%2030%20DE%20ABRIL\COTIZACIONES%20PAR%20EL%2015%20%\ANEXO%207%20%20FILTROS%20PARA%20CAMARAS.pdf" TargetMode="External" /><Relationship Id="rId2" Type="http://schemas.openxmlformats.org/officeDocument/2006/relationships/hyperlink" Target="file://C:\Documents%20and%20Settings\gflores\Configuraci&#65533;n%20local\Temp\CONSOLIDADO%2015%20%%20Y%2030%20DE%20ABRIL\COTIZACIONES%20PAR%20EL%2015%20%\ANEXO%205%20%20%20MICROSCOPIOS%20entregados.doc" TargetMode="External" /><Relationship Id="rId3" Type="http://schemas.openxmlformats.org/officeDocument/2006/relationships/hyperlink" Target="file://C:\Documents%20and%20Settings\gflores\Configuraci&#65533;n%20local\Temp\CONSOLIDADO%2015%20%%20Y%2030%20DE%20ABRIL\COTIZACIONES%20PAR%20EL%2015%20%\ANEXO%206%20%20100%20x,%20LED%20Y%20TARJETAS.pdf" TargetMode="External" /><Relationship Id="rId4" Type="http://schemas.openxmlformats.org/officeDocument/2006/relationships/hyperlink" Target="file://C:\Documents%20and%20Settings\gflores\Configuraci&#65533;n%20local\Temp\CONSOLIDADO%2015%20%%20Y%2030%20DE%20ABRIL\COTIZACIONES%20PAR%20EL%2015%20%\ANEXO%206%20%20100%20x,%20LED%20Y%20TARJETAS.pdf" TargetMode="External" /><Relationship Id="rId5" Type="http://schemas.openxmlformats.org/officeDocument/2006/relationships/hyperlink" Target="file://C:\Documents%20and%20Settings\gflores\Configuraci&#65533;n%20local\Temp\CONSOLIDADO%2015%20%%20Y%2030%20DE%20ABRIL\COTIZACIONES%20PAR%20EL%2015%20%\ANEXO%207%20%20FILTROS%20PARA%20CAMARAS.pdf" TargetMode="External" /><Relationship Id="rId6" Type="http://schemas.openxmlformats.org/officeDocument/2006/relationships/hyperlink" Target="file://C:\Documents%20and%20Settings\gflores\Configuraci&#65533;n%20local\Temp\CONSOLIDADO%2015%20%%20Y%2030%20DE%20ABRIL\COTIZACIONES%20PAR%20EL%2015%20%\ANEXO%205%20%20%20MICROSCOPIOS%20entregados.doc" TargetMode="External" /><Relationship Id="rId7" Type="http://schemas.openxmlformats.org/officeDocument/2006/relationships/hyperlink" Target="file://C:\Documents%20and%20Settings\gflores\Configuraci&#65533;n%20local\Temp\CONSOLIDADO%2015%20%%20Y%2030%20DE%20ABRIL\COTIZACIONES%20PAR%20EL%2015%20%\ANEXO%206%20%20100%20x,%20LED%20Y%20TARJETAS.pdf" TargetMode="External" /><Relationship Id="rId8" Type="http://schemas.openxmlformats.org/officeDocument/2006/relationships/hyperlink" Target="file://C:\Documents%20and%20Settings\gflores\Configuraci&#65533;n%20local\Temp\CONSOLIDADO%2015%20%%20Y%2030%20DE%20ABRIL\COTIZACIONES%20PAR%20EL%2015%20%\ANEXO%2011%20%20mechero%20de%20alcohol.pdf" TargetMode="External" /><Relationship Id="rId9" Type="http://schemas.openxmlformats.org/officeDocument/2006/relationships/hyperlink" Target="file://C:\Documents%20and%20Settings\gflores\Configuraci&#65533;n%20local\Temp\CONSOLIDADO%2015%20%%20Y%2030%20DE%20ABRIL\COTIZACIONES%20PAR%20EL%2015%20%\ANEXO%206%20%20100%20x,%20LED%20Y%20TARJETAS.pdf" TargetMode="External" /><Relationship Id="rId10" Type="http://schemas.openxmlformats.org/officeDocument/2006/relationships/hyperlink" Target="file://C:\Documents%20and%20Settings\gflores\Configuraci&#65533;n%20local\Temp\CONSOLIDADO%2015%20%%20Y%2030%20DE%20ABRIL\COTIZACIONES%20PAR%20EL%2015%20%\ANEXO%2011%20%20mechero%20de%20alcohol.pdf" TargetMode="External" /><Relationship Id="rId11" Type="http://schemas.openxmlformats.org/officeDocument/2006/relationships/hyperlink" Target="file://C:\Documents%20and%20Settings\gflores\Configuraci&#65533;n%20local\Temp\CONSOLIDADO%2015%20%%20Y%2030%20DE%20ABRIL\COTIZACIONES%20PAR%20EL%2015%20%\ANEXO%206%20%20100%20x,%20LED%20Y%20TARJETAS.pdf"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D17"/>
  <sheetViews>
    <sheetView zoomScale="75" zoomScaleNormal="75" zoomScaleSheetLayoutView="85" zoomScalePageLayoutView="0" workbookViewId="0" topLeftCell="A1">
      <selection activeCell="A25" sqref="A25"/>
    </sheetView>
  </sheetViews>
  <sheetFormatPr defaultColWidth="9.140625" defaultRowHeight="12.75"/>
  <cols>
    <col min="1" max="1" width="144.00390625" style="1" customWidth="1"/>
    <col min="2" max="2" width="16.8515625" style="2" customWidth="1"/>
    <col min="3" max="3" width="10.140625" style="2" customWidth="1"/>
    <col min="4" max="4" width="1.1484375" style="2" customWidth="1"/>
    <col min="5" max="16384" width="9.140625" style="2" customWidth="1"/>
  </cols>
  <sheetData>
    <row r="1" spans="1:2" ht="61.5" customHeight="1">
      <c r="A1" s="1605" t="s">
        <v>0</v>
      </c>
      <c r="B1" s="1605"/>
    </row>
    <row r="2" spans="1:3" ht="25.5" customHeight="1">
      <c r="A2" s="3"/>
      <c r="B2" s="4"/>
      <c r="C2" s="5"/>
    </row>
    <row r="3" spans="1:2" ht="52.5" customHeight="1">
      <c r="A3" s="1606" t="s">
        <v>1</v>
      </c>
      <c r="B3" s="1606"/>
    </row>
    <row r="4" spans="1:4" ht="35.25" customHeight="1">
      <c r="A4" s="1607" t="s">
        <v>60</v>
      </c>
      <c r="B4" s="1607"/>
      <c r="C4" s="6"/>
      <c r="D4" s="6"/>
    </row>
    <row r="5" spans="1:4" ht="23.25" customHeight="1">
      <c r="A5" s="1607"/>
      <c r="B5" s="1607"/>
      <c r="C5" s="7"/>
      <c r="D5" s="7"/>
    </row>
    <row r="6" spans="1:4" ht="29.25" customHeight="1">
      <c r="A6" s="1607"/>
      <c r="B6" s="1607"/>
      <c r="C6" s="8"/>
      <c r="D6" s="8"/>
    </row>
    <row r="7" spans="1:4" ht="40.5" customHeight="1">
      <c r="A7" s="1607"/>
      <c r="B7" s="1607"/>
      <c r="C7" s="8"/>
      <c r="D7" s="8"/>
    </row>
    <row r="8" spans="1:4" ht="24" customHeight="1">
      <c r="A8" s="1607"/>
      <c r="B8" s="1607"/>
      <c r="C8" s="8"/>
      <c r="D8" s="8"/>
    </row>
    <row r="9" spans="1:4" ht="21" customHeight="1">
      <c r="A9" s="1607"/>
      <c r="B9" s="1607"/>
      <c r="C9" s="9"/>
      <c r="D9" s="9"/>
    </row>
    <row r="10" spans="1:4" ht="45" customHeight="1">
      <c r="A10" s="1607"/>
      <c r="B10" s="1607"/>
      <c r="C10" s="10"/>
      <c r="D10" s="10"/>
    </row>
    <row r="11" spans="1:4" ht="15.75" customHeight="1">
      <c r="A11" s="1607"/>
      <c r="B11" s="1607"/>
      <c r="C11" s="11"/>
      <c r="D11" s="11"/>
    </row>
    <row r="12" spans="1:4" ht="93.75" customHeight="1">
      <c r="A12" s="1607"/>
      <c r="B12" s="1607"/>
      <c r="C12" s="8"/>
      <c r="D12" s="8"/>
    </row>
    <row r="13" spans="1:4" ht="31.5" customHeight="1">
      <c r="A13" s="1607"/>
      <c r="B13" s="1607"/>
      <c r="C13" s="8"/>
      <c r="D13" s="8"/>
    </row>
    <row r="14" spans="1:4" ht="27.75" customHeight="1">
      <c r="A14" s="1607"/>
      <c r="B14" s="1607"/>
      <c r="C14" s="6"/>
      <c r="D14" s="6"/>
    </row>
    <row r="15" spans="1:4" ht="84.75" customHeight="1">
      <c r="A15" s="1607"/>
      <c r="B15" s="1607"/>
      <c r="C15" s="7"/>
      <c r="D15" s="7"/>
    </row>
    <row r="16" spans="1:4" ht="142.5" customHeight="1">
      <c r="A16" s="1607"/>
      <c r="B16" s="1607"/>
      <c r="C16" s="12"/>
      <c r="D16" s="12"/>
    </row>
    <row r="17" spans="1:4" ht="37.5" customHeight="1">
      <c r="A17" s="1608" t="s">
        <v>61</v>
      </c>
      <c r="B17" s="1608"/>
      <c r="C17" s="1608"/>
      <c r="D17" s="1608"/>
    </row>
  </sheetData>
  <sheetProtection password="92D1" sheet="1" selectLockedCells="1"/>
  <mergeCells count="4">
    <mergeCell ref="A1:B1"/>
    <mergeCell ref="A3:B3"/>
    <mergeCell ref="A4:B16"/>
    <mergeCell ref="A17:D17"/>
  </mergeCells>
  <printOptions horizontalCentered="1"/>
  <pageMargins left="0.7479166666666667" right="0.7479166666666667" top="0.5902777777777778" bottom="0.5902777777777777" header="0.5118055555555555" footer="0.5118055555555555"/>
  <pageSetup cellComments="atEnd" fitToHeight="1" fitToWidth="1" horizontalDpi="300" verticalDpi="300" orientation="landscape" paperSize="9"/>
  <headerFooter alignWithMargins="0">
    <oddFooter>&amp;L&amp;9&amp;F&amp;C&amp;A&amp;R&amp;9Page &amp;P of &amp;N</oddFooter>
  </headerFooter>
</worksheet>
</file>

<file path=xl/worksheets/sheet10.xml><?xml version="1.0" encoding="utf-8"?>
<worksheet xmlns="http://schemas.openxmlformats.org/spreadsheetml/2006/main" xmlns:r="http://schemas.openxmlformats.org/officeDocument/2006/relationships">
  <sheetPr>
    <tabColor indexed="11"/>
  </sheetPr>
  <dimension ref="A1:O30"/>
  <sheetViews>
    <sheetView showGridLines="0" view="pageBreakPreview" zoomScale="90" zoomScaleNormal="75" zoomScaleSheetLayoutView="90" zoomScalePageLayoutView="0" workbookViewId="0" topLeftCell="A12">
      <selection activeCell="A12" sqref="A12:O16"/>
    </sheetView>
  </sheetViews>
  <sheetFormatPr defaultColWidth="9.140625" defaultRowHeight="12.75"/>
  <cols>
    <col min="1" max="1" width="9.140625" style="2" customWidth="1"/>
    <col min="2" max="2" width="50.7109375" style="2" customWidth="1"/>
    <col min="3" max="3" width="22.421875" style="2" customWidth="1"/>
    <col min="4" max="4" width="16.7109375" style="2" customWidth="1"/>
    <col min="5" max="5" width="23.28125" style="2" customWidth="1"/>
    <col min="6" max="6" width="15.140625" style="2" customWidth="1"/>
    <col min="7" max="7" width="5.8515625" style="2" customWidth="1"/>
    <col min="8" max="8" width="9.140625" style="2" customWidth="1"/>
    <col min="9" max="9" width="14.00390625" style="2" customWidth="1"/>
    <col min="10" max="10" width="6.421875" style="2" customWidth="1"/>
    <col min="11" max="11" width="6.7109375" style="2" customWidth="1"/>
    <col min="12" max="12" width="2.8515625" style="2" customWidth="1"/>
    <col min="13" max="14" width="3.421875" style="2" customWidth="1"/>
    <col min="15" max="15" width="4.57421875" style="2" customWidth="1"/>
    <col min="16" max="16384" width="9.140625" style="2" customWidth="1"/>
  </cols>
  <sheetData>
    <row r="1" spans="1:11" ht="35.25" customHeight="1">
      <c r="A1" s="1614" t="s">
        <v>62</v>
      </c>
      <c r="B1" s="1614"/>
      <c r="C1" s="1614"/>
      <c r="D1" s="1614"/>
      <c r="E1" s="1614"/>
      <c r="F1" s="1614"/>
      <c r="G1" s="18"/>
      <c r="H1" s="18"/>
      <c r="I1" s="19"/>
      <c r="J1" s="19"/>
      <c r="K1" s="19"/>
    </row>
    <row r="2" ht="15.75">
      <c r="A2" s="72" t="s">
        <v>182</v>
      </c>
    </row>
    <row r="3" spans="1:11" ht="15.75" customHeight="1">
      <c r="A3" s="1672" t="s">
        <v>74</v>
      </c>
      <c r="B3" s="1672"/>
      <c r="C3" s="1762" t="str">
        <f>IF('LFA_Programmatic Progress_1A'!C7="","",'LFA_Programmatic Progress_1A'!C7)</f>
        <v>SLV-910-G08-T</v>
      </c>
      <c r="D3" s="1762"/>
      <c r="E3" s="1762"/>
      <c r="F3" s="1762"/>
      <c r="G3" s="75"/>
      <c r="H3" s="75"/>
      <c r="I3" s="75"/>
      <c r="J3" s="75"/>
      <c r="K3" s="75"/>
    </row>
    <row r="4" spans="1:11" ht="15">
      <c r="A4" s="90" t="s">
        <v>680</v>
      </c>
      <c r="B4" s="91"/>
      <c r="C4" s="92" t="s">
        <v>88</v>
      </c>
      <c r="D4" s="122" t="str">
        <f>IF('LFA_Programmatic Progress_1A'!D12="Select","",'LFA_Programmatic Progress_1A'!D12)</f>
        <v>Semestral</v>
      </c>
      <c r="E4" s="93" t="s">
        <v>90</v>
      </c>
      <c r="F4" s="123">
        <f>IF('LFA_Programmatic Progress_1A'!F12="Select","",'LFA_Programmatic Progress_1A'!F12)</f>
        <v>10</v>
      </c>
      <c r="G4" s="75"/>
      <c r="H4" s="75"/>
      <c r="I4" s="75"/>
      <c r="J4" s="75"/>
      <c r="K4" s="75"/>
    </row>
    <row r="5" spans="1:11" ht="15">
      <c r="A5" s="94" t="s">
        <v>91</v>
      </c>
      <c r="B5" s="95"/>
      <c r="C5" s="96" t="s">
        <v>681</v>
      </c>
      <c r="D5" s="124">
        <f>IF('LFA_Programmatic Progress_1A'!D13="","",'LFA_Programmatic Progress_1A'!D13)</f>
        <v>42005</v>
      </c>
      <c r="E5" s="93" t="s">
        <v>93</v>
      </c>
      <c r="F5" s="125">
        <f>IF('LFA_Programmatic Progress_1A'!F13="","",'LFA_Programmatic Progress_1A'!F13)</f>
        <v>42185</v>
      </c>
      <c r="G5" s="75"/>
      <c r="H5" s="75"/>
      <c r="I5" s="75"/>
      <c r="J5" s="75"/>
      <c r="K5" s="75"/>
    </row>
    <row r="6" spans="1:11" ht="15.75" customHeight="1">
      <c r="A6" s="97" t="s">
        <v>183</v>
      </c>
      <c r="B6" s="99"/>
      <c r="C6" s="1763">
        <f>IF('LFA_Programmatic Progress_1A'!C14="Select","",'LFA_Programmatic Progress_1A'!C14)</f>
        <v>10</v>
      </c>
      <c r="D6" s="1763"/>
      <c r="E6" s="1763"/>
      <c r="F6" s="1763"/>
      <c r="G6" s="75"/>
      <c r="H6" s="75"/>
      <c r="I6" s="75"/>
      <c r="J6" s="75"/>
      <c r="K6" s="75"/>
    </row>
    <row r="8" spans="1:11" ht="20.25">
      <c r="A8" s="562" t="s">
        <v>682</v>
      </c>
      <c r="B8" s="562"/>
      <c r="C8" s="562"/>
      <c r="D8" s="562"/>
      <c r="E8" s="562"/>
      <c r="F8" s="562"/>
      <c r="G8" s="562"/>
      <c r="H8" s="562"/>
      <c r="I8" s="562"/>
      <c r="J8" s="562"/>
      <c r="K8" s="562"/>
    </row>
    <row r="9" spans="1:11" ht="20.25">
      <c r="A9" s="562"/>
      <c r="B9" s="562"/>
      <c r="C9" s="562"/>
      <c r="D9" s="562"/>
      <c r="E9" s="562"/>
      <c r="F9" s="562"/>
      <c r="G9" s="562"/>
      <c r="H9" s="562"/>
      <c r="I9" s="562"/>
      <c r="J9" s="562"/>
      <c r="K9" s="562"/>
    </row>
    <row r="10" spans="1:15" ht="20.25" customHeight="1">
      <c r="A10" s="1792" t="s">
        <v>683</v>
      </c>
      <c r="B10" s="1792"/>
      <c r="C10" s="1792"/>
      <c r="D10" s="1792"/>
      <c r="E10" s="1792"/>
      <c r="F10" s="1792"/>
      <c r="G10" s="1792"/>
      <c r="H10" s="1792"/>
      <c r="I10" s="1792"/>
      <c r="J10" s="1792"/>
      <c r="K10" s="1792"/>
      <c r="L10" s="1792"/>
      <c r="M10" s="1792"/>
      <c r="N10" s="1792"/>
      <c r="O10" s="1792"/>
    </row>
    <row r="11" spans="1:11" ht="49.5" customHeight="1">
      <c r="A11" s="1793" t="s">
        <v>684</v>
      </c>
      <c r="B11" s="1793"/>
      <c r="C11" s="1793"/>
      <c r="D11" s="1793"/>
      <c r="E11" s="1793"/>
      <c r="F11" s="1793"/>
      <c r="G11" s="1793"/>
      <c r="H11" s="1793"/>
      <c r="I11" s="1793"/>
      <c r="J11" s="1793"/>
      <c r="K11" s="1793"/>
    </row>
    <row r="12" spans="1:15" ht="54" customHeight="1">
      <c r="A12" s="1794" t="s">
        <v>1253</v>
      </c>
      <c r="B12" s="1795"/>
      <c r="C12" s="1795"/>
      <c r="D12" s="1795"/>
      <c r="E12" s="1795"/>
      <c r="F12" s="1795"/>
      <c r="G12" s="1795"/>
      <c r="H12" s="1795"/>
      <c r="I12" s="1795"/>
      <c r="J12" s="1795"/>
      <c r="K12" s="1795"/>
      <c r="L12" s="1795"/>
      <c r="M12" s="1795"/>
      <c r="N12" s="1795"/>
      <c r="O12" s="1796"/>
    </row>
    <row r="13" spans="1:15" ht="35.25" customHeight="1">
      <c r="A13" s="1797"/>
      <c r="B13" s="1798"/>
      <c r="C13" s="1798"/>
      <c r="D13" s="1798"/>
      <c r="E13" s="1798"/>
      <c r="F13" s="1798"/>
      <c r="G13" s="1798"/>
      <c r="H13" s="1798"/>
      <c r="I13" s="1798"/>
      <c r="J13" s="1798"/>
      <c r="K13" s="1798"/>
      <c r="L13" s="1798"/>
      <c r="M13" s="1798"/>
      <c r="N13" s="1798"/>
      <c r="O13" s="1799"/>
    </row>
    <row r="14" spans="1:15" ht="33" customHeight="1">
      <c r="A14" s="1797"/>
      <c r="B14" s="1798"/>
      <c r="C14" s="1798"/>
      <c r="D14" s="1798"/>
      <c r="E14" s="1798"/>
      <c r="F14" s="1798"/>
      <c r="G14" s="1798"/>
      <c r="H14" s="1798"/>
      <c r="I14" s="1798"/>
      <c r="J14" s="1798"/>
      <c r="K14" s="1798"/>
      <c r="L14" s="1798"/>
      <c r="M14" s="1798"/>
      <c r="N14" s="1798"/>
      <c r="O14" s="1799"/>
    </row>
    <row r="15" spans="1:15" ht="31.5" customHeight="1">
      <c r="A15" s="1797"/>
      <c r="B15" s="1798"/>
      <c r="C15" s="1798"/>
      <c r="D15" s="1798"/>
      <c r="E15" s="1798"/>
      <c r="F15" s="1798"/>
      <c r="G15" s="1798"/>
      <c r="H15" s="1798"/>
      <c r="I15" s="1798"/>
      <c r="J15" s="1798"/>
      <c r="K15" s="1798"/>
      <c r="L15" s="1798"/>
      <c r="M15" s="1798"/>
      <c r="N15" s="1798"/>
      <c r="O15" s="1799"/>
    </row>
    <row r="16" spans="1:15" ht="24.75" customHeight="1">
      <c r="A16" s="1800"/>
      <c r="B16" s="1801"/>
      <c r="C16" s="1801"/>
      <c r="D16" s="1801"/>
      <c r="E16" s="1801"/>
      <c r="F16" s="1801"/>
      <c r="G16" s="1801"/>
      <c r="H16" s="1801"/>
      <c r="I16" s="1801"/>
      <c r="J16" s="1801"/>
      <c r="K16" s="1801"/>
      <c r="L16" s="1801"/>
      <c r="M16" s="1801"/>
      <c r="N16" s="1801"/>
      <c r="O16" s="1802"/>
    </row>
    <row r="17" spans="1:11" ht="20.25">
      <c r="A17" s="562"/>
      <c r="B17" s="562"/>
      <c r="C17" s="562"/>
      <c r="D17" s="562"/>
      <c r="E17" s="562"/>
      <c r="F17" s="562"/>
      <c r="G17" s="562"/>
      <c r="H17" s="562"/>
      <c r="I17" s="562"/>
      <c r="J17" s="562"/>
      <c r="K17" s="562"/>
    </row>
    <row r="18" spans="1:15" ht="18">
      <c r="A18" s="1803" t="s">
        <v>516</v>
      </c>
      <c r="B18" s="1803"/>
      <c r="C18" s="1803"/>
      <c r="D18" s="1803"/>
      <c r="E18" s="1803"/>
      <c r="F18" s="1803"/>
      <c r="G18" s="1803"/>
      <c r="H18" s="1803"/>
      <c r="I18" s="1803"/>
      <c r="J18" s="1803"/>
      <c r="K18" s="1803"/>
      <c r="L18" s="1803"/>
      <c r="M18" s="1803"/>
      <c r="N18" s="1803"/>
      <c r="O18" s="1803"/>
    </row>
    <row r="19" spans="1:15" ht="12.75" customHeight="1">
      <c r="A19" s="1804" t="s">
        <v>676</v>
      </c>
      <c r="B19" s="1804"/>
      <c r="C19" s="1804"/>
      <c r="D19" s="1804"/>
      <c r="E19" s="1804"/>
      <c r="F19" s="1804"/>
      <c r="G19" s="1804"/>
      <c r="H19" s="1804"/>
      <c r="I19" s="1804"/>
      <c r="J19" s="1804"/>
      <c r="K19" s="1804"/>
      <c r="L19" s="1804"/>
      <c r="M19" s="1804"/>
      <c r="N19" s="1804"/>
      <c r="O19" s="1804"/>
    </row>
    <row r="20" spans="1:15" ht="12.75" customHeight="1">
      <c r="A20" s="1804"/>
      <c r="B20" s="1804"/>
      <c r="C20" s="1804"/>
      <c r="D20" s="1804"/>
      <c r="E20" s="1804"/>
      <c r="F20" s="1804"/>
      <c r="G20" s="1804"/>
      <c r="H20" s="1804"/>
      <c r="I20" s="1804"/>
      <c r="J20" s="1804"/>
      <c r="K20" s="1804"/>
      <c r="L20" s="1804"/>
      <c r="M20" s="1804"/>
      <c r="N20" s="1804"/>
      <c r="O20" s="1804"/>
    </row>
    <row r="21" spans="1:15" ht="12.75" customHeight="1">
      <c r="A21" s="1804"/>
      <c r="B21" s="1804"/>
      <c r="C21" s="1804"/>
      <c r="D21" s="1804"/>
      <c r="E21" s="1804"/>
      <c r="F21" s="1804"/>
      <c r="G21" s="1804"/>
      <c r="H21" s="1804"/>
      <c r="I21" s="1804"/>
      <c r="J21" s="1804"/>
      <c r="K21" s="1804"/>
      <c r="L21" s="1804"/>
      <c r="M21" s="1804"/>
      <c r="N21" s="1804"/>
      <c r="O21" s="1804"/>
    </row>
    <row r="22" spans="1:15" ht="12.75" customHeight="1">
      <c r="A22" s="1804"/>
      <c r="B22" s="1804"/>
      <c r="C22" s="1804"/>
      <c r="D22" s="1804"/>
      <c r="E22" s="1804"/>
      <c r="F22" s="1804"/>
      <c r="G22" s="1804"/>
      <c r="H22" s="1804"/>
      <c r="I22" s="1804"/>
      <c r="J22" s="1804"/>
      <c r="K22" s="1804"/>
      <c r="L22" s="1804"/>
      <c r="M22" s="1804"/>
      <c r="N22" s="1804"/>
      <c r="O22" s="1804"/>
    </row>
    <row r="23" spans="1:15" ht="0.75" customHeight="1">
      <c r="A23" s="1804"/>
      <c r="B23" s="1804"/>
      <c r="C23" s="1804"/>
      <c r="D23" s="1804"/>
      <c r="E23" s="1804"/>
      <c r="F23" s="1804"/>
      <c r="G23" s="1804"/>
      <c r="H23" s="1804"/>
      <c r="I23" s="1804"/>
      <c r="J23" s="1804"/>
      <c r="K23" s="1804"/>
      <c r="L23" s="1804"/>
      <c r="M23" s="1804"/>
      <c r="N23" s="1804"/>
      <c r="O23" s="1804"/>
    </row>
    <row r="24" spans="1:11" ht="14.25">
      <c r="A24" s="563"/>
      <c r="B24" s="563"/>
      <c r="C24" s="563"/>
      <c r="D24" s="563"/>
      <c r="E24" s="563"/>
      <c r="F24" s="563"/>
      <c r="G24" s="563"/>
      <c r="H24" s="563"/>
      <c r="I24" s="563"/>
      <c r="J24" s="563"/>
      <c r="K24" s="563"/>
    </row>
    <row r="25" spans="1:15" ht="18">
      <c r="A25" s="1803" t="s">
        <v>517</v>
      </c>
      <c r="B25" s="1803"/>
      <c r="C25" s="1803"/>
      <c r="D25" s="1803"/>
      <c r="E25" s="1803"/>
      <c r="F25" s="1803"/>
      <c r="G25" s="1803"/>
      <c r="H25" s="1803"/>
      <c r="I25" s="1803"/>
      <c r="J25" s="1803"/>
      <c r="K25" s="1803"/>
      <c r="L25" s="1803"/>
      <c r="M25" s="1803"/>
      <c r="N25" s="1803"/>
      <c r="O25" s="1803"/>
    </row>
    <row r="26" spans="1:15" ht="12.75" customHeight="1">
      <c r="A26" s="1791" t="s">
        <v>1251</v>
      </c>
      <c r="B26" s="1791"/>
      <c r="C26" s="1791"/>
      <c r="D26" s="1791"/>
      <c r="E26" s="1791"/>
      <c r="F26" s="1791"/>
      <c r="G26" s="1791"/>
      <c r="H26" s="1791"/>
      <c r="I26" s="1791"/>
      <c r="J26" s="1791"/>
      <c r="K26" s="1791"/>
      <c r="L26" s="1791"/>
      <c r="M26" s="1791"/>
      <c r="N26" s="1791"/>
      <c r="O26" s="1791"/>
    </row>
    <row r="27" spans="1:15" ht="18.75" customHeight="1">
      <c r="A27" s="1791"/>
      <c r="B27" s="1791"/>
      <c r="C27" s="1791"/>
      <c r="D27" s="1791"/>
      <c r="E27" s="1791"/>
      <c r="F27" s="1791"/>
      <c r="G27" s="1791"/>
      <c r="H27" s="1791"/>
      <c r="I27" s="1791"/>
      <c r="J27" s="1791"/>
      <c r="K27" s="1791"/>
      <c r="L27" s="1791"/>
      <c r="M27" s="1791"/>
      <c r="N27" s="1791"/>
      <c r="O27" s="1791"/>
    </row>
    <row r="28" spans="1:15" ht="29.25" customHeight="1">
      <c r="A28" s="1791"/>
      <c r="B28" s="1791"/>
      <c r="C28" s="1791"/>
      <c r="D28" s="1791"/>
      <c r="E28" s="1791"/>
      <c r="F28" s="1791"/>
      <c r="G28" s="1791"/>
      <c r="H28" s="1791"/>
      <c r="I28" s="1791"/>
      <c r="J28" s="1791"/>
      <c r="K28" s="1791"/>
      <c r="L28" s="1791"/>
      <c r="M28" s="1791"/>
      <c r="N28" s="1791"/>
      <c r="O28" s="1791"/>
    </row>
    <row r="29" spans="1:15" ht="25.5" customHeight="1">
      <c r="A29" s="1791"/>
      <c r="B29" s="1791"/>
      <c r="C29" s="1791"/>
      <c r="D29" s="1791"/>
      <c r="E29" s="1791"/>
      <c r="F29" s="1791"/>
      <c r="G29" s="1791"/>
      <c r="H29" s="1791"/>
      <c r="I29" s="1791"/>
      <c r="J29" s="1791"/>
      <c r="K29" s="1791"/>
      <c r="L29" s="1791"/>
      <c r="M29" s="1791"/>
      <c r="N29" s="1791"/>
      <c r="O29" s="1791"/>
    </row>
    <row r="30" spans="1:15" ht="20.25" customHeight="1">
      <c r="A30" s="1791"/>
      <c r="B30" s="1791"/>
      <c r="C30" s="1791"/>
      <c r="D30" s="1791"/>
      <c r="E30" s="1791"/>
      <c r="F30" s="1791"/>
      <c r="G30" s="1791"/>
      <c r="H30" s="1791"/>
      <c r="I30" s="1791"/>
      <c r="J30" s="1791"/>
      <c r="K30" s="1791"/>
      <c r="L30" s="1791"/>
      <c r="M30" s="1791"/>
      <c r="N30" s="1791"/>
      <c r="O30" s="1791"/>
    </row>
  </sheetData>
  <sheetProtection password="92D1" sheet="1" formatCells="0" formatColumns="0" formatRows="0"/>
  <mergeCells count="11">
    <mergeCell ref="A1:F1"/>
    <mergeCell ref="A3:B3"/>
    <mergeCell ref="C3:F3"/>
    <mergeCell ref="C6:F6"/>
    <mergeCell ref="A25:O25"/>
    <mergeCell ref="A26:O30"/>
    <mergeCell ref="A10:O10"/>
    <mergeCell ref="A11:K11"/>
    <mergeCell ref="A12:O16"/>
    <mergeCell ref="A18:O18"/>
    <mergeCell ref="A19:O23"/>
  </mergeCells>
  <printOptions horizontalCentered="1" verticalCentered="1"/>
  <pageMargins left="1.1416666666666666" right="0.9451388888888889" top="0.39375" bottom="0.5118055555555555" header="0.5118055555555555" footer="0.5118055555555555"/>
  <pageSetup cellComments="atEnd" horizontalDpi="300" verticalDpi="300" orientation="landscape" paperSize="9" scale="64" r:id="rId1"/>
  <headerFooter alignWithMargins="0">
    <oddFooter>&amp;L&amp;9&amp;F&amp;C&amp;A&amp;R&amp;9Page &amp;P of &amp;N</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O39"/>
  <sheetViews>
    <sheetView showGridLines="0" view="pageBreakPreview" zoomScale="70" zoomScaleNormal="70" zoomScaleSheetLayoutView="70" zoomScalePageLayoutView="0" workbookViewId="0" topLeftCell="A7">
      <selection activeCell="A28" sqref="A28:M28"/>
    </sheetView>
  </sheetViews>
  <sheetFormatPr defaultColWidth="9.140625" defaultRowHeight="12.75"/>
  <cols>
    <col min="1" max="1" width="24.421875" style="2" customWidth="1"/>
    <col min="2" max="2" width="54.8515625" style="2" customWidth="1"/>
    <col min="3" max="3" width="29.7109375" style="2" customWidth="1"/>
    <col min="4" max="4" width="18.421875" style="2" customWidth="1"/>
    <col min="5" max="5" width="27.00390625" style="2" customWidth="1"/>
    <col min="6" max="6" width="19.28125" style="2" customWidth="1"/>
    <col min="7" max="7" width="9.140625" style="2" customWidth="1"/>
    <col min="8" max="8" width="6.28125" style="2" customWidth="1"/>
    <col min="9" max="9" width="9.140625" style="2" customWidth="1"/>
    <col min="10" max="10" width="9.7109375" style="2" customWidth="1"/>
    <col min="11" max="11" width="18.140625" style="119" customWidth="1"/>
    <col min="12" max="13" width="20.140625" style="2" customWidth="1"/>
    <col min="14" max="16384" width="9.140625" style="2" customWidth="1"/>
  </cols>
  <sheetData>
    <row r="1" spans="1:13" ht="25.5" customHeight="1">
      <c r="A1" s="1713" t="s">
        <v>62</v>
      </c>
      <c r="B1" s="1713"/>
      <c r="C1" s="1713"/>
      <c r="D1" s="1713"/>
      <c r="E1" s="1713"/>
      <c r="F1" s="1713"/>
      <c r="G1" s="564"/>
      <c r="H1" s="564"/>
      <c r="I1" s="564"/>
      <c r="J1" s="121"/>
      <c r="K1" s="121"/>
      <c r="L1" s="121"/>
      <c r="M1" s="101"/>
    </row>
    <row r="2" spans="1:13" s="16" customFormat="1" ht="27.75" customHeight="1">
      <c r="A2" s="20" t="s">
        <v>66</v>
      </c>
      <c r="B2" s="13"/>
      <c r="C2" s="13"/>
      <c r="D2" s="14"/>
      <c r="E2" s="13"/>
      <c r="F2" s="13"/>
      <c r="G2" s="13"/>
      <c r="H2" s="565"/>
      <c r="I2" s="13"/>
      <c r="J2" s="13"/>
      <c r="K2" s="13"/>
      <c r="L2" s="13"/>
      <c r="M2" s="13"/>
    </row>
    <row r="3" spans="1:13" ht="15" customHeight="1">
      <c r="A3" s="1809" t="s">
        <v>518</v>
      </c>
      <c r="B3" s="1809"/>
      <c r="C3" s="1810" t="str">
        <f>IF('PR_Programmatic Progress_1A'!C5:F5="","",'PR_Programmatic Progress_1A'!C5:F5)</f>
        <v>El Salvador</v>
      </c>
      <c r="D3" s="1810"/>
      <c r="E3" s="1810"/>
      <c r="F3" s="1810"/>
      <c r="G3" s="101"/>
      <c r="H3" s="101"/>
      <c r="I3" s="101"/>
      <c r="J3" s="101"/>
      <c r="K3" s="101"/>
      <c r="L3" s="101"/>
      <c r="M3" s="101"/>
    </row>
    <row r="4" spans="1:13" ht="15" customHeight="1">
      <c r="A4" s="1805" t="s">
        <v>71</v>
      </c>
      <c r="B4" s="1805"/>
      <c r="C4" s="1811" t="str">
        <f>IF('PR_Programmatic Progress_1A'!C6:F6="Select","",'PR_Programmatic Progress_1A'!C6:F6)</f>
        <v>Tuberculosis</v>
      </c>
      <c r="D4" s="1811"/>
      <c r="E4" s="1811"/>
      <c r="F4" s="1811"/>
      <c r="G4" s="101"/>
      <c r="H4" s="101"/>
      <c r="I4" s="101"/>
      <c r="J4" s="101"/>
      <c r="K4" s="101"/>
      <c r="L4" s="101"/>
      <c r="M4" s="101"/>
    </row>
    <row r="5" spans="1:13" ht="24.75" customHeight="1">
      <c r="A5" s="1805" t="s">
        <v>74</v>
      </c>
      <c r="B5" s="1805"/>
      <c r="C5" s="1806" t="str">
        <f>IF('PR_Programmatic Progress_1A'!C7:F7="","",'PR_Programmatic Progress_1A'!C7:F7)</f>
        <v>SLV-910-G08-T</v>
      </c>
      <c r="D5" s="1806"/>
      <c r="E5" s="1806"/>
      <c r="F5" s="1806"/>
      <c r="G5" s="101"/>
      <c r="H5" s="101"/>
      <c r="I5" s="101"/>
      <c r="J5" s="101"/>
      <c r="K5" s="101"/>
      <c r="L5" s="101"/>
      <c r="M5" s="101"/>
    </row>
    <row r="6" spans="1:13" s="16" customFormat="1" ht="15" customHeight="1">
      <c r="A6" s="1807" t="s">
        <v>519</v>
      </c>
      <c r="B6" s="1807"/>
      <c r="C6" s="1808" t="str">
        <f>IF('PR_Programmatic Progress_1A'!C8:F8="","",'PR_Programmatic Progress_1A'!C8:F8)</f>
        <v>Ministerio de Salud </v>
      </c>
      <c r="D6" s="1808"/>
      <c r="E6" s="1808"/>
      <c r="F6" s="1808"/>
      <c r="G6" s="23"/>
      <c r="H6" s="13"/>
      <c r="I6" s="13"/>
      <c r="J6" s="13"/>
      <c r="K6" s="13"/>
      <c r="L6" s="13"/>
      <c r="M6" s="13"/>
    </row>
    <row r="7" spans="1:13" ht="15" customHeight="1">
      <c r="A7" s="1805" t="s">
        <v>520</v>
      </c>
      <c r="B7" s="1805"/>
      <c r="C7" s="1816">
        <f>IF('PR_Programmatic Progress_1A'!C9:F9="","",'PR_Programmatic Progress_1A'!C9:F9)</f>
        <v>40360</v>
      </c>
      <c r="D7" s="1816"/>
      <c r="E7" s="1816"/>
      <c r="F7" s="1816"/>
      <c r="G7" s="101"/>
      <c r="H7" s="101"/>
      <c r="I7" s="101"/>
      <c r="J7" s="101"/>
      <c r="K7" s="101"/>
      <c r="L7" s="101"/>
      <c r="M7" s="101"/>
    </row>
    <row r="8" spans="1:13" ht="15" customHeight="1">
      <c r="A8" s="1813" t="s">
        <v>521</v>
      </c>
      <c r="B8" s="1813"/>
      <c r="C8" s="1814" t="str">
        <f>IF('PR_Programmatic Progress_1A'!C10="Select","",'PR_Programmatic Progress_1A'!C10)</f>
        <v>USD</v>
      </c>
      <c r="D8" s="1814"/>
      <c r="E8" s="1814"/>
      <c r="F8" s="1814"/>
      <c r="G8" s="101"/>
      <c r="H8" s="101"/>
      <c r="I8" s="101"/>
      <c r="J8" s="101"/>
      <c r="K8" s="101"/>
      <c r="L8" s="101"/>
      <c r="M8" s="101"/>
    </row>
    <row r="9" spans="1:13" s="16" customFormat="1" ht="27" customHeight="1">
      <c r="A9" s="72" t="s">
        <v>522</v>
      </c>
      <c r="B9" s="32"/>
      <c r="C9" s="32"/>
      <c r="D9" s="46"/>
      <c r="E9" s="32"/>
      <c r="F9" s="32"/>
      <c r="G9" s="32"/>
      <c r="H9" s="33"/>
      <c r="I9" s="32"/>
      <c r="J9" s="19"/>
      <c r="K9" s="19"/>
      <c r="L9" s="19"/>
      <c r="M9" s="13"/>
    </row>
    <row r="10" spans="1:13" s="75" customFormat="1" ht="15" customHeight="1">
      <c r="A10" s="566" t="s">
        <v>87</v>
      </c>
      <c r="B10" s="567"/>
      <c r="C10" s="568" t="s">
        <v>88</v>
      </c>
      <c r="D10" s="569" t="str">
        <f>IF('PR_Programmatic Progress_1A'!D12="Select","",'PR_Programmatic Progress_1A'!D12)</f>
        <v>Semestral</v>
      </c>
      <c r="E10" s="570" t="s">
        <v>90</v>
      </c>
      <c r="F10" s="571">
        <f>IF('PR_Programmatic Progress_1A'!F12="Select","",'PR_Programmatic Progress_1A'!F12)</f>
        <v>10</v>
      </c>
      <c r="G10" s="25"/>
      <c r="H10" s="25"/>
      <c r="I10" s="25"/>
      <c r="J10" s="25"/>
      <c r="K10" s="25"/>
      <c r="L10" s="25"/>
      <c r="M10" s="25"/>
    </row>
    <row r="11" spans="1:13" s="75" customFormat="1" ht="15" customHeight="1">
      <c r="A11" s="94" t="s">
        <v>91</v>
      </c>
      <c r="B11" s="95"/>
      <c r="C11" s="572" t="s">
        <v>92</v>
      </c>
      <c r="D11" s="573">
        <f>IF('PR_Programmatic Progress_1A'!D13="","",'PR_Programmatic Progress_1A'!D13)</f>
        <v>42005</v>
      </c>
      <c r="E11" s="574" t="s">
        <v>523</v>
      </c>
      <c r="F11" s="575">
        <f>IF('PR_Programmatic Progress_1A'!F13="","",'PR_Programmatic Progress_1A'!F13)</f>
        <v>42185</v>
      </c>
      <c r="G11" s="25"/>
      <c r="H11" s="25"/>
      <c r="I11" s="25"/>
      <c r="J11" s="25"/>
      <c r="K11" s="25"/>
      <c r="L11" s="25"/>
      <c r="M11" s="25"/>
    </row>
    <row r="12" spans="1:13" s="75" customFormat="1" ht="15" customHeight="1">
      <c r="A12" s="97" t="s">
        <v>524</v>
      </c>
      <c r="B12" s="99"/>
      <c r="C12" s="1815">
        <f>IF('PR_Programmatic Progress_1A'!C14:F14="Select","",'PR_Programmatic Progress_1A'!C14:F14)</f>
        <v>10</v>
      </c>
      <c r="D12" s="1815"/>
      <c r="E12" s="1815"/>
      <c r="F12" s="1815"/>
      <c r="G12" s="25"/>
      <c r="H12" s="25"/>
      <c r="I12" s="25"/>
      <c r="J12" s="25"/>
      <c r="K12" s="25"/>
      <c r="L12" s="25"/>
      <c r="M12" s="25"/>
    </row>
    <row r="13" spans="1:13" s="16" customFormat="1" ht="27" customHeight="1">
      <c r="A13" s="72" t="s">
        <v>750</v>
      </c>
      <c r="B13" s="32"/>
      <c r="C13" s="32"/>
      <c r="D13" s="46"/>
      <c r="E13" s="32"/>
      <c r="F13" s="32"/>
      <c r="G13" s="32"/>
      <c r="H13" s="33"/>
      <c r="I13" s="32"/>
      <c r="J13" s="19"/>
      <c r="K13" s="19"/>
      <c r="L13" s="19"/>
      <c r="M13" s="13"/>
    </row>
    <row r="14" spans="1:13" s="75" customFormat="1" ht="15" customHeight="1">
      <c r="A14" s="566" t="s">
        <v>751</v>
      </c>
      <c r="B14" s="567"/>
      <c r="C14" s="568" t="s">
        <v>88</v>
      </c>
      <c r="D14" s="569" t="str">
        <f>IF('PR_Programmatic Progress_1A'!D16="Select","",'PR_Programmatic Progress_1A'!D16)</f>
        <v>Seleccionar</v>
      </c>
      <c r="E14" s="570" t="s">
        <v>752</v>
      </c>
      <c r="F14" s="571">
        <f>IF('PR_Programmatic Progress_1A'!F16="Select","",'PR_Programmatic Progress_1A'!F16)</f>
        <v>0</v>
      </c>
      <c r="G14" s="25"/>
      <c r="H14" s="25"/>
      <c r="I14" s="25"/>
      <c r="J14" s="25"/>
      <c r="K14" s="25"/>
      <c r="L14" s="25"/>
      <c r="M14" s="25"/>
    </row>
    <row r="15" spans="1:13" s="75" customFormat="1" ht="15" customHeight="1">
      <c r="A15" s="94" t="s">
        <v>753</v>
      </c>
      <c r="B15" s="95"/>
      <c r="C15" s="572" t="s">
        <v>92</v>
      </c>
      <c r="D15" s="573">
        <f>IF('PR_Programmatic Progress_1A'!D17="","",'PR_Programmatic Progress_1A'!D17)</f>
      </c>
      <c r="E15" s="574" t="s">
        <v>754</v>
      </c>
      <c r="F15" s="575">
        <f>IF('PR_Programmatic Progress_1A'!F17="","",'PR_Programmatic Progress_1A'!F17)</f>
      </c>
      <c r="G15" s="25"/>
      <c r="H15" s="25"/>
      <c r="I15" s="25"/>
      <c r="J15" s="25"/>
      <c r="K15" s="25"/>
      <c r="L15" s="25"/>
      <c r="M15" s="25"/>
    </row>
    <row r="16" spans="1:13" s="75" customFormat="1" ht="15" customHeight="1">
      <c r="A16" s="97" t="s">
        <v>755</v>
      </c>
      <c r="B16" s="99"/>
      <c r="C16" s="1815">
        <f>IF('PR_Programmatic Progress_1A'!C18:F18="Select","",'PR_Programmatic Progress_1A'!C18:F18)</f>
        <v>0</v>
      </c>
      <c r="D16" s="1815"/>
      <c r="E16" s="1815"/>
      <c r="F16" s="1815"/>
      <c r="G16" s="25"/>
      <c r="H16" s="25"/>
      <c r="I16" s="25"/>
      <c r="J16" s="25"/>
      <c r="K16" s="25"/>
      <c r="L16" s="25"/>
      <c r="M16" s="25"/>
    </row>
    <row r="17" spans="1:13" ht="16.5" customHeight="1">
      <c r="A17" s="576"/>
      <c r="B17" s="576"/>
      <c r="C17" s="577"/>
      <c r="D17" s="577"/>
      <c r="E17" s="577"/>
      <c r="F17" s="577"/>
      <c r="G17" s="118"/>
      <c r="H17" s="118"/>
      <c r="I17" s="118"/>
      <c r="J17" s="118"/>
      <c r="K17" s="118"/>
      <c r="L17" s="118"/>
      <c r="M17" s="118"/>
    </row>
    <row r="18" spans="1:15" ht="36.75" customHeight="1">
      <c r="A18" s="308" t="s">
        <v>756</v>
      </c>
      <c r="B18" s="310"/>
      <c r="C18" s="301"/>
      <c r="D18" s="315"/>
      <c r="E18" s="315"/>
      <c r="F18" s="315"/>
      <c r="G18" s="315"/>
      <c r="H18" s="301"/>
      <c r="I18" s="315"/>
      <c r="J18" s="315"/>
      <c r="K18" s="578"/>
      <c r="L18" s="315"/>
      <c r="M18" s="121"/>
      <c r="N18" s="5"/>
      <c r="O18" s="5"/>
    </row>
    <row r="19" spans="1:13" s="107" customFormat="1" ht="18">
      <c r="A19" s="1812" t="s">
        <v>757</v>
      </c>
      <c r="B19" s="1812"/>
      <c r="C19" s="1812"/>
      <c r="D19" s="1812"/>
      <c r="E19" s="1812"/>
      <c r="F19" s="1812"/>
      <c r="G19" s="1812"/>
      <c r="H19" s="1812"/>
      <c r="I19" s="1812"/>
      <c r="J19" s="1812"/>
      <c r="K19" s="1812"/>
      <c r="L19" s="1812"/>
      <c r="M19" s="1812"/>
    </row>
    <row r="20" spans="1:13" s="107" customFormat="1" ht="15.75">
      <c r="A20" s="1674"/>
      <c r="B20" s="1674"/>
      <c r="C20" s="1674"/>
      <c r="D20" s="1674"/>
      <c r="E20" s="1674"/>
      <c r="F20" s="1674"/>
      <c r="G20" s="1674"/>
      <c r="H20" s="1674"/>
      <c r="I20" s="1674"/>
      <c r="J20" s="1674"/>
      <c r="K20" s="1674"/>
      <c r="L20" s="1674"/>
      <c r="M20" s="1674"/>
    </row>
    <row r="21" spans="1:13" s="107" customFormat="1" ht="15.75">
      <c r="A21" s="579" t="s">
        <v>758</v>
      </c>
      <c r="B21" s="423"/>
      <c r="C21" s="423"/>
      <c r="D21" s="423"/>
      <c r="E21" s="423"/>
      <c r="F21" s="423"/>
      <c r="G21" s="423"/>
      <c r="H21" s="423"/>
      <c r="I21" s="423"/>
      <c r="J21" s="423"/>
      <c r="K21" s="423"/>
      <c r="L21" s="580"/>
      <c r="M21" s="580"/>
    </row>
    <row r="22" spans="1:13" s="107" customFormat="1" ht="15.75">
      <c r="A22" s="579"/>
      <c r="B22" s="423"/>
      <c r="C22" s="423"/>
      <c r="D22" s="423"/>
      <c r="E22" s="423"/>
      <c r="F22" s="423"/>
      <c r="G22" s="423"/>
      <c r="H22" s="423"/>
      <c r="I22" s="423"/>
      <c r="J22" s="423"/>
      <c r="K22" s="423"/>
      <c r="L22" s="580"/>
      <c r="M22" s="580"/>
    </row>
    <row r="23" spans="1:13" s="107" customFormat="1" ht="29.25" customHeight="1">
      <c r="A23" s="1817" t="s">
        <v>759</v>
      </c>
      <c r="B23" s="1817"/>
      <c r="C23" s="1817"/>
      <c r="D23" s="581">
        <f>+'PR_Disbursement Request_5B'!S36</f>
        <v>0</v>
      </c>
      <c r="E23" s="582"/>
      <c r="F23" s="357"/>
      <c r="G23" s="423"/>
      <c r="H23" s="423"/>
      <c r="I23" s="423"/>
      <c r="J23" s="423"/>
      <c r="K23" s="423"/>
      <c r="L23" s="580"/>
      <c r="M23" s="580"/>
    </row>
    <row r="24" spans="1:13" s="107" customFormat="1" ht="12" customHeight="1">
      <c r="A24" s="579"/>
      <c r="B24" s="423"/>
      <c r="C24" s="423"/>
      <c r="D24" s="423"/>
      <c r="E24" s="423"/>
      <c r="F24" s="423"/>
      <c r="G24" s="423"/>
      <c r="H24" s="423"/>
      <c r="I24" s="423"/>
      <c r="J24" s="423"/>
      <c r="K24" s="423"/>
      <c r="L24" s="580"/>
      <c r="M24" s="580"/>
    </row>
    <row r="25" spans="1:13" s="107" customFormat="1" ht="15.75">
      <c r="A25" s="579" t="str">
        <f>"2.  Importe solicitado en letras (en: "&amp;IF('PR_Programmatic Progress_1A'!$C$10="Select","please select currency in 'PR_Section 1A')",'PR_Programmatic Progress_1A'!$C$10&amp;"):")</f>
        <v>2.  Importe solicitado en letras (en: USD):</v>
      </c>
      <c r="B25" s="423"/>
      <c r="C25" s="357"/>
      <c r="D25" s="1818">
        <v>0</v>
      </c>
      <c r="E25" s="1818"/>
      <c r="F25" s="1818"/>
      <c r="G25" s="1818"/>
      <c r="H25" s="1818"/>
      <c r="I25" s="1818"/>
      <c r="J25" s="1818"/>
      <c r="K25" s="1818"/>
      <c r="L25" s="1818"/>
      <c r="M25" s="580"/>
    </row>
    <row r="26" spans="1:13" s="107" customFormat="1" ht="19.5" customHeight="1">
      <c r="A26" s="144"/>
      <c r="B26" s="144"/>
      <c r="C26" s="144"/>
      <c r="D26" s="144"/>
      <c r="E26" s="144"/>
      <c r="F26" s="144"/>
      <c r="G26" s="144"/>
      <c r="H26" s="144"/>
      <c r="I26" s="144"/>
      <c r="J26" s="144"/>
      <c r="K26" s="583"/>
      <c r="L26" s="144"/>
      <c r="M26" s="144"/>
    </row>
    <row r="27" spans="1:13" s="107" customFormat="1" ht="19.5" customHeight="1">
      <c r="A27" s="1812" t="s">
        <v>760</v>
      </c>
      <c r="B27" s="1812"/>
      <c r="C27" s="1812"/>
      <c r="D27" s="1812"/>
      <c r="E27" s="1812"/>
      <c r="F27" s="1812"/>
      <c r="G27" s="1812"/>
      <c r="H27" s="1812"/>
      <c r="I27" s="1812"/>
      <c r="J27" s="1812"/>
      <c r="K27" s="1812"/>
      <c r="L27" s="1812"/>
      <c r="M27" s="1812"/>
    </row>
    <row r="28" spans="1:13" s="116" customFormat="1" ht="45.75" customHeight="1">
      <c r="A28" s="1822" t="s">
        <v>761</v>
      </c>
      <c r="B28" s="1822"/>
      <c r="C28" s="1822"/>
      <c r="D28" s="1822"/>
      <c r="E28" s="1822"/>
      <c r="F28" s="1822"/>
      <c r="G28" s="1822"/>
      <c r="H28" s="1822"/>
      <c r="I28" s="1822"/>
      <c r="J28" s="1822"/>
      <c r="K28" s="1822"/>
      <c r="L28" s="1822"/>
      <c r="M28" s="1822"/>
    </row>
    <row r="29" spans="1:13" s="116" customFormat="1" ht="12.75">
      <c r="A29" s="584"/>
      <c r="B29" s="584"/>
      <c r="C29" s="584"/>
      <c r="D29" s="584"/>
      <c r="E29" s="584"/>
      <c r="F29" s="584"/>
      <c r="G29" s="584"/>
      <c r="H29" s="585"/>
      <c r="I29" s="584"/>
      <c r="J29" s="584"/>
      <c r="K29" s="583"/>
      <c r="L29" s="584"/>
      <c r="M29" s="584"/>
    </row>
    <row r="30" spans="1:13" s="116" customFormat="1" ht="37.5" customHeight="1">
      <c r="A30" s="1822" t="s">
        <v>762</v>
      </c>
      <c r="B30" s="1822"/>
      <c r="C30" s="1823"/>
      <c r="D30" s="1823"/>
      <c r="E30" s="1823"/>
      <c r="F30" s="584"/>
      <c r="G30" s="584"/>
      <c r="H30" s="585"/>
      <c r="I30" s="584"/>
      <c r="J30" s="584"/>
      <c r="K30" s="583"/>
      <c r="L30" s="584"/>
      <c r="M30" s="584"/>
    </row>
    <row r="31" spans="1:13" ht="14.25">
      <c r="A31" s="101"/>
      <c r="B31" s="101"/>
      <c r="C31" s="586"/>
      <c r="D31" s="586"/>
      <c r="E31" s="586"/>
      <c r="F31" s="101"/>
      <c r="G31" s="101"/>
      <c r="H31" s="118"/>
      <c r="I31" s="101"/>
      <c r="J31" s="101"/>
      <c r="K31" s="583"/>
      <c r="L31" s="101"/>
      <c r="M31" s="101"/>
    </row>
    <row r="32" spans="1:13" ht="28.5" customHeight="1">
      <c r="A32" s="587" t="s">
        <v>763</v>
      </c>
      <c r="B32" s="101"/>
      <c r="C32" s="1824" t="s">
        <v>59</v>
      </c>
      <c r="D32" s="1824"/>
      <c r="E32" s="1824"/>
      <c r="F32" s="101"/>
      <c r="G32" s="101"/>
      <c r="H32" s="118"/>
      <c r="I32" s="101"/>
      <c r="J32" s="101"/>
      <c r="K32" s="583"/>
      <c r="L32" s="101"/>
      <c r="M32" s="101"/>
    </row>
    <row r="33" spans="1:13" ht="25.5" customHeight="1">
      <c r="A33" s="587" t="s">
        <v>764</v>
      </c>
      <c r="B33" s="101"/>
      <c r="C33" s="1824" t="s">
        <v>765</v>
      </c>
      <c r="D33" s="1824"/>
      <c r="E33" s="1824"/>
      <c r="F33" s="101"/>
      <c r="G33" s="101"/>
      <c r="H33" s="118"/>
      <c r="I33" s="101"/>
      <c r="J33" s="101"/>
      <c r="K33" s="583"/>
      <c r="L33" s="101"/>
      <c r="M33" s="101"/>
    </row>
    <row r="34" spans="1:13" ht="25.5" customHeight="1">
      <c r="A34" s="587" t="s">
        <v>766</v>
      </c>
      <c r="B34" s="101"/>
      <c r="C34" s="1824" t="s">
        <v>1250</v>
      </c>
      <c r="D34" s="1824"/>
      <c r="E34" s="1824"/>
      <c r="F34" s="101"/>
      <c r="G34" s="101"/>
      <c r="H34" s="118"/>
      <c r="I34" s="101"/>
      <c r="J34" s="101"/>
      <c r="K34" s="583"/>
      <c r="L34" s="101"/>
      <c r="M34" s="101"/>
    </row>
    <row r="35" spans="1:13" ht="12.75">
      <c r="A35" s="101"/>
      <c r="B35" s="101"/>
      <c r="C35" s="101"/>
      <c r="D35" s="101"/>
      <c r="E35" s="101"/>
      <c r="F35" s="101"/>
      <c r="G35" s="101"/>
      <c r="H35" s="118"/>
      <c r="I35" s="101"/>
      <c r="J35" s="101"/>
      <c r="K35" s="583"/>
      <c r="L35" s="101"/>
      <c r="M35" s="101"/>
    </row>
    <row r="36" spans="1:13" ht="12.75">
      <c r="A36" s="101"/>
      <c r="B36" s="101"/>
      <c r="C36" s="101"/>
      <c r="D36" s="101"/>
      <c r="E36" s="101"/>
      <c r="F36" s="101"/>
      <c r="G36" s="101"/>
      <c r="H36" s="118"/>
      <c r="I36" s="101"/>
      <c r="J36" s="101"/>
      <c r="K36" s="583"/>
      <c r="L36" s="101"/>
      <c r="M36" s="101"/>
    </row>
    <row r="37" spans="1:13" ht="12.75" customHeight="1">
      <c r="A37" s="1819" t="s">
        <v>767</v>
      </c>
      <c r="B37" s="1819"/>
      <c r="C37" s="1819"/>
      <c r="D37" s="1819"/>
      <c r="E37" s="1819"/>
      <c r="F37" s="1819"/>
      <c r="G37" s="1819"/>
      <c r="H37" s="1819"/>
      <c r="I37" s="1819"/>
      <c r="J37" s="1819"/>
      <c r="K37" s="1819"/>
      <c r="L37" s="1819"/>
      <c r="M37" s="1819"/>
    </row>
    <row r="38" spans="1:13" ht="12.75">
      <c r="A38" s="1820"/>
      <c r="B38" s="1820"/>
      <c r="C38" s="1820"/>
      <c r="D38" s="1820"/>
      <c r="E38" s="1820"/>
      <c r="F38" s="1820"/>
      <c r="G38" s="1820"/>
      <c r="H38" s="1820"/>
      <c r="I38" s="1820"/>
      <c r="J38" s="1820"/>
      <c r="K38" s="1821"/>
      <c r="L38" s="1820"/>
      <c r="M38" s="1820"/>
    </row>
    <row r="39" spans="1:13" ht="12.75">
      <c r="A39" s="1820"/>
      <c r="B39" s="1820"/>
      <c r="C39" s="1820"/>
      <c r="D39" s="1820"/>
      <c r="E39" s="1820"/>
      <c r="F39" s="1820"/>
      <c r="G39" s="1820"/>
      <c r="H39" s="1820"/>
      <c r="I39" s="1820"/>
      <c r="J39" s="1820"/>
      <c r="K39" s="1821"/>
      <c r="L39" s="1820"/>
      <c r="M39" s="1820"/>
    </row>
  </sheetData>
  <sheetProtection password="92D1" sheet="1" formatCells="0" formatColumns="0"/>
  <mergeCells count="27">
    <mergeCell ref="D25:L25"/>
    <mergeCell ref="A37:M39"/>
    <mergeCell ref="A30:B30"/>
    <mergeCell ref="C30:E30"/>
    <mergeCell ref="C32:E32"/>
    <mergeCell ref="C33:E33"/>
    <mergeCell ref="A28:M28"/>
    <mergeCell ref="C34:E34"/>
    <mergeCell ref="A7:B7"/>
    <mergeCell ref="A27:M27"/>
    <mergeCell ref="A8:B8"/>
    <mergeCell ref="C8:F8"/>
    <mergeCell ref="C12:F12"/>
    <mergeCell ref="C16:F16"/>
    <mergeCell ref="A19:M19"/>
    <mergeCell ref="A20:M20"/>
    <mergeCell ref="C7:F7"/>
    <mergeCell ref="A23:C23"/>
    <mergeCell ref="A5:B5"/>
    <mergeCell ref="C5:F5"/>
    <mergeCell ref="A6:B6"/>
    <mergeCell ref="C6:F6"/>
    <mergeCell ref="A1:F1"/>
    <mergeCell ref="A3:B3"/>
    <mergeCell ref="C3:F3"/>
    <mergeCell ref="A4:B4"/>
    <mergeCell ref="C4:F4"/>
  </mergeCells>
  <dataValidations count="1">
    <dataValidation type="list" allowBlank="1" showErrorMessage="1" sqref="C9:G9 C13:G13">
      <formula1>"Select,USD,EUR"</formula1>
      <formula2>0</formula2>
    </dataValidation>
  </dataValidations>
  <printOptions horizontalCentered="1" verticalCentered="1"/>
  <pageMargins left="0.5511811023622047" right="0.35433070866141736" top="0.5905511811023623" bottom="0.5905511811023623" header="0.5118110236220472" footer="0.5118110236220472"/>
  <pageSetup cellComments="atEnd" fitToHeight="1" fitToWidth="1" horizontalDpi="300" verticalDpi="300" orientation="landscape" paperSize="119" scale="49" r:id="rId1"/>
  <headerFooter alignWithMargins="0">
    <oddFooter>&amp;L&amp;9&amp;F&amp;C&amp;A&amp;R&amp;9Page &amp;P of &amp;N</oddFooter>
  </headerFooter>
</worksheet>
</file>

<file path=xl/worksheets/sheet12.xml><?xml version="1.0" encoding="utf-8"?>
<worksheet xmlns="http://schemas.openxmlformats.org/spreadsheetml/2006/main" xmlns:r="http://schemas.openxmlformats.org/officeDocument/2006/relationships">
  <sheetPr>
    <tabColor indexed="11"/>
    <pageSetUpPr fitToPage="1"/>
  </sheetPr>
  <dimension ref="A1:M82"/>
  <sheetViews>
    <sheetView view="pageBreakPreview" zoomScale="80" zoomScaleNormal="70" zoomScaleSheetLayoutView="80" zoomScalePageLayoutView="0" workbookViewId="0" topLeftCell="A43">
      <selection activeCell="C30" sqref="C30"/>
    </sheetView>
  </sheetViews>
  <sheetFormatPr defaultColWidth="13.28125" defaultRowHeight="12.75"/>
  <cols>
    <col min="1" max="1" width="2.421875" style="588" customWidth="1"/>
    <col min="2" max="2" width="50.00390625" style="588" customWidth="1"/>
    <col min="3" max="3" width="50.140625" style="588" customWidth="1"/>
    <col min="4" max="4" width="20.8515625" style="588" customWidth="1"/>
    <col min="5" max="5" width="42.421875" style="588" customWidth="1"/>
    <col min="6" max="6" width="43.8515625" style="588" customWidth="1"/>
    <col min="7" max="7" width="4.140625" style="588" customWidth="1"/>
    <col min="8" max="8" width="10.140625" style="588" customWidth="1"/>
    <col min="9" max="224" width="9.140625" style="588" customWidth="1"/>
    <col min="225" max="225" width="2.421875" style="588" customWidth="1"/>
    <col min="226" max="226" width="1.7109375" style="588" customWidth="1"/>
    <col min="227" max="227" width="7.00390625" style="588" customWidth="1"/>
    <col min="228" max="228" width="10.140625" style="588" customWidth="1"/>
    <col min="229" max="229" width="15.00390625" style="588" customWidth="1"/>
    <col min="230" max="233" width="5.421875" style="588" customWidth="1"/>
    <col min="234" max="250" width="4.140625" style="588" customWidth="1"/>
    <col min="251" max="251" width="1.7109375" style="588" customWidth="1"/>
    <col min="252" max="16384" width="13.28125" style="588" customWidth="1"/>
  </cols>
  <sheetData>
    <row r="1" spans="1:4" ht="25.5" customHeight="1">
      <c r="A1" s="1825" t="s">
        <v>768</v>
      </c>
      <c r="B1" s="1825"/>
      <c r="C1" s="1825"/>
      <c r="D1" s="1825"/>
    </row>
    <row r="2" ht="7.5" customHeight="1"/>
    <row r="3" spans="1:6" ht="34.5" customHeight="1">
      <c r="A3" s="1826" t="s">
        <v>769</v>
      </c>
      <c r="B3" s="1826"/>
      <c r="C3" s="1826"/>
      <c r="D3" s="1826"/>
      <c r="E3" s="1826"/>
      <c r="F3" s="589"/>
    </row>
    <row r="4" ht="7.5" customHeight="1"/>
    <row r="5" spans="2:6" ht="18.75" customHeight="1">
      <c r="B5" s="590" t="s">
        <v>770</v>
      </c>
      <c r="C5" s="590"/>
      <c r="D5" s="590"/>
      <c r="E5" s="590"/>
      <c r="F5" s="590"/>
    </row>
    <row r="6" ht="10.5" customHeight="1"/>
    <row r="7" spans="2:3" ht="23.25" customHeight="1">
      <c r="B7" s="591" t="s">
        <v>771</v>
      </c>
      <c r="C7" s="592"/>
    </row>
    <row r="8" ht="6.75" customHeight="1"/>
    <row r="9" spans="2:6" ht="22.5" customHeight="1">
      <c r="B9" s="593" t="s">
        <v>772</v>
      </c>
      <c r="C9" s="593"/>
      <c r="D9" s="593"/>
      <c r="E9" s="593"/>
      <c r="F9" s="593"/>
    </row>
    <row r="10" ht="10.5" customHeight="1"/>
    <row r="11" spans="2:4" s="594" customFormat="1" ht="29.25" customHeight="1">
      <c r="B11" s="595"/>
      <c r="C11" s="596" t="s">
        <v>773</v>
      </c>
      <c r="D11" s="597" t="s">
        <v>774</v>
      </c>
    </row>
    <row r="12" spans="2:4" s="594" customFormat="1" ht="30.75" customHeight="1">
      <c r="B12" s="598" t="s">
        <v>775</v>
      </c>
      <c r="C12" s="599">
        <f>C20</f>
        <v>0</v>
      </c>
      <c r="D12" s="600">
        <f>IF(C30="",C24,C30)</f>
        <v>0</v>
      </c>
    </row>
    <row r="13" spans="2:4" s="594" customFormat="1" ht="30.75" customHeight="1">
      <c r="B13" s="598" t="s">
        <v>776</v>
      </c>
      <c r="C13" s="599">
        <f>C36</f>
        <v>0</v>
      </c>
      <c r="D13" s="600">
        <f>IF(C46="",C40,C46)</f>
        <v>0</v>
      </c>
    </row>
    <row r="14" spans="2:4" s="594" customFormat="1" ht="30.75" customHeight="1">
      <c r="B14" s="598" t="s">
        <v>777</v>
      </c>
      <c r="C14" s="599">
        <f>C53</f>
        <v>0</v>
      </c>
      <c r="D14" s="600">
        <f>IF(C63="",C57,C63)</f>
        <v>0</v>
      </c>
    </row>
    <row r="15" spans="2:4" s="594" customFormat="1" ht="30.75" customHeight="1">
      <c r="B15" s="601" t="s">
        <v>778</v>
      </c>
      <c r="C15" s="602">
        <f>C69</f>
        <v>0</v>
      </c>
      <c r="D15" s="603">
        <f>IF(C79="",C73,C79)</f>
        <v>0</v>
      </c>
    </row>
    <row r="16" spans="2:8" s="594" customFormat="1" ht="33.75" customHeight="1">
      <c r="B16" s="604" t="s">
        <v>779</v>
      </c>
      <c r="C16" s="605"/>
      <c r="D16" s="606">
        <f>SUM(D12:D15)</f>
        <v>0</v>
      </c>
      <c r="E16" s="1827">
        <f>IF(D16&lt;&gt;'PR_Cash Request_7A&amp;B'!D23,"The total does not match requested amount on PR signature page","")</f>
      </c>
      <c r="F16" s="1827"/>
      <c r="H16" s="607"/>
    </row>
    <row r="17" spans="12:13" s="594" customFormat="1" ht="6" customHeight="1">
      <c r="L17" s="608"/>
      <c r="M17" s="608"/>
    </row>
    <row r="18" spans="2:13" s="594" customFormat="1" ht="15">
      <c r="B18" s="609" t="s">
        <v>780</v>
      </c>
      <c r="C18" s="609"/>
      <c r="D18" s="609"/>
      <c r="E18" s="609"/>
      <c r="F18" s="609"/>
      <c r="G18" s="610"/>
      <c r="H18" s="610"/>
      <c r="I18" s="610"/>
      <c r="J18" s="610"/>
      <c r="K18" s="610"/>
      <c r="L18" s="610"/>
      <c r="M18" s="610"/>
    </row>
    <row r="19" ht="10.5" customHeight="1"/>
    <row r="20" spans="2:6" s="594" customFormat="1" ht="25.5" customHeight="1">
      <c r="B20" s="611" t="s">
        <v>781</v>
      </c>
      <c r="C20" s="612"/>
      <c r="E20" s="613" t="s">
        <v>782</v>
      </c>
      <c r="F20" s="612" t="s">
        <v>608</v>
      </c>
    </row>
    <row r="21" spans="3:6" s="594" customFormat="1" ht="6" customHeight="1">
      <c r="C21" s="614"/>
      <c r="E21" s="615"/>
      <c r="F21" s="616"/>
    </row>
    <row r="22" spans="2:6" s="594" customFormat="1" ht="29.25" customHeight="1">
      <c r="B22" s="617" t="s">
        <v>783</v>
      </c>
      <c r="C22" s="612"/>
      <c r="E22" s="613" t="s">
        <v>782</v>
      </c>
      <c r="F22" s="618"/>
    </row>
    <row r="23" spans="3:6" s="594" customFormat="1" ht="8.25" customHeight="1">
      <c r="C23" s="614"/>
      <c r="E23" s="615"/>
      <c r="F23" s="616"/>
    </row>
    <row r="24" spans="2:6" s="594" customFormat="1" ht="33.75" customHeight="1">
      <c r="B24" s="619" t="s">
        <v>784</v>
      </c>
      <c r="C24" s="620"/>
      <c r="D24" s="621"/>
      <c r="E24" s="613" t="s">
        <v>785</v>
      </c>
      <c r="F24" s="618"/>
    </row>
    <row r="25" spans="3:6" s="594" customFormat="1" ht="6" customHeight="1">
      <c r="C25" s="614"/>
      <c r="E25" s="615"/>
      <c r="F25" s="616"/>
    </row>
    <row r="26" spans="2:6" s="594" customFormat="1" ht="18.75" customHeight="1">
      <c r="B26" s="619" t="s">
        <v>786</v>
      </c>
      <c r="C26" s="612"/>
      <c r="E26" s="613" t="s">
        <v>787</v>
      </c>
      <c r="F26" s="618"/>
    </row>
    <row r="27" spans="3:6" s="594" customFormat="1" ht="7.5" customHeight="1">
      <c r="C27" s="614"/>
      <c r="E27" s="615"/>
      <c r="F27" s="616"/>
    </row>
    <row r="28" spans="2:6" s="594" customFormat="1" ht="57.75" customHeight="1">
      <c r="B28" s="619" t="s">
        <v>788</v>
      </c>
      <c r="C28" s="622"/>
      <c r="E28" s="613" t="s">
        <v>789</v>
      </c>
      <c r="F28" s="618"/>
    </row>
    <row r="29" spans="5:6" ht="10.5" customHeight="1">
      <c r="E29" s="623"/>
      <c r="F29" s="616"/>
    </row>
    <row r="30" spans="2:6" s="594" customFormat="1" ht="42" customHeight="1">
      <c r="B30" s="619" t="s">
        <v>790</v>
      </c>
      <c r="C30" s="620"/>
      <c r="E30" s="613" t="s">
        <v>791</v>
      </c>
      <c r="F30" s="618"/>
    </row>
    <row r="31" spans="5:6" ht="10.5" customHeight="1">
      <c r="E31" s="623"/>
      <c r="F31" s="610"/>
    </row>
    <row r="32" spans="2:6" s="594" customFormat="1" ht="36.75" customHeight="1">
      <c r="B32" s="624"/>
      <c r="C32" s="625"/>
      <c r="E32" s="613" t="s">
        <v>792</v>
      </c>
      <c r="F32" s="618"/>
    </row>
    <row r="33" spans="2:3" s="594" customFormat="1" ht="6.75" customHeight="1">
      <c r="B33" s="621"/>
      <c r="C33" s="621"/>
    </row>
    <row r="34" spans="2:13" s="594" customFormat="1" ht="15">
      <c r="B34" s="609" t="s">
        <v>776</v>
      </c>
      <c r="C34" s="609"/>
      <c r="D34" s="609"/>
      <c r="E34" s="609"/>
      <c r="F34" s="609"/>
      <c r="G34" s="610"/>
      <c r="H34" s="610"/>
      <c r="I34" s="610"/>
      <c r="J34" s="610"/>
      <c r="K34" s="610"/>
      <c r="L34" s="610"/>
      <c r="M34" s="610"/>
    </row>
    <row r="35" ht="10.5" customHeight="1"/>
    <row r="36" spans="2:6" s="594" customFormat="1" ht="25.5" customHeight="1">
      <c r="B36" s="611" t="s">
        <v>781</v>
      </c>
      <c r="C36" s="612"/>
      <c r="E36" s="613" t="s">
        <v>782</v>
      </c>
      <c r="F36" s="618"/>
    </row>
    <row r="37" spans="3:6" s="594" customFormat="1" ht="6" customHeight="1">
      <c r="C37" s="614"/>
      <c r="E37" s="615"/>
      <c r="F37" s="616"/>
    </row>
    <row r="38" spans="2:6" s="594" customFormat="1" ht="29.25" customHeight="1">
      <c r="B38" s="617" t="s">
        <v>783</v>
      </c>
      <c r="C38" s="612"/>
      <c r="E38" s="613" t="s">
        <v>782</v>
      </c>
      <c r="F38" s="618"/>
    </row>
    <row r="39" spans="3:6" s="594" customFormat="1" ht="8.25" customHeight="1">
      <c r="C39" s="614"/>
      <c r="E39" s="615"/>
      <c r="F39" s="616"/>
    </row>
    <row r="40" spans="2:6" s="594" customFormat="1" ht="33.75" customHeight="1">
      <c r="B40" s="619" t="s">
        <v>784</v>
      </c>
      <c r="C40" s="620"/>
      <c r="D40" s="621"/>
      <c r="E40" s="613" t="s">
        <v>785</v>
      </c>
      <c r="F40" s="618"/>
    </row>
    <row r="41" spans="3:6" s="594" customFormat="1" ht="6" customHeight="1">
      <c r="C41" s="614"/>
      <c r="E41" s="615"/>
      <c r="F41" s="616"/>
    </row>
    <row r="42" spans="2:6" s="594" customFormat="1" ht="18.75" customHeight="1">
      <c r="B42" s="619" t="s">
        <v>786</v>
      </c>
      <c r="C42" s="612"/>
      <c r="E42" s="613" t="s">
        <v>787</v>
      </c>
      <c r="F42" s="618"/>
    </row>
    <row r="43" spans="3:6" s="594" customFormat="1" ht="7.5" customHeight="1">
      <c r="C43" s="614"/>
      <c r="E43" s="615"/>
      <c r="F43" s="616"/>
    </row>
    <row r="44" spans="2:6" s="594" customFormat="1" ht="57.75" customHeight="1">
      <c r="B44" s="619" t="s">
        <v>788</v>
      </c>
      <c r="C44" s="622"/>
      <c r="E44" s="613" t="s">
        <v>789</v>
      </c>
      <c r="F44" s="618"/>
    </row>
    <row r="45" spans="5:6" ht="10.5" customHeight="1">
      <c r="E45" s="623"/>
      <c r="F45" s="616"/>
    </row>
    <row r="46" spans="2:6" s="594" customFormat="1" ht="42" customHeight="1">
      <c r="B46" s="619" t="s">
        <v>790</v>
      </c>
      <c r="C46" s="620"/>
      <c r="E46" s="613" t="s">
        <v>791</v>
      </c>
      <c r="F46" s="618"/>
    </row>
    <row r="47" spans="5:6" ht="10.5" customHeight="1">
      <c r="E47" s="623"/>
      <c r="F47" s="610"/>
    </row>
    <row r="48" spans="2:6" s="594" customFormat="1" ht="30.75" customHeight="1">
      <c r="B48" s="624"/>
      <c r="C48" s="625"/>
      <c r="E48" s="613" t="s">
        <v>792</v>
      </c>
      <c r="F48" s="618"/>
    </row>
    <row r="49" spans="2:3" s="594" customFormat="1" ht="5.25" customHeight="1">
      <c r="B49" s="621"/>
      <c r="C49" s="621"/>
    </row>
    <row r="50" spans="12:13" s="594" customFormat="1" ht="2.25" customHeight="1">
      <c r="L50" s="608"/>
      <c r="M50" s="608"/>
    </row>
    <row r="51" spans="2:13" s="594" customFormat="1" ht="15">
      <c r="B51" s="609" t="s">
        <v>777</v>
      </c>
      <c r="C51" s="609"/>
      <c r="D51" s="609"/>
      <c r="E51" s="609"/>
      <c r="F51" s="609"/>
      <c r="G51" s="610"/>
      <c r="H51" s="610"/>
      <c r="I51" s="610"/>
      <c r="J51" s="610"/>
      <c r="K51" s="610"/>
      <c r="L51" s="610"/>
      <c r="M51" s="610"/>
    </row>
    <row r="52" ht="10.5" customHeight="1"/>
    <row r="53" spans="2:6" s="594" customFormat="1" ht="25.5" customHeight="1">
      <c r="B53" s="611" t="s">
        <v>781</v>
      </c>
      <c r="C53" s="612"/>
      <c r="E53" s="613" t="s">
        <v>782</v>
      </c>
      <c r="F53" s="618"/>
    </row>
    <row r="54" spans="3:6" s="594" customFormat="1" ht="6" customHeight="1">
      <c r="C54" s="614"/>
      <c r="E54" s="615"/>
      <c r="F54" s="616"/>
    </row>
    <row r="55" spans="2:6" s="594" customFormat="1" ht="29.25" customHeight="1">
      <c r="B55" s="617" t="s">
        <v>783</v>
      </c>
      <c r="C55" s="612"/>
      <c r="E55" s="613" t="s">
        <v>782</v>
      </c>
      <c r="F55" s="618"/>
    </row>
    <row r="56" spans="3:6" s="594" customFormat="1" ht="8.25" customHeight="1">
      <c r="C56" s="614"/>
      <c r="E56" s="615"/>
      <c r="F56" s="616"/>
    </row>
    <row r="57" spans="2:6" s="594" customFormat="1" ht="33.75" customHeight="1">
      <c r="B57" s="619" t="s">
        <v>784</v>
      </c>
      <c r="C57" s="620"/>
      <c r="D57" s="621"/>
      <c r="E57" s="613" t="s">
        <v>785</v>
      </c>
      <c r="F57" s="618"/>
    </row>
    <row r="58" spans="3:6" s="594" customFormat="1" ht="6" customHeight="1">
      <c r="C58" s="614"/>
      <c r="E58" s="615"/>
      <c r="F58" s="616"/>
    </row>
    <row r="59" spans="2:6" s="594" customFormat="1" ht="18.75" customHeight="1">
      <c r="B59" s="619" t="s">
        <v>786</v>
      </c>
      <c r="C59" s="612"/>
      <c r="E59" s="613" t="s">
        <v>787</v>
      </c>
      <c r="F59" s="618"/>
    </row>
    <row r="60" spans="3:6" s="594" customFormat="1" ht="7.5" customHeight="1">
      <c r="C60" s="614"/>
      <c r="E60" s="615"/>
      <c r="F60" s="616"/>
    </row>
    <row r="61" spans="2:6" s="594" customFormat="1" ht="57.75" customHeight="1">
      <c r="B61" s="619" t="s">
        <v>788</v>
      </c>
      <c r="C61" s="622"/>
      <c r="E61" s="613" t="s">
        <v>789</v>
      </c>
      <c r="F61" s="618"/>
    </row>
    <row r="62" spans="5:6" ht="10.5" customHeight="1">
      <c r="E62" s="623"/>
      <c r="F62" s="616"/>
    </row>
    <row r="63" spans="2:6" s="594" customFormat="1" ht="42" customHeight="1">
      <c r="B63" s="619" t="s">
        <v>790</v>
      </c>
      <c r="C63" s="620"/>
      <c r="E63" s="613" t="s">
        <v>791</v>
      </c>
      <c r="F63" s="618"/>
    </row>
    <row r="64" spans="5:6" ht="10.5" customHeight="1">
      <c r="E64" s="623"/>
      <c r="F64" s="610"/>
    </row>
    <row r="65" spans="2:6" s="594" customFormat="1" ht="33.75" customHeight="1">
      <c r="B65" s="624"/>
      <c r="C65" s="625"/>
      <c r="E65" s="613" t="s">
        <v>792</v>
      </c>
      <c r="F65" s="618"/>
    </row>
    <row r="66" spans="2:3" s="594" customFormat="1" ht="5.25" customHeight="1">
      <c r="B66" s="621"/>
      <c r="C66" s="621"/>
    </row>
    <row r="67" spans="2:13" s="594" customFormat="1" ht="15">
      <c r="B67" s="609" t="s">
        <v>778</v>
      </c>
      <c r="C67" s="609"/>
      <c r="D67" s="609"/>
      <c r="E67" s="609"/>
      <c r="F67" s="609"/>
      <c r="G67" s="610"/>
      <c r="H67" s="610"/>
      <c r="I67" s="610"/>
      <c r="J67" s="610"/>
      <c r="K67" s="610"/>
      <c r="L67" s="610"/>
      <c r="M67" s="610"/>
    </row>
    <row r="68" ht="10.5" customHeight="1"/>
    <row r="69" spans="2:6" s="594" customFormat="1" ht="25.5" customHeight="1">
      <c r="B69" s="611" t="s">
        <v>781</v>
      </c>
      <c r="C69" s="612"/>
      <c r="E69" s="613" t="s">
        <v>782</v>
      </c>
      <c r="F69" s="618"/>
    </row>
    <row r="70" spans="3:6" s="594" customFormat="1" ht="6" customHeight="1">
      <c r="C70" s="614"/>
      <c r="E70" s="615"/>
      <c r="F70" s="616"/>
    </row>
    <row r="71" spans="2:6" s="594" customFormat="1" ht="29.25" customHeight="1">
      <c r="B71" s="617" t="s">
        <v>783</v>
      </c>
      <c r="C71" s="612"/>
      <c r="E71" s="613" t="s">
        <v>782</v>
      </c>
      <c r="F71" s="618"/>
    </row>
    <row r="72" spans="3:6" s="594" customFormat="1" ht="8.25" customHeight="1">
      <c r="C72" s="614"/>
      <c r="E72" s="615"/>
      <c r="F72" s="616"/>
    </row>
    <row r="73" spans="2:6" s="594" customFormat="1" ht="33.75" customHeight="1">
      <c r="B73" s="619" t="s">
        <v>784</v>
      </c>
      <c r="C73" s="620"/>
      <c r="D73" s="621"/>
      <c r="E73" s="613" t="s">
        <v>785</v>
      </c>
      <c r="F73" s="618"/>
    </row>
    <row r="74" spans="3:6" s="594" customFormat="1" ht="6" customHeight="1">
      <c r="C74" s="614"/>
      <c r="E74" s="615"/>
      <c r="F74" s="616"/>
    </row>
    <row r="75" spans="2:6" s="594" customFormat="1" ht="18.75" customHeight="1">
      <c r="B75" s="619" t="s">
        <v>786</v>
      </c>
      <c r="C75" s="612"/>
      <c r="E75" s="613" t="s">
        <v>787</v>
      </c>
      <c r="F75" s="618"/>
    </row>
    <row r="76" spans="3:6" s="594" customFormat="1" ht="7.5" customHeight="1">
      <c r="C76" s="614"/>
      <c r="E76" s="615"/>
      <c r="F76" s="616"/>
    </row>
    <row r="77" spans="2:6" s="594" customFormat="1" ht="57.75" customHeight="1">
      <c r="B77" s="619" t="s">
        <v>788</v>
      </c>
      <c r="C77" s="622"/>
      <c r="E77" s="613" t="s">
        <v>789</v>
      </c>
      <c r="F77" s="618"/>
    </row>
    <row r="78" spans="5:6" ht="10.5" customHeight="1">
      <c r="E78" s="623"/>
      <c r="F78" s="616"/>
    </row>
    <row r="79" spans="2:6" s="594" customFormat="1" ht="42" customHeight="1">
      <c r="B79" s="619" t="s">
        <v>790</v>
      </c>
      <c r="C79" s="620"/>
      <c r="E79" s="613" t="s">
        <v>791</v>
      </c>
      <c r="F79" s="618"/>
    </row>
    <row r="80" spans="5:6" ht="6" customHeight="1">
      <c r="E80" s="623"/>
      <c r="F80" s="610"/>
    </row>
    <row r="81" spans="2:6" s="594" customFormat="1" ht="26.25" customHeight="1">
      <c r="B81" s="624"/>
      <c r="C81" s="625"/>
      <c r="E81" s="613" t="s">
        <v>792</v>
      </c>
      <c r="F81" s="618"/>
    </row>
    <row r="82" spans="2:3" s="594" customFormat="1" ht="12" customHeight="1">
      <c r="B82" s="621"/>
      <c r="C82" s="621"/>
    </row>
  </sheetData>
  <sheetProtection password="92D1" sheet="1" formatCells="0" formatColumns="0"/>
  <mergeCells count="3">
    <mergeCell ref="A1:D1"/>
    <mergeCell ref="A3:E3"/>
    <mergeCell ref="E16:F16"/>
  </mergeCells>
  <conditionalFormatting sqref="E16">
    <cfRule type="cellIs" priority="1" dxfId="3" operator="equal" stopIfTrue="1">
      <formula>""</formula>
    </cfRule>
  </conditionalFormatting>
  <printOptions/>
  <pageMargins left="0.7083333333333334" right="0.7083333333333334" top="0.7479166666666667" bottom="0.7486111111111111" header="0.5118055555555555" footer="0.31527777777777777"/>
  <pageSetup cellComments="atEnd" fitToHeight="0" fitToWidth="1" horizontalDpi="300" verticalDpi="300" orientation="portrait" paperSize="9" scale="41" r:id="rId1"/>
  <headerFooter alignWithMargins="0">
    <oddFooter>&amp;L&amp;F&amp;C&amp;A&amp;R&amp;P of &amp;N</oddFooter>
  </headerFooter>
</worksheet>
</file>

<file path=xl/worksheets/sheet13.xml><?xml version="1.0" encoding="utf-8"?>
<worksheet xmlns="http://schemas.openxmlformats.org/spreadsheetml/2006/main" xmlns:r="http://schemas.openxmlformats.org/officeDocument/2006/relationships">
  <sheetPr>
    <tabColor indexed="11"/>
    <pageSetUpPr fitToPage="1"/>
  </sheetPr>
  <dimension ref="B1:Z39"/>
  <sheetViews>
    <sheetView showGridLines="0" view="pageBreakPreview" zoomScale="55" zoomScaleNormal="70" zoomScaleSheetLayoutView="55" zoomScalePageLayoutView="0" workbookViewId="0" topLeftCell="A1">
      <selection activeCell="L9" sqref="L9"/>
    </sheetView>
  </sheetViews>
  <sheetFormatPr defaultColWidth="9.140625" defaultRowHeight="12.75"/>
  <cols>
    <col min="1" max="1" width="2.00390625" style="2" customWidth="1"/>
    <col min="2" max="2" width="20.421875" style="2" customWidth="1"/>
    <col min="3" max="3" width="0" style="2" hidden="1" customWidth="1"/>
    <col min="4" max="4" width="19.57421875" style="2" customWidth="1"/>
    <col min="5" max="5" width="2.28125" style="2" customWidth="1"/>
    <col min="6" max="6" width="40.8515625" style="2" customWidth="1"/>
    <col min="7" max="7" width="30.00390625" style="2" customWidth="1"/>
    <col min="8" max="8" width="2.421875" style="2" customWidth="1"/>
    <col min="9" max="9" width="16.28125" style="2" customWidth="1"/>
    <col min="10" max="10" width="31.421875" style="2" customWidth="1"/>
    <col min="11" max="11" width="2.57421875" style="2" customWidth="1"/>
    <col min="12" max="12" width="19.7109375" style="2" customWidth="1"/>
    <col min="13" max="13" width="19.421875" style="2" customWidth="1"/>
    <col min="14" max="14" width="20.7109375" style="165" customWidth="1"/>
    <col min="15" max="15" width="0" style="2" hidden="1" customWidth="1"/>
    <col min="16" max="16" width="68.28125" style="2" customWidth="1"/>
    <col min="17" max="17" width="4.140625" style="5" customWidth="1"/>
    <col min="18" max="26" width="9.140625" style="5" customWidth="1"/>
    <col min="27" max="16384" width="9.140625" style="2" customWidth="1"/>
  </cols>
  <sheetData>
    <row r="1" spans="2:26" ht="25.5" customHeight="1">
      <c r="B1" s="1829" t="s">
        <v>768</v>
      </c>
      <c r="C1" s="1829"/>
      <c r="D1" s="1829"/>
      <c r="E1" s="1829"/>
      <c r="F1" s="1829"/>
      <c r="G1" s="1829"/>
      <c r="H1" s="1829"/>
      <c r="I1" s="1829"/>
      <c r="J1" s="1829"/>
      <c r="K1" s="1829"/>
      <c r="L1" s="1829"/>
      <c r="M1" s="1829"/>
      <c r="N1" s="1829"/>
      <c r="O1" s="1829"/>
      <c r="P1" s="1829"/>
      <c r="Q1" s="627"/>
      <c r="R1" s="627"/>
      <c r="S1" s="627"/>
      <c r="T1" s="627"/>
      <c r="U1" s="627"/>
      <c r="V1" s="627"/>
      <c r="W1" s="627"/>
      <c r="X1" s="627"/>
      <c r="Y1" s="627"/>
      <c r="Z1" s="627"/>
    </row>
    <row r="2" spans="2:24" ht="14.25" customHeight="1">
      <c r="B2" s="5"/>
      <c r="C2" s="5"/>
      <c r="D2" s="5"/>
      <c r="E2" s="5"/>
      <c r="F2" s="5"/>
      <c r="G2" s="5"/>
      <c r="H2" s="5"/>
      <c r="I2" s="628"/>
      <c r="J2" s="119"/>
      <c r="K2" s="5"/>
      <c r="L2" s="5"/>
      <c r="M2" s="5"/>
      <c r="N2" s="5"/>
      <c r="R2" s="145"/>
      <c r="S2" s="145"/>
      <c r="T2" s="145"/>
      <c r="U2" s="145"/>
      <c r="V2" s="145"/>
      <c r="W2" s="145"/>
      <c r="X2" s="145"/>
    </row>
    <row r="3" spans="2:26" s="107" customFormat="1" ht="26.25" customHeight="1">
      <c r="B3" s="629" t="s">
        <v>793</v>
      </c>
      <c r="C3" s="630"/>
      <c r="D3" s="630"/>
      <c r="E3" s="630"/>
      <c r="F3" s="630"/>
      <c r="G3" s="630"/>
      <c r="H3" s="630"/>
      <c r="I3" s="630"/>
      <c r="J3" s="630"/>
      <c r="K3" s="630"/>
      <c r="L3" s="630"/>
      <c r="M3" s="630"/>
      <c r="N3" s="630"/>
      <c r="O3" s="630"/>
      <c r="P3" s="631"/>
      <c r="Q3" s="145"/>
      <c r="R3" s="145"/>
      <c r="S3" s="145"/>
      <c r="T3" s="145"/>
      <c r="U3" s="145"/>
      <c r="V3" s="145"/>
      <c r="W3" s="145"/>
      <c r="X3" s="145"/>
      <c r="Y3" s="145"/>
      <c r="Z3" s="145"/>
    </row>
    <row r="5" spans="2:16" ht="22.5" customHeight="1">
      <c r="B5" s="107" t="s">
        <v>794</v>
      </c>
      <c r="J5" s="632"/>
      <c r="L5" s="357"/>
      <c r="M5" s="118"/>
      <c r="N5" s="633"/>
      <c r="O5" s="118"/>
      <c r="P5" s="118"/>
    </row>
    <row r="7" spans="2:15" ht="15.75" customHeight="1">
      <c r="B7" s="1672" t="s">
        <v>74</v>
      </c>
      <c r="C7" s="1672"/>
      <c r="D7" s="1672"/>
      <c r="E7" s="1672"/>
      <c r="F7" s="1672"/>
      <c r="G7" s="1762" t="str">
        <f>'PR_Programmatic Progress_1A'!C7</f>
        <v>SLV-910-G08-T</v>
      </c>
      <c r="H7" s="1762"/>
      <c r="I7" s="1762"/>
      <c r="J7" s="1762"/>
      <c r="K7" s="1762"/>
      <c r="L7" s="1762"/>
      <c r="O7" s="165"/>
    </row>
    <row r="8" spans="2:15" ht="15">
      <c r="B8" s="90" t="s">
        <v>87</v>
      </c>
      <c r="C8" s="91"/>
      <c r="D8" s="91"/>
      <c r="E8" s="91"/>
      <c r="F8" s="91"/>
      <c r="G8" s="92" t="s">
        <v>88</v>
      </c>
      <c r="H8" s="1830" t="str">
        <f>'PR_Programmatic Progress_1A'!D12</f>
        <v>Semestral</v>
      </c>
      <c r="I8" s="1830"/>
      <c r="J8" s="1831" t="s">
        <v>90</v>
      </c>
      <c r="K8" s="1831"/>
      <c r="L8" s="123">
        <f>'PR_Programmatic Progress_1A'!F12</f>
        <v>10</v>
      </c>
      <c r="O8" s="165"/>
    </row>
    <row r="9" spans="2:15" ht="15">
      <c r="B9" s="94" t="s">
        <v>91</v>
      </c>
      <c r="C9" s="95"/>
      <c r="D9" s="95"/>
      <c r="E9" s="95"/>
      <c r="F9" s="95"/>
      <c r="G9" s="96" t="s">
        <v>92</v>
      </c>
      <c r="H9" s="1832">
        <f>'PR_Programmatic Progress_1A'!D13</f>
        <v>42005</v>
      </c>
      <c r="I9" s="1832"/>
      <c r="J9" s="1833" t="s">
        <v>93</v>
      </c>
      <c r="K9" s="1833"/>
      <c r="L9" s="125">
        <f>'PR_Programmatic Progress_1A'!F13</f>
        <v>42185</v>
      </c>
      <c r="O9" s="165"/>
    </row>
    <row r="10" spans="2:12" ht="15">
      <c r="B10" s="97" t="s">
        <v>183</v>
      </c>
      <c r="C10" s="98"/>
      <c r="D10" s="98"/>
      <c r="E10" s="98"/>
      <c r="F10" s="99"/>
      <c r="G10" s="1763">
        <f>'PR_Programmatic Progress_1A'!C14</f>
        <v>10</v>
      </c>
      <c r="H10" s="1763"/>
      <c r="I10" s="1763"/>
      <c r="J10" s="1763"/>
      <c r="K10" s="1763"/>
      <c r="L10" s="1763"/>
    </row>
    <row r="11" spans="2:13" s="75" customFormat="1" ht="15" customHeight="1">
      <c r="B11" s="1813" t="s">
        <v>521</v>
      </c>
      <c r="C11" s="1813"/>
      <c r="D11" s="635"/>
      <c r="E11" s="1828" t="str">
        <f>IF('PR_Programmatic Progress_1A'!C10="Select","",'PR_Programmatic Progress_1A'!C10)</f>
        <v>USD</v>
      </c>
      <c r="F11" s="1828"/>
      <c r="G11" s="1828"/>
      <c r="H11" s="1828"/>
      <c r="I11" s="1828"/>
      <c r="J11" s="1828"/>
      <c r="K11" s="1828"/>
      <c r="L11" s="1828"/>
      <c r="M11" s="25"/>
    </row>
    <row r="12" ht="12.75">
      <c r="N12" s="636"/>
    </row>
    <row r="14" spans="2:26" s="637" customFormat="1" ht="90">
      <c r="B14" s="638" t="s">
        <v>795</v>
      </c>
      <c r="C14" s="639" t="s">
        <v>796</v>
      </c>
      <c r="D14" s="640" t="s">
        <v>797</v>
      </c>
      <c r="E14" s="641"/>
      <c r="F14" s="642" t="s">
        <v>798</v>
      </c>
      <c r="G14" s="640" t="s">
        <v>799</v>
      </c>
      <c r="H14" s="643"/>
      <c r="I14" s="642" t="s">
        <v>800</v>
      </c>
      <c r="J14" s="640" t="s">
        <v>801</v>
      </c>
      <c r="K14" s="641"/>
      <c r="L14" s="642" t="s">
        <v>802</v>
      </c>
      <c r="M14" s="640" t="s">
        <v>803</v>
      </c>
      <c r="N14" s="640" t="s">
        <v>804</v>
      </c>
      <c r="O14" s="644" t="s">
        <v>805</v>
      </c>
      <c r="P14" s="642" t="s">
        <v>806</v>
      </c>
      <c r="Q14" s="645"/>
      <c r="R14" s="645"/>
      <c r="S14" s="645"/>
      <c r="T14" s="645"/>
      <c r="U14" s="645"/>
      <c r="V14" s="645"/>
      <c r="W14" s="645"/>
      <c r="X14" s="645"/>
      <c r="Y14" s="645"/>
      <c r="Z14" s="645"/>
    </row>
    <row r="15" spans="2:16" ht="34.5" customHeight="1">
      <c r="B15" s="646"/>
      <c r="C15" s="647">
        <v>0</v>
      </c>
      <c r="D15" s="648"/>
      <c r="E15" s="649"/>
      <c r="F15" s="646" t="s">
        <v>676</v>
      </c>
      <c r="G15" s="646" t="s">
        <v>676</v>
      </c>
      <c r="H15" s="650"/>
      <c r="I15" s="646" t="s">
        <v>676</v>
      </c>
      <c r="J15" s="646" t="s">
        <v>676</v>
      </c>
      <c r="K15" s="651"/>
      <c r="L15" s="646" t="s">
        <v>676</v>
      </c>
      <c r="M15" s="652"/>
      <c r="N15" s="653"/>
      <c r="O15" s="654" t="s">
        <v>807</v>
      </c>
      <c r="P15" s="655"/>
    </row>
    <row r="16" spans="2:16" ht="34.5" customHeight="1">
      <c r="B16" s="646"/>
      <c r="C16" s="656">
        <v>0</v>
      </c>
      <c r="D16" s="648"/>
      <c r="E16" s="657"/>
      <c r="F16" s="646">
        <v>0</v>
      </c>
      <c r="G16" s="646">
        <v>0</v>
      </c>
      <c r="H16" s="658"/>
      <c r="I16" s="646">
        <v>0</v>
      </c>
      <c r="J16" s="646">
        <v>0</v>
      </c>
      <c r="K16" s="659"/>
      <c r="L16" s="646">
        <v>0</v>
      </c>
      <c r="M16" s="652"/>
      <c r="N16" s="653">
        <f aca="true" t="shared" si="0" ref="N16:N34">SUM(I16-L16)</f>
        <v>0</v>
      </c>
      <c r="O16" s="660">
        <v>0</v>
      </c>
      <c r="P16" s="655"/>
    </row>
    <row r="17" spans="2:16" ht="34.5" customHeight="1">
      <c r="B17" s="646"/>
      <c r="C17" s="656">
        <v>0</v>
      </c>
      <c r="D17" s="648"/>
      <c r="E17" s="657"/>
      <c r="F17" s="646">
        <v>0</v>
      </c>
      <c r="G17" s="646">
        <v>0</v>
      </c>
      <c r="H17" s="658"/>
      <c r="I17" s="646">
        <v>0</v>
      </c>
      <c r="J17" s="646">
        <v>0</v>
      </c>
      <c r="K17" s="659"/>
      <c r="L17" s="646">
        <v>0</v>
      </c>
      <c r="M17" s="652"/>
      <c r="N17" s="653">
        <f t="shared" si="0"/>
        <v>0</v>
      </c>
      <c r="O17" s="660">
        <v>0</v>
      </c>
      <c r="P17" s="655"/>
    </row>
    <row r="18" spans="2:16" ht="34.5" customHeight="1">
      <c r="B18" s="646"/>
      <c r="C18" s="656">
        <v>0</v>
      </c>
      <c r="D18" s="648"/>
      <c r="E18" s="657"/>
      <c r="F18" s="646">
        <v>0</v>
      </c>
      <c r="G18" s="646">
        <v>0</v>
      </c>
      <c r="H18" s="658"/>
      <c r="I18" s="646">
        <v>0</v>
      </c>
      <c r="J18" s="646">
        <v>0</v>
      </c>
      <c r="K18" s="659"/>
      <c r="L18" s="646">
        <v>0</v>
      </c>
      <c r="M18" s="652"/>
      <c r="N18" s="653">
        <f t="shared" si="0"/>
        <v>0</v>
      </c>
      <c r="O18" s="660">
        <v>0</v>
      </c>
      <c r="P18" s="655"/>
    </row>
    <row r="19" spans="2:16" ht="34.5" customHeight="1">
      <c r="B19" s="646"/>
      <c r="C19" s="656">
        <v>0</v>
      </c>
      <c r="D19" s="648"/>
      <c r="E19" s="657"/>
      <c r="F19" s="646">
        <v>0</v>
      </c>
      <c r="G19" s="646">
        <v>0</v>
      </c>
      <c r="H19" s="658"/>
      <c r="I19" s="646">
        <v>0</v>
      </c>
      <c r="J19" s="646">
        <v>0</v>
      </c>
      <c r="K19" s="659"/>
      <c r="L19" s="646">
        <v>0</v>
      </c>
      <c r="M19" s="652"/>
      <c r="N19" s="653">
        <f t="shared" si="0"/>
        <v>0</v>
      </c>
      <c r="O19" s="660">
        <v>0</v>
      </c>
      <c r="P19" s="655"/>
    </row>
    <row r="20" spans="2:16" ht="34.5" customHeight="1">
      <c r="B20" s="646"/>
      <c r="C20" s="656">
        <v>0</v>
      </c>
      <c r="D20" s="648"/>
      <c r="E20" s="657"/>
      <c r="F20" s="646">
        <v>0</v>
      </c>
      <c r="G20" s="646">
        <v>0</v>
      </c>
      <c r="H20" s="658"/>
      <c r="I20" s="646">
        <v>0</v>
      </c>
      <c r="J20" s="646">
        <v>0</v>
      </c>
      <c r="K20" s="659"/>
      <c r="L20" s="646">
        <v>0</v>
      </c>
      <c r="M20" s="652"/>
      <c r="N20" s="653">
        <f t="shared" si="0"/>
        <v>0</v>
      </c>
      <c r="O20" s="660">
        <v>0</v>
      </c>
      <c r="P20" s="655"/>
    </row>
    <row r="21" spans="2:16" ht="34.5" customHeight="1">
      <c r="B21" s="646"/>
      <c r="C21" s="656">
        <v>0</v>
      </c>
      <c r="D21" s="648"/>
      <c r="E21" s="657"/>
      <c r="F21" s="646">
        <v>0</v>
      </c>
      <c r="G21" s="646">
        <v>0</v>
      </c>
      <c r="H21" s="658"/>
      <c r="I21" s="646">
        <v>0</v>
      </c>
      <c r="J21" s="646">
        <v>0</v>
      </c>
      <c r="K21" s="659"/>
      <c r="L21" s="646">
        <v>0</v>
      </c>
      <c r="M21" s="652"/>
      <c r="N21" s="653">
        <f t="shared" si="0"/>
        <v>0</v>
      </c>
      <c r="O21" s="660">
        <v>0</v>
      </c>
      <c r="P21" s="655"/>
    </row>
    <row r="22" spans="2:16" ht="34.5" customHeight="1">
      <c r="B22" s="646"/>
      <c r="C22" s="656">
        <v>0</v>
      </c>
      <c r="D22" s="648"/>
      <c r="E22" s="657"/>
      <c r="F22" s="646">
        <v>0</v>
      </c>
      <c r="G22" s="646">
        <v>0</v>
      </c>
      <c r="H22" s="658"/>
      <c r="I22" s="646">
        <v>0</v>
      </c>
      <c r="J22" s="646">
        <v>0</v>
      </c>
      <c r="K22" s="659"/>
      <c r="L22" s="646">
        <v>0</v>
      </c>
      <c r="M22" s="652"/>
      <c r="N22" s="653">
        <f t="shared" si="0"/>
        <v>0</v>
      </c>
      <c r="O22" s="660">
        <v>0</v>
      </c>
      <c r="P22" s="655"/>
    </row>
    <row r="23" spans="2:16" ht="34.5" customHeight="1">
      <c r="B23" s="646"/>
      <c r="C23" s="656">
        <v>0</v>
      </c>
      <c r="D23" s="648"/>
      <c r="E23" s="657"/>
      <c r="F23" s="646">
        <v>0</v>
      </c>
      <c r="G23" s="646">
        <v>0</v>
      </c>
      <c r="H23" s="658"/>
      <c r="I23" s="646">
        <v>0</v>
      </c>
      <c r="J23" s="646">
        <v>0</v>
      </c>
      <c r="K23" s="659"/>
      <c r="L23" s="646">
        <v>0</v>
      </c>
      <c r="M23" s="652"/>
      <c r="N23" s="653">
        <f>SUM(I23-L23)</f>
        <v>0</v>
      </c>
      <c r="O23" s="660">
        <v>0</v>
      </c>
      <c r="P23" s="655"/>
    </row>
    <row r="24" spans="2:16" ht="34.5" customHeight="1">
      <c r="B24" s="646"/>
      <c r="C24" s="656">
        <v>0</v>
      </c>
      <c r="D24" s="648"/>
      <c r="E24" s="661"/>
      <c r="F24" s="646">
        <v>0</v>
      </c>
      <c r="G24" s="646">
        <v>0</v>
      </c>
      <c r="H24" s="662"/>
      <c r="I24" s="646">
        <v>0</v>
      </c>
      <c r="J24" s="646">
        <v>0</v>
      </c>
      <c r="K24" s="663"/>
      <c r="L24" s="646">
        <v>0</v>
      </c>
      <c r="M24" s="652"/>
      <c r="N24" s="653">
        <f t="shared" si="0"/>
        <v>0</v>
      </c>
      <c r="O24" s="660">
        <v>0</v>
      </c>
      <c r="P24" s="655"/>
    </row>
    <row r="25" spans="2:16" ht="34.5" customHeight="1">
      <c r="B25" s="646"/>
      <c r="C25" s="656">
        <v>0</v>
      </c>
      <c r="D25" s="648"/>
      <c r="E25" s="661"/>
      <c r="F25" s="646">
        <v>0</v>
      </c>
      <c r="G25" s="646">
        <v>0</v>
      </c>
      <c r="H25" s="662"/>
      <c r="I25" s="646">
        <v>0</v>
      </c>
      <c r="J25" s="646">
        <v>0</v>
      </c>
      <c r="K25" s="663"/>
      <c r="L25" s="646">
        <v>0</v>
      </c>
      <c r="M25" s="652"/>
      <c r="N25" s="653">
        <f t="shared" si="0"/>
        <v>0</v>
      </c>
      <c r="O25" s="660">
        <v>0</v>
      </c>
      <c r="P25" s="655"/>
    </row>
    <row r="26" spans="2:16" ht="34.5" customHeight="1">
      <c r="B26" s="646"/>
      <c r="C26" s="656">
        <v>0</v>
      </c>
      <c r="D26" s="648"/>
      <c r="E26" s="661"/>
      <c r="F26" s="646">
        <v>0</v>
      </c>
      <c r="G26" s="646">
        <v>0</v>
      </c>
      <c r="H26" s="662"/>
      <c r="I26" s="646">
        <v>0</v>
      </c>
      <c r="J26" s="646">
        <v>0</v>
      </c>
      <c r="K26" s="663"/>
      <c r="L26" s="646">
        <v>0</v>
      </c>
      <c r="M26" s="652"/>
      <c r="N26" s="653">
        <f t="shared" si="0"/>
        <v>0</v>
      </c>
      <c r="O26" s="660">
        <v>0</v>
      </c>
      <c r="P26" s="655"/>
    </row>
    <row r="27" spans="2:16" ht="34.5" customHeight="1">
      <c r="B27" s="646"/>
      <c r="C27" s="656">
        <v>0</v>
      </c>
      <c r="D27" s="648"/>
      <c r="E27" s="661"/>
      <c r="F27" s="646">
        <v>0</v>
      </c>
      <c r="G27" s="646">
        <v>0</v>
      </c>
      <c r="H27" s="662"/>
      <c r="I27" s="646">
        <v>0</v>
      </c>
      <c r="J27" s="646">
        <v>0</v>
      </c>
      <c r="K27" s="663"/>
      <c r="L27" s="646">
        <v>0</v>
      </c>
      <c r="M27" s="652"/>
      <c r="N27" s="653">
        <f t="shared" si="0"/>
        <v>0</v>
      </c>
      <c r="O27" s="660">
        <v>0</v>
      </c>
      <c r="P27" s="655"/>
    </row>
    <row r="28" spans="2:16" ht="34.5" customHeight="1">
      <c r="B28" s="646"/>
      <c r="C28" s="656">
        <v>0</v>
      </c>
      <c r="D28" s="648"/>
      <c r="E28" s="661"/>
      <c r="F28" s="646">
        <v>0</v>
      </c>
      <c r="G28" s="646">
        <v>0</v>
      </c>
      <c r="H28" s="662"/>
      <c r="I28" s="646">
        <v>0</v>
      </c>
      <c r="J28" s="646">
        <v>0</v>
      </c>
      <c r="K28" s="663"/>
      <c r="L28" s="646">
        <v>0</v>
      </c>
      <c r="M28" s="652"/>
      <c r="N28" s="653">
        <f t="shared" si="0"/>
        <v>0</v>
      </c>
      <c r="O28" s="660">
        <v>0</v>
      </c>
      <c r="P28" s="655"/>
    </row>
    <row r="29" spans="2:16" ht="34.5" customHeight="1">
      <c r="B29" s="646"/>
      <c r="C29" s="656">
        <v>0</v>
      </c>
      <c r="D29" s="648"/>
      <c r="E29" s="661"/>
      <c r="F29" s="646">
        <v>0</v>
      </c>
      <c r="G29" s="646">
        <v>0</v>
      </c>
      <c r="H29" s="662"/>
      <c r="I29" s="646">
        <v>0</v>
      </c>
      <c r="J29" s="646">
        <v>0</v>
      </c>
      <c r="K29" s="663"/>
      <c r="L29" s="646">
        <v>0</v>
      </c>
      <c r="M29" s="652"/>
      <c r="N29" s="653">
        <f t="shared" si="0"/>
        <v>0</v>
      </c>
      <c r="O29" s="660">
        <v>0</v>
      </c>
      <c r="P29" s="655"/>
    </row>
    <row r="30" spans="2:16" ht="34.5" customHeight="1">
      <c r="B30" s="646"/>
      <c r="C30" s="656">
        <v>0</v>
      </c>
      <c r="D30" s="648"/>
      <c r="E30" s="661"/>
      <c r="F30" s="646">
        <v>0</v>
      </c>
      <c r="G30" s="646">
        <v>0</v>
      </c>
      <c r="H30" s="662"/>
      <c r="I30" s="646">
        <v>0</v>
      </c>
      <c r="J30" s="646">
        <v>0</v>
      </c>
      <c r="K30" s="663"/>
      <c r="L30" s="646">
        <v>0</v>
      </c>
      <c r="M30" s="652"/>
      <c r="N30" s="653">
        <f t="shared" si="0"/>
        <v>0</v>
      </c>
      <c r="O30" s="660">
        <v>0</v>
      </c>
      <c r="P30" s="655"/>
    </row>
    <row r="31" spans="2:16" ht="34.5" customHeight="1">
      <c r="B31" s="646"/>
      <c r="C31" s="656">
        <v>0</v>
      </c>
      <c r="D31" s="648"/>
      <c r="E31" s="661"/>
      <c r="F31" s="646">
        <v>0</v>
      </c>
      <c r="G31" s="646">
        <v>0</v>
      </c>
      <c r="H31" s="662"/>
      <c r="I31" s="646">
        <v>0</v>
      </c>
      <c r="J31" s="646">
        <v>0</v>
      </c>
      <c r="K31" s="663"/>
      <c r="L31" s="646">
        <v>0</v>
      </c>
      <c r="M31" s="652"/>
      <c r="N31" s="653">
        <f t="shared" si="0"/>
        <v>0</v>
      </c>
      <c r="O31" s="660">
        <v>0</v>
      </c>
      <c r="P31" s="655"/>
    </row>
    <row r="32" spans="2:16" ht="34.5" customHeight="1">
      <c r="B32" s="646"/>
      <c r="C32" s="656">
        <v>0</v>
      </c>
      <c r="D32" s="648"/>
      <c r="E32" s="661"/>
      <c r="F32" s="646">
        <v>0</v>
      </c>
      <c r="G32" s="646">
        <v>0</v>
      </c>
      <c r="H32" s="662"/>
      <c r="I32" s="646">
        <v>0</v>
      </c>
      <c r="J32" s="646">
        <v>0</v>
      </c>
      <c r="K32" s="663"/>
      <c r="L32" s="646">
        <v>0</v>
      </c>
      <c r="M32" s="652"/>
      <c r="N32" s="653">
        <f t="shared" si="0"/>
        <v>0</v>
      </c>
      <c r="O32" s="660">
        <v>0</v>
      </c>
      <c r="P32" s="655"/>
    </row>
    <row r="33" spans="2:16" ht="34.5" customHeight="1">
      <c r="B33" s="646"/>
      <c r="C33" s="656">
        <v>0</v>
      </c>
      <c r="D33" s="648"/>
      <c r="E33" s="661"/>
      <c r="F33" s="646">
        <v>0</v>
      </c>
      <c r="G33" s="646">
        <v>0</v>
      </c>
      <c r="H33" s="662"/>
      <c r="I33" s="646">
        <v>0</v>
      </c>
      <c r="J33" s="646">
        <v>0</v>
      </c>
      <c r="K33" s="663"/>
      <c r="L33" s="646">
        <v>0</v>
      </c>
      <c r="M33" s="652"/>
      <c r="N33" s="653">
        <f t="shared" si="0"/>
        <v>0</v>
      </c>
      <c r="O33" s="660">
        <v>0</v>
      </c>
      <c r="P33" s="655"/>
    </row>
    <row r="34" spans="2:16" ht="34.5" customHeight="1">
      <c r="B34" s="646"/>
      <c r="C34" s="656">
        <v>0</v>
      </c>
      <c r="D34" s="648"/>
      <c r="E34" s="657"/>
      <c r="F34" s="646">
        <v>0</v>
      </c>
      <c r="G34" s="646">
        <v>0</v>
      </c>
      <c r="H34" s="658"/>
      <c r="I34" s="646">
        <v>0</v>
      </c>
      <c r="J34" s="646">
        <v>0</v>
      </c>
      <c r="K34" s="659"/>
      <c r="L34" s="646">
        <v>0</v>
      </c>
      <c r="M34" s="652"/>
      <c r="N34" s="653">
        <f t="shared" si="0"/>
        <v>0</v>
      </c>
      <c r="O34" s="660">
        <v>0</v>
      </c>
      <c r="P34" s="655"/>
    </row>
    <row r="35" spans="2:16" ht="14.25">
      <c r="B35" s="664"/>
      <c r="C35" s="665"/>
      <c r="D35" s="664" t="s">
        <v>808</v>
      </c>
      <c r="E35" s="466"/>
      <c r="F35" s="664"/>
      <c r="G35" s="664"/>
      <c r="H35" s="666"/>
      <c r="I35" s="664"/>
      <c r="J35" s="664"/>
      <c r="K35" s="466"/>
      <c r="L35" s="664"/>
      <c r="M35" s="664" t="s">
        <v>808</v>
      </c>
      <c r="N35" s="664"/>
      <c r="O35" s="667"/>
      <c r="P35" s="664"/>
    </row>
    <row r="36" spans="2:16" ht="22.5" customHeight="1">
      <c r="B36" s="664" t="s">
        <v>579</v>
      </c>
      <c r="C36" s="665"/>
      <c r="D36" s="664"/>
      <c r="E36" s="466"/>
      <c r="F36" s="668">
        <f>SUM(F15:F34)</f>
        <v>0</v>
      </c>
      <c r="G36" s="668">
        <f>SUM(G15:G34)</f>
        <v>0</v>
      </c>
      <c r="H36" s="669"/>
      <c r="I36" s="668">
        <f>SUM(I15:I34)</f>
        <v>0</v>
      </c>
      <c r="J36" s="668">
        <f>SUM(J15:J34)</f>
        <v>0</v>
      </c>
      <c r="K36" s="488"/>
      <c r="L36" s="668">
        <f>SUM(L15:L34)</f>
        <v>0</v>
      </c>
      <c r="M36" s="670"/>
      <c r="N36" s="668">
        <f>SUM(N15:N34)</f>
        <v>0</v>
      </c>
      <c r="O36" s="667"/>
      <c r="P36" s="671"/>
    </row>
    <row r="37" spans="2:16" ht="14.25">
      <c r="B37" s="666"/>
      <c r="C37" s="666"/>
      <c r="D37" s="666"/>
      <c r="E37" s="666"/>
      <c r="F37" s="666"/>
      <c r="G37" s="666"/>
      <c r="H37" s="666"/>
      <c r="I37" s="666"/>
      <c r="J37" s="666"/>
      <c r="K37" s="666"/>
      <c r="L37" s="666"/>
      <c r="M37" s="666"/>
      <c r="N37" s="672"/>
      <c r="O37" s="666"/>
      <c r="P37" s="666"/>
    </row>
    <row r="38" spans="2:16" ht="14.25">
      <c r="B38" s="666" t="s">
        <v>809</v>
      </c>
      <c r="C38" s="666"/>
      <c r="D38" s="666"/>
      <c r="E38" s="666"/>
      <c r="F38" s="666"/>
      <c r="G38" s="666"/>
      <c r="H38" s="666"/>
      <c r="I38" s="666"/>
      <c r="J38" s="666"/>
      <c r="K38" s="666"/>
      <c r="L38" s="666"/>
      <c r="M38" s="666"/>
      <c r="N38" s="672"/>
      <c r="O38" s="666"/>
      <c r="P38" s="666"/>
    </row>
    <row r="39" spans="2:16" ht="14.25">
      <c r="B39" s="666" t="s">
        <v>810</v>
      </c>
      <c r="C39" s="666"/>
      <c r="D39" s="666"/>
      <c r="E39" s="666"/>
      <c r="F39" s="666"/>
      <c r="G39" s="666"/>
      <c r="H39" s="666"/>
      <c r="I39" s="666"/>
      <c r="J39" s="666"/>
      <c r="K39" s="666"/>
      <c r="L39" s="666"/>
      <c r="M39" s="666"/>
      <c r="N39" s="672"/>
      <c r="O39" s="666"/>
      <c r="P39" s="666"/>
    </row>
  </sheetData>
  <sheetProtection selectLockedCells="1" selectUnlockedCells="1"/>
  <mergeCells count="10">
    <mergeCell ref="G10:L10"/>
    <mergeCell ref="B11:C11"/>
    <mergeCell ref="E11:L11"/>
    <mergeCell ref="B1:P1"/>
    <mergeCell ref="B7:F7"/>
    <mergeCell ref="G7:L7"/>
    <mergeCell ref="H8:I8"/>
    <mergeCell ref="J8:K8"/>
    <mergeCell ref="H9:I9"/>
    <mergeCell ref="J9:K9"/>
  </mergeCells>
  <dataValidations count="1">
    <dataValidation type="list" allowBlank="1" showErrorMessage="1" sqref="J5">
      <formula1>"Yes,No"</formula1>
      <formula2>0</formula2>
    </dataValidation>
  </dataValidations>
  <printOptions horizontalCentered="1"/>
  <pageMargins left="0.7479166666666667" right="0.7479166666666667" top="0.5902777777777778" bottom="0.5902777777777777" header="0.5118055555555555" footer="0.5118055555555555"/>
  <pageSetup cellComments="atEnd" fitToHeight="0" fitToWidth="1" horizontalDpi="300" verticalDpi="300" orientation="landscape" scale="41" r:id="rId1"/>
  <headerFooter alignWithMargins="0">
    <oddFooter>&amp;L&amp;9&amp;F&amp;C&amp;A&amp;R&amp;9Page &amp;P of &amp;N</oddFooter>
  </headerFooter>
</worksheet>
</file>

<file path=xl/worksheets/sheet14.xml><?xml version="1.0" encoding="utf-8"?>
<worksheet xmlns="http://schemas.openxmlformats.org/spreadsheetml/2006/main" xmlns:r="http://schemas.openxmlformats.org/officeDocument/2006/relationships">
  <sheetPr>
    <tabColor indexed="13"/>
    <pageSetUpPr fitToPage="1"/>
  </sheetPr>
  <dimension ref="A1:F41"/>
  <sheetViews>
    <sheetView view="pageBreakPreview" zoomScaleNormal="80" zoomScaleSheetLayoutView="100" zoomScalePageLayoutView="0" workbookViewId="0" topLeftCell="A12">
      <selection activeCell="E24" sqref="E24"/>
    </sheetView>
  </sheetViews>
  <sheetFormatPr defaultColWidth="9.140625" defaultRowHeight="12.75"/>
  <cols>
    <col min="1" max="1" width="42.140625" style="673" customWidth="1"/>
    <col min="2" max="2" width="21.28125" style="673" customWidth="1"/>
    <col min="3" max="3" width="22.7109375" style="673" customWidth="1"/>
    <col min="4" max="4" width="34.140625" style="673" customWidth="1"/>
    <col min="5" max="5" width="1.8515625" style="674" customWidth="1"/>
    <col min="6" max="6" width="50.8515625" style="674" customWidth="1"/>
    <col min="7" max="14" width="9.140625" style="674" customWidth="1"/>
    <col min="15" max="16384" width="9.140625" style="673" customWidth="1"/>
  </cols>
  <sheetData>
    <row r="1" spans="1:4" ht="15.75">
      <c r="A1" s="675" t="s">
        <v>811</v>
      </c>
      <c r="B1" s="674"/>
      <c r="C1" s="674"/>
      <c r="D1" s="674"/>
    </row>
    <row r="2" spans="1:4" ht="5.25" customHeight="1">
      <c r="A2" s="675"/>
      <c r="B2" s="674"/>
      <c r="C2" s="674"/>
      <c r="D2" s="674"/>
    </row>
    <row r="3" spans="1:4" ht="15">
      <c r="A3" s="676" t="s">
        <v>812</v>
      </c>
      <c r="B3" s="674"/>
      <c r="C3" s="674"/>
      <c r="D3" s="674"/>
    </row>
    <row r="4" spans="1:4" ht="9.75" customHeight="1">
      <c r="A4" s="674"/>
      <c r="B4" s="674"/>
      <c r="C4" s="674"/>
      <c r="D4" s="674"/>
    </row>
    <row r="5" spans="1:4" ht="35.25" customHeight="1">
      <c r="A5" s="677" t="s">
        <v>813</v>
      </c>
      <c r="B5" s="678" t="s">
        <v>814</v>
      </c>
      <c r="C5" s="677" t="s">
        <v>815</v>
      </c>
      <c r="D5" s="677" t="s">
        <v>689</v>
      </c>
    </row>
    <row r="6" spans="1:4" ht="15" customHeight="1">
      <c r="A6" s="1834" t="s">
        <v>816</v>
      </c>
      <c r="B6" s="1834"/>
      <c r="C6" s="1834"/>
      <c r="D6" s="1834"/>
    </row>
    <row r="7" spans="1:4" ht="15">
      <c r="A7" s="679" t="s">
        <v>817</v>
      </c>
      <c r="B7" s="680" t="s">
        <v>818</v>
      </c>
      <c r="C7" s="681"/>
      <c r="D7" s="682"/>
    </row>
    <row r="8" spans="1:4" ht="15">
      <c r="A8" s="679" t="s">
        <v>819</v>
      </c>
      <c r="B8" s="680" t="s">
        <v>818</v>
      </c>
      <c r="C8" s="681"/>
      <c r="D8" s="682"/>
    </row>
    <row r="9" spans="1:6" ht="26.25">
      <c r="A9" s="679" t="s">
        <v>820</v>
      </c>
      <c r="B9" s="680" t="s">
        <v>818</v>
      </c>
      <c r="C9" s="681"/>
      <c r="D9" s="682" t="s">
        <v>821</v>
      </c>
      <c r="F9" s="683"/>
    </row>
    <row r="10" spans="1:4" ht="26.25">
      <c r="A10" s="679" t="s">
        <v>822</v>
      </c>
      <c r="B10" s="680" t="s">
        <v>818</v>
      </c>
      <c r="C10" s="681"/>
      <c r="D10" s="682" t="s">
        <v>823</v>
      </c>
    </row>
    <row r="11" spans="1:4" ht="51.75">
      <c r="A11" s="679" t="s">
        <v>824</v>
      </c>
      <c r="B11" s="680" t="s">
        <v>818</v>
      </c>
      <c r="C11" s="681"/>
      <c r="D11" s="682"/>
    </row>
    <row r="12" spans="1:4" ht="15">
      <c r="A12" s="684"/>
      <c r="B12" s="680"/>
      <c r="C12" s="681"/>
      <c r="D12" s="685"/>
    </row>
    <row r="13" spans="1:4" ht="15" customHeight="1">
      <c r="A13" s="1835" t="s">
        <v>825</v>
      </c>
      <c r="B13" s="1835"/>
      <c r="C13" s="1835"/>
      <c r="D13" s="1835"/>
    </row>
    <row r="14" spans="1:4" ht="26.25">
      <c r="A14" s="679" t="s">
        <v>826</v>
      </c>
      <c r="B14" s="680" t="s">
        <v>818</v>
      </c>
      <c r="C14" s="681"/>
      <c r="D14" s="682"/>
    </row>
    <row r="15" spans="1:4" ht="15">
      <c r="A15" s="679" t="s">
        <v>827</v>
      </c>
      <c r="B15" s="680" t="s">
        <v>818</v>
      </c>
      <c r="C15" s="681"/>
      <c r="D15" s="682"/>
    </row>
    <row r="16" spans="1:4" ht="15">
      <c r="A16" s="679" t="s">
        <v>828</v>
      </c>
      <c r="B16" s="680" t="s">
        <v>818</v>
      </c>
      <c r="C16" s="681"/>
      <c r="D16" s="682"/>
    </row>
    <row r="17" spans="1:4" ht="15">
      <c r="A17" s="679" t="s">
        <v>829</v>
      </c>
      <c r="B17" s="680" t="s">
        <v>818</v>
      </c>
      <c r="C17" s="681"/>
      <c r="D17" s="682"/>
    </row>
    <row r="18" spans="1:4" ht="15">
      <c r="A18" s="679"/>
      <c r="B18" s="681"/>
      <c r="C18" s="681"/>
      <c r="D18" s="682"/>
    </row>
    <row r="19" spans="1:4" ht="15" customHeight="1">
      <c r="A19" s="1835" t="s">
        <v>830</v>
      </c>
      <c r="B19" s="1835"/>
      <c r="C19" s="1835"/>
      <c r="D19" s="1835"/>
    </row>
    <row r="20" spans="1:4" ht="51.75">
      <c r="A20" s="679" t="s">
        <v>831</v>
      </c>
      <c r="B20" s="680" t="s">
        <v>818</v>
      </c>
      <c r="C20" s="681"/>
      <c r="D20" s="682" t="s">
        <v>832</v>
      </c>
    </row>
    <row r="21" spans="1:4" ht="39">
      <c r="A21" s="679" t="s">
        <v>833</v>
      </c>
      <c r="B21" s="680" t="s">
        <v>818</v>
      </c>
      <c r="C21" s="680" t="s">
        <v>818</v>
      </c>
      <c r="D21" s="686" t="s">
        <v>834</v>
      </c>
    </row>
    <row r="22" spans="1:4" ht="15">
      <c r="A22" s="679" t="s">
        <v>835</v>
      </c>
      <c r="B22" s="680" t="s">
        <v>818</v>
      </c>
      <c r="C22" s="681"/>
      <c r="D22" s="682"/>
    </row>
    <row r="23" spans="1:4" ht="15">
      <c r="A23" s="679" t="s">
        <v>836</v>
      </c>
      <c r="B23" s="680" t="s">
        <v>818</v>
      </c>
      <c r="C23" s="681"/>
      <c r="D23" s="682"/>
    </row>
    <row r="24" spans="1:4" ht="15">
      <c r="A24" s="679" t="s">
        <v>837</v>
      </c>
      <c r="B24" s="680" t="s">
        <v>818</v>
      </c>
      <c r="C24" s="681"/>
      <c r="D24" s="682"/>
    </row>
    <row r="25" spans="1:4" ht="15">
      <c r="A25" s="679" t="s">
        <v>838</v>
      </c>
      <c r="B25" s="680" t="s">
        <v>818</v>
      </c>
      <c r="C25" s="681"/>
      <c r="D25" s="682"/>
    </row>
    <row r="26" spans="1:4" ht="15">
      <c r="A26" s="679" t="s">
        <v>839</v>
      </c>
      <c r="B26" s="680" t="s">
        <v>818</v>
      </c>
      <c r="C26" s="681"/>
      <c r="D26" s="682"/>
    </row>
    <row r="27" spans="1:4" ht="15">
      <c r="A27" s="679" t="s">
        <v>840</v>
      </c>
      <c r="B27" s="680" t="s">
        <v>818</v>
      </c>
      <c r="C27" s="680" t="s">
        <v>818</v>
      </c>
      <c r="D27" s="682"/>
    </row>
    <row r="28" spans="1:4" ht="39">
      <c r="A28" s="679" t="s">
        <v>841</v>
      </c>
      <c r="B28" s="680" t="s">
        <v>818</v>
      </c>
      <c r="C28" s="680" t="s">
        <v>818</v>
      </c>
      <c r="D28" s="682"/>
    </row>
    <row r="29" spans="1:4" ht="39">
      <c r="A29" s="679" t="s">
        <v>842</v>
      </c>
      <c r="B29" s="680" t="s">
        <v>818</v>
      </c>
      <c r="C29" s="680"/>
      <c r="D29" s="682"/>
    </row>
    <row r="30" spans="1:4" ht="15" customHeight="1">
      <c r="A30" s="1835" t="s">
        <v>843</v>
      </c>
      <c r="B30" s="1835"/>
      <c r="C30" s="1835"/>
      <c r="D30" s="1835"/>
    </row>
    <row r="31" spans="1:4" ht="26.25">
      <c r="A31" s="679" t="s">
        <v>844</v>
      </c>
      <c r="B31" s="687" t="s">
        <v>818</v>
      </c>
      <c r="C31" s="688"/>
      <c r="D31" s="689"/>
    </row>
    <row r="32" spans="1:4" ht="15">
      <c r="A32" s="679" t="s">
        <v>845</v>
      </c>
      <c r="B32" s="680" t="s">
        <v>818</v>
      </c>
      <c r="C32" s="688"/>
      <c r="D32" s="689"/>
    </row>
    <row r="33" spans="1:4" ht="5.25" customHeight="1">
      <c r="A33" s="690"/>
      <c r="B33" s="691"/>
      <c r="C33" s="691"/>
      <c r="D33" s="692"/>
    </row>
    <row r="34" spans="1:4" ht="15">
      <c r="A34" s="693"/>
      <c r="B34" s="693"/>
      <c r="C34" s="693"/>
      <c r="D34" s="693"/>
    </row>
    <row r="35" spans="1:4" ht="15">
      <c r="A35" s="693"/>
      <c r="B35" s="693"/>
      <c r="C35" s="693"/>
      <c r="D35" s="693"/>
    </row>
    <row r="36" spans="1:4" ht="15">
      <c r="A36" s="693"/>
      <c r="B36" s="693"/>
      <c r="C36" s="693"/>
      <c r="D36" s="693"/>
    </row>
    <row r="37" spans="1:4" ht="15">
      <c r="A37" s="693"/>
      <c r="B37" s="693"/>
      <c r="C37" s="693"/>
      <c r="D37" s="693"/>
    </row>
    <row r="38" spans="1:4" ht="15">
      <c r="A38" s="693"/>
      <c r="B38" s="693"/>
      <c r="C38" s="693"/>
      <c r="D38" s="693"/>
    </row>
    <row r="39" spans="1:4" ht="15">
      <c r="A39" s="693"/>
      <c r="B39" s="693"/>
      <c r="C39" s="693"/>
      <c r="D39" s="693"/>
    </row>
    <row r="40" spans="1:4" ht="15">
      <c r="A40" s="693"/>
      <c r="B40" s="693"/>
      <c r="C40" s="693"/>
      <c r="D40" s="693"/>
    </row>
    <row r="41" spans="1:4" ht="15">
      <c r="A41" s="693"/>
      <c r="B41" s="693"/>
      <c r="C41" s="693"/>
      <c r="D41" s="693"/>
    </row>
  </sheetData>
  <sheetProtection password="92D1" sheet="1" selectLockedCells="1"/>
  <mergeCells count="4">
    <mergeCell ref="A6:D6"/>
    <mergeCell ref="A13:D13"/>
    <mergeCell ref="A19:D19"/>
    <mergeCell ref="A30:D30"/>
  </mergeCells>
  <printOptions horizontalCentered="1"/>
  <pageMargins left="0.7479166666666667" right="0.7479166666666667" top="0.5902777777777778" bottom="0.5902777777777777" header="0.5118055555555555" footer="0.5118055555555555"/>
  <pageSetup cellComments="atEnd" fitToHeight="0" fitToWidth="1" horizontalDpi="300" verticalDpi="300" orientation="portrait" scale="74" r:id="rId1"/>
  <headerFooter alignWithMargins="0">
    <oddFooter>&amp;L&amp;9&amp;F&amp;C&amp;A&amp;R&amp;9Page &amp;P of &amp;N</oddFooter>
  </headerFooter>
</worksheet>
</file>

<file path=xl/worksheets/sheet15.xml><?xml version="1.0" encoding="utf-8"?>
<worksheet xmlns="http://schemas.openxmlformats.org/spreadsheetml/2006/main" xmlns:r="http://schemas.openxmlformats.org/officeDocument/2006/relationships">
  <sheetPr>
    <tabColor indexed="40"/>
  </sheetPr>
  <dimension ref="A1:AE36"/>
  <sheetViews>
    <sheetView view="pageBreakPreview" zoomScale="70" zoomScaleNormal="40" zoomScaleSheetLayoutView="70" zoomScalePageLayoutView="0" workbookViewId="0" topLeftCell="C1">
      <selection activeCell="F17" sqref="F17"/>
    </sheetView>
  </sheetViews>
  <sheetFormatPr defaultColWidth="9.140625" defaultRowHeight="12.75"/>
  <cols>
    <col min="1" max="1" width="14.57421875" style="16" customWidth="1"/>
    <col min="2" max="2" width="45.421875" style="16" customWidth="1"/>
    <col min="3" max="3" width="18.57421875" style="16" customWidth="1"/>
    <col min="4" max="4" width="17.28125" style="16" customWidth="1"/>
    <col min="5" max="5" width="18.7109375" style="16" customWidth="1"/>
    <col min="6" max="6" width="16.8515625" style="16" customWidth="1"/>
    <col min="7" max="8" width="20.57421875" style="694" customWidth="1"/>
    <col min="9" max="9" width="20.421875" style="16" customWidth="1"/>
    <col min="10" max="10" width="27.00390625" style="16" customWidth="1"/>
    <col min="11" max="11" width="18.28125" style="16" customWidth="1"/>
    <col min="12" max="12" width="19.140625" style="16" customWidth="1"/>
    <col min="13" max="13" width="17.00390625" style="16" customWidth="1"/>
    <col min="14" max="14" width="19.00390625" style="16" customWidth="1"/>
    <col min="15" max="18" width="9.140625" style="16" customWidth="1"/>
    <col min="19" max="19" width="1.57421875" style="16" customWidth="1"/>
    <col min="20" max="20" width="9.140625" style="16" customWidth="1"/>
    <col min="21" max="32" width="0" style="16" hidden="1" customWidth="1"/>
    <col min="33" max="16384" width="9.140625" style="16" customWidth="1"/>
  </cols>
  <sheetData>
    <row r="1" spans="1:24" s="101" customFormat="1" ht="25.5" customHeight="1">
      <c r="A1" s="1829" t="s">
        <v>846</v>
      </c>
      <c r="B1" s="1829"/>
      <c r="C1" s="1829"/>
      <c r="D1" s="1829"/>
      <c r="E1" s="1829"/>
      <c r="F1" s="1829"/>
      <c r="G1" s="1829"/>
      <c r="H1" s="1829"/>
      <c r="I1" s="1829"/>
      <c r="J1" s="1829"/>
      <c r="K1" s="1829"/>
      <c r="L1" s="5"/>
      <c r="M1" s="5"/>
      <c r="N1" s="2"/>
      <c r="O1" s="2"/>
      <c r="P1" s="2"/>
      <c r="Q1" s="2"/>
      <c r="R1" s="2"/>
      <c r="S1" s="2"/>
      <c r="T1" s="2"/>
      <c r="U1" s="2"/>
      <c r="V1" s="2"/>
      <c r="W1" s="2"/>
      <c r="X1" s="2"/>
    </row>
    <row r="2" spans="1:13" s="2" customFormat="1" ht="15" customHeight="1">
      <c r="A2" s="695"/>
      <c r="B2" s="695"/>
      <c r="C2" s="695"/>
      <c r="D2" s="695"/>
      <c r="E2" s="695"/>
      <c r="F2" s="695"/>
      <c r="G2" s="695"/>
      <c r="H2" s="695"/>
      <c r="I2" s="695"/>
      <c r="J2" s="695"/>
      <c r="K2" s="695"/>
      <c r="L2" s="5"/>
      <c r="M2" s="5"/>
    </row>
    <row r="3" spans="1:24" s="13" customFormat="1" ht="15" customHeight="1">
      <c r="A3" s="1837" t="s">
        <v>847</v>
      </c>
      <c r="B3" s="1837"/>
      <c r="C3" s="1838"/>
      <c r="D3" s="1838"/>
      <c r="E3" s="1838"/>
      <c r="F3" s="1838"/>
      <c r="G3" s="696"/>
      <c r="H3" s="696"/>
      <c r="I3" s="16"/>
      <c r="J3" s="16"/>
      <c r="K3" s="16"/>
      <c r="L3" s="16"/>
      <c r="M3" s="697"/>
      <c r="N3" s="16"/>
      <c r="O3" s="16"/>
      <c r="P3" s="16"/>
      <c r="Q3" s="16"/>
      <c r="R3" s="16"/>
      <c r="S3" s="16"/>
      <c r="T3" s="16"/>
      <c r="U3" s="16"/>
      <c r="V3" s="16"/>
      <c r="W3" s="16"/>
      <c r="X3" s="16"/>
    </row>
    <row r="4" spans="1:24" s="13" customFormat="1" ht="27.75" customHeight="1">
      <c r="A4" s="20" t="s">
        <v>848</v>
      </c>
      <c r="B4" s="2"/>
      <c r="C4" s="2"/>
      <c r="D4" s="2"/>
      <c r="E4" s="2"/>
      <c r="F4" s="2"/>
      <c r="G4" s="2"/>
      <c r="H4" s="2"/>
      <c r="I4" s="2"/>
      <c r="J4" s="2"/>
      <c r="K4" s="2"/>
      <c r="L4" s="2"/>
      <c r="M4" s="2"/>
      <c r="N4" s="2"/>
      <c r="O4" s="2"/>
      <c r="P4" s="2"/>
      <c r="Q4" s="2"/>
      <c r="R4" s="2"/>
      <c r="S4" s="2"/>
      <c r="T4" s="2"/>
      <c r="U4" s="2"/>
      <c r="V4" s="2"/>
      <c r="W4" s="2"/>
      <c r="X4" s="2"/>
    </row>
    <row r="5" spans="1:24" s="13" customFormat="1" ht="15" customHeight="1">
      <c r="A5" s="1672" t="s">
        <v>849</v>
      </c>
      <c r="B5" s="1672"/>
      <c r="C5" s="1839" t="str">
        <f>IF('PR_Programmatic Progress_1A'!C5:F5="","",'PR_Programmatic Progress_1A'!C5:F5)</f>
        <v>El Salvador</v>
      </c>
      <c r="D5" s="1839"/>
      <c r="E5" s="1839"/>
      <c r="F5" s="1839"/>
      <c r="G5" s="696"/>
      <c r="H5" s="24"/>
      <c r="I5" s="25"/>
      <c r="J5" s="16"/>
      <c r="K5" s="16"/>
      <c r="L5" s="16"/>
      <c r="M5" s="697"/>
      <c r="N5" s="16"/>
      <c r="O5" s="16"/>
      <c r="P5" s="16"/>
      <c r="Q5" s="16"/>
      <c r="R5" s="16"/>
      <c r="S5" s="16"/>
      <c r="T5" s="16"/>
      <c r="U5" s="16"/>
      <c r="V5" s="16"/>
      <c r="W5" s="16"/>
      <c r="X5" s="16"/>
    </row>
    <row r="6" spans="1:24" s="13" customFormat="1" ht="15" customHeight="1">
      <c r="A6" s="1807" t="s">
        <v>850</v>
      </c>
      <c r="B6" s="1807"/>
      <c r="C6" s="1836" t="str">
        <f>IF('PR_Programmatic Progress_1A'!C6:F6="Select","",'PR_Programmatic Progress_1A'!C6:F6)</f>
        <v>Tuberculosis</v>
      </c>
      <c r="D6" s="1836"/>
      <c r="E6" s="1836"/>
      <c r="F6" s="1836"/>
      <c r="G6" s="696"/>
      <c r="H6" s="696"/>
      <c r="I6" s="16"/>
      <c r="J6" s="16"/>
      <c r="K6" s="16"/>
      <c r="L6" s="16"/>
      <c r="M6" s="16"/>
      <c r="N6" s="16"/>
      <c r="O6" s="16"/>
      <c r="P6" s="16"/>
      <c r="Q6" s="16"/>
      <c r="R6" s="16"/>
      <c r="S6" s="16"/>
      <c r="T6" s="16"/>
      <c r="U6" s="16"/>
      <c r="V6" s="16"/>
      <c r="W6" s="16"/>
      <c r="X6" s="16"/>
    </row>
    <row r="7" spans="1:24" s="13" customFormat="1" ht="25.5" customHeight="1">
      <c r="A7" s="1807" t="s">
        <v>851</v>
      </c>
      <c r="B7" s="1807"/>
      <c r="C7" s="1843" t="str">
        <f>IF('PR_Programmatic Progress_1A'!C7:F7="","",'PR_Programmatic Progress_1A'!C7:F7)</f>
        <v>SLV-910-G08-T</v>
      </c>
      <c r="D7" s="1843"/>
      <c r="E7" s="1843"/>
      <c r="F7" s="1843"/>
      <c r="G7" s="698"/>
      <c r="H7" s="698"/>
      <c r="I7" s="16"/>
      <c r="J7" s="16"/>
      <c r="K7" s="54"/>
      <c r="L7" s="16"/>
      <c r="M7" s="16"/>
      <c r="N7" s="16"/>
      <c r="O7" s="16"/>
      <c r="P7" s="16"/>
      <c r="Q7" s="16"/>
      <c r="R7" s="16"/>
      <c r="S7" s="16"/>
      <c r="T7" s="16"/>
      <c r="U7" s="16"/>
      <c r="V7" s="16"/>
      <c r="W7" s="16"/>
      <c r="X7" s="16"/>
    </row>
    <row r="8" spans="1:24" s="13" customFormat="1" ht="15" customHeight="1">
      <c r="A8" s="1807" t="s">
        <v>852</v>
      </c>
      <c r="B8" s="1807"/>
      <c r="C8" s="1841" t="str">
        <f>IF('PR_Programmatic Progress_1A'!C8:F8="","",'PR_Programmatic Progress_1A'!C8:F8)</f>
        <v>Ministerio de Salud </v>
      </c>
      <c r="D8" s="1841"/>
      <c r="E8" s="1841"/>
      <c r="F8" s="1841"/>
      <c r="G8" s="696"/>
      <c r="H8" s="696"/>
      <c r="I8" s="16"/>
      <c r="J8" s="16"/>
      <c r="K8" s="16"/>
      <c r="L8" s="16"/>
      <c r="M8" s="16"/>
      <c r="N8" s="16"/>
      <c r="O8" s="16"/>
      <c r="P8" s="16"/>
      <c r="Q8" s="16"/>
      <c r="R8" s="16"/>
      <c r="S8" s="16"/>
      <c r="T8" s="16"/>
      <c r="U8" s="16"/>
      <c r="V8" s="16"/>
      <c r="W8" s="16"/>
      <c r="X8" s="16"/>
    </row>
    <row r="9" spans="1:24" s="13" customFormat="1" ht="15" customHeight="1">
      <c r="A9" s="1807" t="s">
        <v>853</v>
      </c>
      <c r="B9" s="1807"/>
      <c r="C9" s="1842">
        <f>IF('PR_Programmatic Progress_1A'!C9:F9="","",'PR_Programmatic Progress_1A'!C9:F9)</f>
        <v>40360</v>
      </c>
      <c r="D9" s="1842"/>
      <c r="E9" s="1842"/>
      <c r="F9" s="1842"/>
      <c r="G9" s="700"/>
      <c r="H9" s="700"/>
      <c r="I9" s="16"/>
      <c r="J9" s="16"/>
      <c r="K9" s="16"/>
      <c r="L9" s="16"/>
      <c r="M9" s="16"/>
      <c r="N9" s="16"/>
      <c r="O9" s="16"/>
      <c r="P9" s="16"/>
      <c r="Q9" s="16"/>
      <c r="R9" s="16"/>
      <c r="S9" s="16"/>
      <c r="T9" s="16"/>
      <c r="U9" s="16"/>
      <c r="V9" s="16"/>
      <c r="W9" s="16"/>
      <c r="X9" s="16"/>
    </row>
    <row r="10" spans="1:24" s="13" customFormat="1" ht="15" customHeight="1">
      <c r="A10" s="1710" t="s">
        <v>854</v>
      </c>
      <c r="B10" s="1710"/>
      <c r="C10" s="1763" t="str">
        <f>IF('PR_Programmatic Progress_1A'!C10:F10="Select","",'PR_Programmatic Progress_1A'!C10:F10)</f>
        <v>USD</v>
      </c>
      <c r="D10" s="1763"/>
      <c r="E10" s="1763"/>
      <c r="F10" s="1763"/>
      <c r="G10" s="696"/>
      <c r="H10" s="696"/>
      <c r="I10" s="16"/>
      <c r="J10" s="16"/>
      <c r="K10" s="16"/>
      <c r="L10" s="16"/>
      <c r="M10" s="16"/>
      <c r="N10" s="16"/>
      <c r="O10" s="16"/>
      <c r="P10" s="16"/>
      <c r="Q10" s="16"/>
      <c r="R10" s="16"/>
      <c r="S10" s="16"/>
      <c r="T10" s="16"/>
      <c r="U10" s="16"/>
      <c r="V10" s="16"/>
      <c r="W10" s="16"/>
      <c r="X10" s="16"/>
    </row>
    <row r="11" spans="1:24" s="13" customFormat="1" ht="27" customHeight="1">
      <c r="A11" s="72" t="s">
        <v>855</v>
      </c>
      <c r="B11" s="2"/>
      <c r="C11" s="2"/>
      <c r="D11" s="2"/>
      <c r="E11" s="2"/>
      <c r="F11" s="2"/>
      <c r="G11" s="2"/>
      <c r="H11" s="2"/>
      <c r="I11" s="2"/>
      <c r="J11" s="2"/>
      <c r="K11" s="2"/>
      <c r="L11" s="2"/>
      <c r="M11" s="2"/>
      <c r="N11" s="2"/>
      <c r="O11" s="2"/>
      <c r="P11" s="2"/>
      <c r="Q11" s="2"/>
      <c r="R11" s="2"/>
      <c r="S11" s="2"/>
      <c r="T11" s="2"/>
      <c r="U11" s="2"/>
      <c r="V11" s="2"/>
      <c r="W11" s="2"/>
      <c r="X11" s="2"/>
    </row>
    <row r="12" spans="1:24" s="13" customFormat="1" ht="15" customHeight="1">
      <c r="A12" s="566" t="s">
        <v>856</v>
      </c>
      <c r="B12" s="567"/>
      <c r="C12" s="92" t="s">
        <v>857</v>
      </c>
      <c r="D12" s="701" t="str">
        <f>IF('PR_Programmatic Progress_1A'!D12="Select","",'PR_Programmatic Progress_1A'!D12)</f>
        <v>Semestral</v>
      </c>
      <c r="E12" s="702" t="s">
        <v>858</v>
      </c>
      <c r="F12" s="703">
        <f>IF('PR_Programmatic Progress_1A'!F12="Select","",'PR_Programmatic Progress_1A'!F12)</f>
        <v>10</v>
      </c>
      <c r="G12" s="696"/>
      <c r="H12" s="696"/>
      <c r="I12" s="16"/>
      <c r="J12" s="16"/>
      <c r="K12" s="16"/>
      <c r="L12" s="16"/>
      <c r="M12" s="16"/>
      <c r="N12" s="16"/>
      <c r="O12" s="16"/>
      <c r="P12" s="16"/>
      <c r="Q12" s="16"/>
      <c r="R12" s="16"/>
      <c r="S12" s="16"/>
      <c r="T12" s="16"/>
      <c r="U12" s="16"/>
      <c r="V12" s="16"/>
      <c r="W12" s="16"/>
      <c r="X12" s="16"/>
    </row>
    <row r="13" spans="1:24" s="13" customFormat="1" ht="15" customHeight="1">
      <c r="A13" s="94" t="s">
        <v>859</v>
      </c>
      <c r="B13" s="95"/>
      <c r="C13" s="96" t="s">
        <v>860</v>
      </c>
      <c r="D13" s="704">
        <f>IF('PR_Programmatic Progress_1A'!D13="","",'PR_Programmatic Progress_1A'!D13)</f>
        <v>42005</v>
      </c>
      <c r="E13" s="93" t="s">
        <v>542</v>
      </c>
      <c r="F13" s="699">
        <f>IF('PR_Programmatic Progress_1A'!F13="","",'PR_Programmatic Progress_1A'!F13)</f>
        <v>42185</v>
      </c>
      <c r="G13" s="700"/>
      <c r="H13" s="700"/>
      <c r="I13" s="16"/>
      <c r="J13" s="16"/>
      <c r="K13" s="16"/>
      <c r="L13" s="16"/>
      <c r="M13" s="16"/>
      <c r="N13" s="16"/>
      <c r="O13" s="16"/>
      <c r="P13" s="16"/>
      <c r="Q13" s="16"/>
      <c r="R13" s="16"/>
      <c r="S13" s="16"/>
      <c r="T13" s="16"/>
      <c r="U13" s="16"/>
      <c r="V13" s="16"/>
      <c r="W13" s="16"/>
      <c r="X13" s="16"/>
    </row>
    <row r="14" spans="1:24" s="13" customFormat="1" ht="15" customHeight="1">
      <c r="A14" s="97" t="s">
        <v>861</v>
      </c>
      <c r="B14" s="99"/>
      <c r="C14" s="1763">
        <f>IF('PR_Programmatic Progress_1A'!C14="Select","",'PR_Programmatic Progress_1A'!C14)</f>
        <v>10</v>
      </c>
      <c r="D14" s="1763"/>
      <c r="E14" s="1763"/>
      <c r="F14" s="1763"/>
      <c r="G14" s="696"/>
      <c r="H14" s="696"/>
      <c r="I14" s="16"/>
      <c r="J14" s="16"/>
      <c r="K14" s="16"/>
      <c r="L14" s="16"/>
      <c r="M14" s="16"/>
      <c r="N14" s="16"/>
      <c r="O14" s="16"/>
      <c r="P14" s="16"/>
      <c r="Q14" s="16"/>
      <c r="R14" s="16"/>
      <c r="S14" s="16"/>
      <c r="T14" s="16"/>
      <c r="U14" s="16"/>
      <c r="V14" s="16"/>
      <c r="W14" s="16"/>
      <c r="X14" s="16"/>
    </row>
    <row r="15" spans="1:24" s="13" customFormat="1" ht="27" customHeight="1">
      <c r="A15" s="72" t="s">
        <v>649</v>
      </c>
      <c r="B15" s="2"/>
      <c r="C15" s="2"/>
      <c r="D15" s="2"/>
      <c r="E15" s="2"/>
      <c r="F15" s="2"/>
      <c r="G15" s="2"/>
      <c r="H15" s="2"/>
      <c r="I15" s="2"/>
      <c r="J15" s="2"/>
      <c r="K15" s="2"/>
      <c r="L15" s="2"/>
      <c r="M15" s="2"/>
      <c r="N15" s="2"/>
      <c r="O15" s="2"/>
      <c r="P15" s="2"/>
      <c r="Q15" s="2"/>
      <c r="R15" s="2"/>
      <c r="S15" s="2"/>
      <c r="T15" s="2"/>
      <c r="U15" s="2"/>
      <c r="V15" s="2"/>
      <c r="W15" s="2"/>
      <c r="X15" s="2"/>
    </row>
    <row r="16" spans="1:24" s="13" customFormat="1" ht="15" customHeight="1">
      <c r="A16" s="566" t="s">
        <v>862</v>
      </c>
      <c r="B16" s="567"/>
      <c r="C16" s="92" t="s">
        <v>857</v>
      </c>
      <c r="D16" s="701" t="str">
        <f>IF('PR_Programmatic Progress_1A'!D16="Select","",'PR_Programmatic Progress_1A'!D16)</f>
        <v>Seleccionar</v>
      </c>
      <c r="E16" s="702" t="s">
        <v>858</v>
      </c>
      <c r="F16" s="703">
        <f>IF('PR_Programmatic Progress_1A'!F16="Select","",'PR_Programmatic Progress_1A'!F16)</f>
        <v>0</v>
      </c>
      <c r="G16" s="696"/>
      <c r="H16" s="696"/>
      <c r="I16" s="16"/>
      <c r="J16" s="16"/>
      <c r="K16" s="16"/>
      <c r="L16" s="16"/>
      <c r="M16" s="16"/>
      <c r="N16" s="16"/>
      <c r="O16" s="16"/>
      <c r="P16" s="16"/>
      <c r="Q16" s="16"/>
      <c r="R16" s="16"/>
      <c r="S16" s="16"/>
      <c r="T16" s="16"/>
      <c r="U16" s="16"/>
      <c r="V16" s="16"/>
      <c r="W16" s="16"/>
      <c r="X16" s="16"/>
    </row>
    <row r="17" spans="1:24" s="13" customFormat="1" ht="15" customHeight="1">
      <c r="A17" s="94" t="s">
        <v>863</v>
      </c>
      <c r="B17" s="95"/>
      <c r="C17" s="96" t="s">
        <v>860</v>
      </c>
      <c r="D17" s="705">
        <f>IF('PR_Programmatic Progress_1A'!D17="","",'PR_Programmatic Progress_1A'!D17)</f>
      </c>
      <c r="E17" s="93" t="s">
        <v>542</v>
      </c>
      <c r="F17" s="699">
        <f>IF('PR_Programmatic Progress_1A'!F17="","",'PR_Programmatic Progress_1A'!F17)</f>
      </c>
      <c r="G17" s="700"/>
      <c r="H17" s="700"/>
      <c r="I17" s="16"/>
      <c r="J17" s="16"/>
      <c r="K17" s="16"/>
      <c r="L17" s="16"/>
      <c r="M17" s="16"/>
      <c r="N17" s="16"/>
      <c r="O17" s="16"/>
      <c r="P17" s="16"/>
      <c r="Q17" s="16"/>
      <c r="R17" s="16"/>
      <c r="S17" s="16"/>
      <c r="T17" s="16"/>
      <c r="U17" s="16"/>
      <c r="V17" s="16"/>
      <c r="W17" s="16"/>
      <c r="X17" s="16"/>
    </row>
    <row r="18" spans="1:24" s="13" customFormat="1" ht="15" customHeight="1">
      <c r="A18" s="97" t="s">
        <v>864</v>
      </c>
      <c r="B18" s="99"/>
      <c r="C18" s="1763">
        <f>IF('PR_Programmatic Progress_1A'!C18:F18="Select","",'PR_Programmatic Progress_1A'!C18:F18)</f>
        <v>0</v>
      </c>
      <c r="D18" s="1763"/>
      <c r="E18" s="1763"/>
      <c r="F18" s="1763"/>
      <c r="G18" s="696"/>
      <c r="H18" s="696"/>
      <c r="I18" s="16"/>
      <c r="J18" s="16"/>
      <c r="K18" s="16"/>
      <c r="L18" s="16"/>
      <c r="M18" s="16"/>
      <c r="N18" s="16"/>
      <c r="O18" s="16"/>
      <c r="P18" s="16"/>
      <c r="Q18" s="16"/>
      <c r="R18" s="16"/>
      <c r="S18" s="16"/>
      <c r="T18" s="16"/>
      <c r="U18" s="16"/>
      <c r="V18" s="16"/>
      <c r="W18" s="16"/>
      <c r="X18" s="16"/>
    </row>
    <row r="19" spans="1:24" s="101" customFormat="1" ht="15" customHeight="1">
      <c r="A19" s="2"/>
      <c r="B19" s="2"/>
      <c r="C19" s="2"/>
      <c r="D19" s="2"/>
      <c r="E19" s="2"/>
      <c r="F19" s="2"/>
      <c r="G19" s="2"/>
      <c r="H19" s="2"/>
      <c r="I19" s="2"/>
      <c r="J19" s="2"/>
      <c r="K19" s="2"/>
      <c r="L19" s="2"/>
      <c r="M19" s="2"/>
      <c r="N19" s="2"/>
      <c r="O19" s="2"/>
      <c r="P19" s="2"/>
      <c r="Q19" s="2"/>
      <c r="R19" s="2"/>
      <c r="S19" s="2"/>
      <c r="T19" s="2"/>
      <c r="U19" s="2"/>
      <c r="V19" s="2"/>
      <c r="W19" s="2"/>
      <c r="X19" s="2"/>
    </row>
    <row r="20" spans="1:24" s="13" customFormat="1" ht="12.75" customHeight="1">
      <c r="A20" s="1844" t="s">
        <v>865</v>
      </c>
      <c r="B20" s="1844"/>
      <c r="C20" s="1844"/>
      <c r="D20" s="1844"/>
      <c r="E20" s="1844"/>
      <c r="F20" s="1844"/>
      <c r="G20" s="1844"/>
      <c r="H20" s="1844"/>
      <c r="I20" s="1844"/>
      <c r="J20" s="1844"/>
      <c r="K20" s="1844"/>
      <c r="L20" s="1844"/>
      <c r="M20" s="1844"/>
      <c r="N20" s="16"/>
      <c r="O20" s="16"/>
      <c r="P20" s="16"/>
      <c r="Q20" s="16"/>
      <c r="R20" s="16"/>
      <c r="S20" s="16"/>
      <c r="T20" s="16"/>
      <c r="U20" s="16"/>
      <c r="V20" s="16"/>
      <c r="W20" s="16"/>
      <c r="X20" s="16"/>
    </row>
    <row r="21" spans="1:24" s="13" customFormat="1" ht="15">
      <c r="A21" s="706"/>
      <c r="B21" s="706"/>
      <c r="C21" s="706"/>
      <c r="D21" s="706"/>
      <c r="E21" s="706"/>
      <c r="F21" s="706"/>
      <c r="G21" s="707"/>
      <c r="H21" s="707"/>
      <c r="I21" s="706"/>
      <c r="J21" s="50"/>
      <c r="K21" s="50"/>
      <c r="L21" s="16"/>
      <c r="M21" s="16"/>
      <c r="N21" s="16"/>
      <c r="O21" s="16"/>
      <c r="P21" s="16"/>
      <c r="Q21" s="16"/>
      <c r="R21" s="16"/>
      <c r="S21" s="16"/>
      <c r="T21" s="16"/>
      <c r="U21" s="16"/>
      <c r="V21" s="16"/>
      <c r="W21" s="16"/>
      <c r="X21" s="16"/>
    </row>
    <row r="22" spans="1:24" s="13" customFormat="1" ht="28.5" customHeight="1">
      <c r="A22" s="416" t="s">
        <v>866</v>
      </c>
      <c r="B22" s="416"/>
      <c r="C22" s="706"/>
      <c r="D22" s="706"/>
      <c r="E22" s="706"/>
      <c r="F22" s="706"/>
      <c r="G22" s="707"/>
      <c r="H22" s="707"/>
      <c r="I22" s="706"/>
      <c r="J22" s="50"/>
      <c r="K22" s="50"/>
      <c r="L22" s="16"/>
      <c r="M22" s="16"/>
      <c r="N22" s="16"/>
      <c r="O22" s="16"/>
      <c r="P22" s="16"/>
      <c r="Q22" s="16"/>
      <c r="R22" s="16"/>
      <c r="S22" s="16"/>
      <c r="T22" s="16"/>
      <c r="U22" s="16"/>
      <c r="V22" s="16"/>
      <c r="W22" s="16"/>
      <c r="X22" s="16"/>
    </row>
    <row r="23" spans="1:24" s="13" customFormat="1" ht="31.5" customHeight="1">
      <c r="A23" s="708" t="s">
        <v>867</v>
      </c>
      <c r="B23" s="709"/>
      <c r="C23" s="16"/>
      <c r="D23" s="16"/>
      <c r="E23" s="16"/>
      <c r="F23" s="16"/>
      <c r="G23" s="694"/>
      <c r="H23" s="694"/>
      <c r="I23" s="16"/>
      <c r="J23" s="16"/>
      <c r="K23" s="16"/>
      <c r="L23" s="16"/>
      <c r="M23" s="16"/>
      <c r="N23" s="16"/>
      <c r="O23" s="16"/>
      <c r="P23" s="16"/>
      <c r="Q23" s="16"/>
      <c r="R23" s="16"/>
      <c r="S23" s="16"/>
      <c r="T23" s="16"/>
      <c r="U23" s="16"/>
      <c r="V23" s="16"/>
      <c r="W23" s="16"/>
      <c r="X23" s="16"/>
    </row>
    <row r="24" spans="1:31" s="13" customFormat="1" ht="15.75">
      <c r="A24" s="710" t="s">
        <v>868</v>
      </c>
      <c r="B24" s="711"/>
      <c r="C24" s="711"/>
      <c r="D24" s="711"/>
      <c r="E24" s="711"/>
      <c r="F24" s="711"/>
      <c r="G24" s="711"/>
      <c r="H24" s="711"/>
      <c r="I24" s="711"/>
      <c r="J24" s="711"/>
      <c r="K24" s="711"/>
      <c r="L24" s="711"/>
      <c r="M24" s="711"/>
      <c r="N24" s="1840"/>
      <c r="O24" s="1840"/>
      <c r="P24" s="712"/>
      <c r="Q24" s="713"/>
      <c r="R24" s="714"/>
      <c r="S24" s="16"/>
      <c r="T24" s="16"/>
      <c r="U24" s="710" t="s">
        <v>868</v>
      </c>
      <c r="V24" s="711"/>
      <c r="W24" s="711"/>
      <c r="X24" s="711"/>
      <c r="Y24" s="711"/>
      <c r="Z24" s="711"/>
      <c r="AA24" s="711"/>
      <c r="AB24" s="711"/>
      <c r="AC24" s="711"/>
      <c r="AD24" s="711"/>
      <c r="AE24" s="715"/>
    </row>
    <row r="25" spans="1:31" s="13" customFormat="1" ht="12.75" customHeight="1">
      <c r="A25" s="1846" t="s">
        <v>869</v>
      </c>
      <c r="B25" s="1847" t="s">
        <v>870</v>
      </c>
      <c r="C25" s="1847"/>
      <c r="D25" s="1847"/>
      <c r="E25" s="1847"/>
      <c r="F25" s="1845" t="s">
        <v>871</v>
      </c>
      <c r="G25" s="1845" t="s">
        <v>872</v>
      </c>
      <c r="H25" s="1845" t="s">
        <v>873</v>
      </c>
      <c r="I25" s="1845" t="s">
        <v>874</v>
      </c>
      <c r="J25" s="1845" t="s">
        <v>875</v>
      </c>
      <c r="K25" s="1845"/>
      <c r="L25" s="1845" t="s">
        <v>876</v>
      </c>
      <c r="M25" s="1845" t="s">
        <v>877</v>
      </c>
      <c r="N25" s="1854" t="s">
        <v>878</v>
      </c>
      <c r="O25" s="1854"/>
      <c r="P25" s="1854"/>
      <c r="Q25" s="1854"/>
      <c r="R25" s="1854"/>
      <c r="S25" s="16"/>
      <c r="T25" s="16"/>
      <c r="U25" s="1846" t="s">
        <v>869</v>
      </c>
      <c r="V25" s="1845" t="s">
        <v>870</v>
      </c>
      <c r="W25" s="1845"/>
      <c r="X25" s="1845"/>
      <c r="Y25" s="1845"/>
      <c r="Z25" s="1849" t="s">
        <v>871</v>
      </c>
      <c r="AA25" s="1845" t="s">
        <v>872</v>
      </c>
      <c r="AB25" s="1849" t="s">
        <v>873</v>
      </c>
      <c r="AC25" s="1850" t="s">
        <v>874</v>
      </c>
      <c r="AD25" s="1851" t="s">
        <v>875</v>
      </c>
      <c r="AE25" s="1851"/>
    </row>
    <row r="26" spans="1:31" s="13" customFormat="1" ht="91.5" customHeight="1">
      <c r="A26" s="1846"/>
      <c r="B26" s="1847"/>
      <c r="C26" s="1847"/>
      <c r="D26" s="1847"/>
      <c r="E26" s="1847"/>
      <c r="F26" s="1845"/>
      <c r="G26" s="1845"/>
      <c r="H26" s="1845"/>
      <c r="I26" s="1845"/>
      <c r="J26" s="1845"/>
      <c r="K26" s="1845"/>
      <c r="L26" s="1845"/>
      <c r="M26" s="1845"/>
      <c r="N26" s="1854"/>
      <c r="O26" s="1854"/>
      <c r="P26" s="1854"/>
      <c r="Q26" s="1854"/>
      <c r="R26" s="1854"/>
      <c r="S26" s="16"/>
      <c r="T26" s="16"/>
      <c r="U26" s="1846"/>
      <c r="V26" s="1845"/>
      <c r="W26" s="1845"/>
      <c r="X26" s="1845"/>
      <c r="Y26" s="1845"/>
      <c r="Z26" s="1849"/>
      <c r="AA26" s="1845"/>
      <c r="AB26" s="1849"/>
      <c r="AC26" s="1850"/>
      <c r="AD26" s="1851"/>
      <c r="AE26" s="1851"/>
    </row>
    <row r="27" spans="1:31" s="13" customFormat="1" ht="44.25" customHeight="1">
      <c r="A27" s="717" t="str">
        <f>U27</f>
        <v>Repercusión</v>
      </c>
      <c r="B27" s="1852" t="str">
        <f>V27</f>
        <v>Mortalidad de Casos notificados por TB/VIH en 30 Municipios Priorizados.</v>
      </c>
      <c r="C27" s="1852"/>
      <c r="D27" s="1852"/>
      <c r="E27" s="1852"/>
      <c r="F27" s="718" t="str">
        <f>Z27</f>
        <v>Dic 2013</v>
      </c>
      <c r="G27" s="719">
        <f>AA27</f>
        <v>0.1</v>
      </c>
      <c r="H27" s="720">
        <f>AB27</f>
        <v>42278</v>
      </c>
      <c r="I27" s="719">
        <f>AC27</f>
      </c>
      <c r="J27" s="1853" t="str">
        <f>AD27</f>
        <v>Sistema de registro e informes sobre tuberculosis, informes de gestión anuales.</v>
      </c>
      <c r="K27" s="1853"/>
      <c r="L27" s="721"/>
      <c r="M27" s="722"/>
      <c r="N27" s="1636"/>
      <c r="O27" s="1636"/>
      <c r="P27" s="1636"/>
      <c r="Q27" s="1636"/>
      <c r="R27" s="1636"/>
      <c r="S27" s="16"/>
      <c r="T27" s="16"/>
      <c r="U27" s="717" t="str">
        <f>IF('PR_Programmatic Progress_1A'!A27="Select","",'PR_Programmatic Progress_1A'!A27)</f>
        <v>Repercusión</v>
      </c>
      <c r="V27" s="1852" t="str">
        <f>IF('PR_Programmatic Progress_1A'!B27="","",'PR_Programmatic Progress_1A'!B27)</f>
        <v>Mortalidad de Casos notificados por TB/VIH en 30 Municipios Priorizados.</v>
      </c>
      <c r="W27" s="1852"/>
      <c r="X27" s="1852"/>
      <c r="Y27" s="1852"/>
      <c r="Z27" s="723" t="str">
        <f>IF('PR_Programmatic Progress_1A'!I27="","",'PR_Programmatic Progress_1A'!I27)</f>
        <v>Dic 2013</v>
      </c>
      <c r="AA27" s="722">
        <f>IF('PR_Programmatic Progress_1A'!J27="","",'PR_Programmatic Progress_1A'!J27)</f>
        <v>0.1</v>
      </c>
      <c r="AB27" s="722">
        <f>IF('PR_Programmatic Progress_1A'!K27="","",'PR_Programmatic Progress_1A'!K27)</f>
        <v>42278</v>
      </c>
      <c r="AC27" s="724">
        <f>IF('PR_Programmatic Progress_1A'!L27="","",'PR_Programmatic Progress_1A'!L27)</f>
      </c>
      <c r="AD27" s="1848" t="str">
        <f>'PR_Programmatic Progress_1A'!M27</f>
        <v>Sistema de registro e informes sobre tuberculosis, informes de gestión anuales.</v>
      </c>
      <c r="AE27" s="1848"/>
    </row>
    <row r="28" spans="1:31" s="13" customFormat="1" ht="44.25" customHeight="1">
      <c r="A28" s="717" t="str">
        <f aca="true" t="shared" si="0" ref="A28:A36">U28</f>
        <v>Repercusión</v>
      </c>
      <c r="B28" s="1852" t="str">
        <f aca="true" t="shared" si="1" ref="B28:B36">V28</f>
        <v>Tasa de Tuberculosis notificada ( todas las formas) en 30 Municipios Priorizados. </v>
      </c>
      <c r="C28" s="1852"/>
      <c r="D28" s="1852"/>
      <c r="E28" s="1852"/>
      <c r="F28" s="718" t="str">
        <f aca="true" t="shared" si="2" ref="F28:F36">Z28</f>
        <v>Mar 2014</v>
      </c>
      <c r="G28" s="719" t="str">
        <f aca="true" t="shared" si="3" ref="G28:I36">AA28</f>
        <v>39.1x100,000</v>
      </c>
      <c r="H28" s="720">
        <f t="shared" si="3"/>
        <v>42064</v>
      </c>
      <c r="I28" s="719">
        <f t="shared" si="3"/>
      </c>
      <c r="J28" s="1853" t="str">
        <f aca="true" t="shared" si="4" ref="J28:J36">AD28</f>
        <v>Sistema de registro e informes sobre tuberculosis, informes trimestrales</v>
      </c>
      <c r="K28" s="1853"/>
      <c r="L28" s="721"/>
      <c r="M28" s="722"/>
      <c r="N28" s="1636"/>
      <c r="O28" s="1636"/>
      <c r="P28" s="1636"/>
      <c r="Q28" s="1636"/>
      <c r="R28" s="1636"/>
      <c r="S28" s="16"/>
      <c r="T28" s="16"/>
      <c r="U28" s="717" t="str">
        <f>IF('PR_Programmatic Progress_1A'!A28="Select","",'PR_Programmatic Progress_1A'!A28)</f>
        <v>Repercusión</v>
      </c>
      <c r="V28" s="1852" t="str">
        <f>IF('PR_Programmatic Progress_1A'!B28="","",'PR_Programmatic Progress_1A'!B28)</f>
        <v>Tasa de Tuberculosis notificada ( todas las formas) en 30 Municipios Priorizados. </v>
      </c>
      <c r="W28" s="1852"/>
      <c r="X28" s="1852"/>
      <c r="Y28" s="1852"/>
      <c r="Z28" s="723" t="str">
        <f>IF('PR_Programmatic Progress_1A'!I28="","",'PR_Programmatic Progress_1A'!I28)</f>
        <v>Mar 2014</v>
      </c>
      <c r="AA28" s="722" t="str">
        <f>IF('PR_Programmatic Progress_1A'!J28="","",'PR_Programmatic Progress_1A'!J28)</f>
        <v>39.1x100,000</v>
      </c>
      <c r="AB28" s="722">
        <f>IF('PR_Programmatic Progress_1A'!K28="","",'PR_Programmatic Progress_1A'!K28)</f>
        <v>42064</v>
      </c>
      <c r="AC28" s="724">
        <f>IF('PR_Programmatic Progress_1A'!L28="","",'PR_Programmatic Progress_1A'!L28)</f>
      </c>
      <c r="AD28" s="1848" t="str">
        <f>'PR_Programmatic Progress_1A'!M28</f>
        <v>Sistema de registro e informes sobre tuberculosis, informes trimestrales</v>
      </c>
      <c r="AE28" s="1848"/>
    </row>
    <row r="29" spans="1:31" s="13" customFormat="1" ht="44.25" customHeight="1">
      <c r="A29" s="717" t="str">
        <f t="shared" si="0"/>
        <v>Repercusión</v>
      </c>
      <c r="B29" s="1852" t="str">
        <f t="shared" si="1"/>
        <v>Tasa de notificación de tuberculosis baciloscopía positiva en 30 Municipios Priorizados</v>
      </c>
      <c r="C29" s="1852"/>
      <c r="D29" s="1852"/>
      <c r="E29" s="1852"/>
      <c r="F29" s="718" t="str">
        <f t="shared" si="2"/>
        <v>Mar 2014</v>
      </c>
      <c r="G29" s="719" t="str">
        <f t="shared" si="3"/>
        <v>18 x 100,000</v>
      </c>
      <c r="H29" s="720">
        <f t="shared" si="3"/>
        <v>42064</v>
      </c>
      <c r="I29" s="719">
        <f t="shared" si="3"/>
      </c>
      <c r="J29" s="1853" t="str">
        <f t="shared" si="4"/>
        <v>Sistema de registro e informes sobre tuberculosis, informes trimestrales.</v>
      </c>
      <c r="K29" s="1853"/>
      <c r="L29" s="721"/>
      <c r="M29" s="722"/>
      <c r="N29" s="1636"/>
      <c r="O29" s="1636"/>
      <c r="P29" s="1636"/>
      <c r="Q29" s="1636"/>
      <c r="R29" s="1636"/>
      <c r="S29" s="16"/>
      <c r="T29" s="16"/>
      <c r="U29" s="717" t="str">
        <f>IF('PR_Programmatic Progress_1A'!A29="Select","",'PR_Programmatic Progress_1A'!A29)</f>
        <v>Repercusión</v>
      </c>
      <c r="V29" s="1852" t="str">
        <f>IF('PR_Programmatic Progress_1A'!B29="","",'PR_Programmatic Progress_1A'!B29)</f>
        <v>Tasa de notificación de tuberculosis baciloscopía positiva en 30 Municipios Priorizados</v>
      </c>
      <c r="W29" s="1852"/>
      <c r="X29" s="1852"/>
      <c r="Y29" s="1852"/>
      <c r="Z29" s="723" t="str">
        <f>IF('PR_Programmatic Progress_1A'!I29="","",'PR_Programmatic Progress_1A'!I29)</f>
        <v>Mar 2014</v>
      </c>
      <c r="AA29" s="722" t="str">
        <f>IF('PR_Programmatic Progress_1A'!J29="","",'PR_Programmatic Progress_1A'!J29)</f>
        <v>18 x 100,000</v>
      </c>
      <c r="AB29" s="722">
        <f>IF('PR_Programmatic Progress_1A'!K29="","",'PR_Programmatic Progress_1A'!K29)</f>
        <v>42064</v>
      </c>
      <c r="AC29" s="724">
        <f>IF('PR_Programmatic Progress_1A'!L29="","",'PR_Programmatic Progress_1A'!L29)</f>
      </c>
      <c r="AD29" s="1848" t="str">
        <f>'PR_Programmatic Progress_1A'!M29</f>
        <v>Sistema de registro e informes sobre tuberculosis, informes trimestrales.</v>
      </c>
      <c r="AE29" s="1848"/>
    </row>
    <row r="30" spans="1:31" s="13" customFormat="1" ht="44.25" customHeight="1">
      <c r="A30" s="717" t="str">
        <f t="shared" si="0"/>
        <v>Repercusión</v>
      </c>
      <c r="B30" s="1852" t="str">
        <f t="shared" si="1"/>
        <v>Tasa de incidencia de resistencia (monoresistencias a I o R y MDR) entre sospechosos estudiados</v>
      </c>
      <c r="C30" s="1852"/>
      <c r="D30" s="1852"/>
      <c r="E30" s="1852"/>
      <c r="F30" s="718" t="str">
        <f t="shared" si="2"/>
        <v>Oct 2013</v>
      </c>
      <c r="G30" s="719" t="str">
        <f t="shared" si="3"/>
        <v>&lt;1%</v>
      </c>
      <c r="H30" s="720">
        <f t="shared" si="3"/>
        <v>42278</v>
      </c>
      <c r="I30" s="719">
        <f t="shared" si="3"/>
      </c>
      <c r="J30" s="1853" t="str">
        <f t="shared" si="4"/>
        <v>Informe de Registros Nacionales de MDR TB</v>
      </c>
      <c r="K30" s="1853"/>
      <c r="L30" s="721"/>
      <c r="M30" s="722"/>
      <c r="N30" s="1636"/>
      <c r="O30" s="1636"/>
      <c r="P30" s="1636"/>
      <c r="Q30" s="1636"/>
      <c r="R30" s="1636"/>
      <c r="S30" s="16"/>
      <c r="T30" s="16"/>
      <c r="U30" s="717" t="str">
        <f>IF('PR_Programmatic Progress_1A'!A30="Select","",'PR_Programmatic Progress_1A'!A30)</f>
        <v>Repercusión</v>
      </c>
      <c r="V30" s="1852" t="str">
        <f>IF('PR_Programmatic Progress_1A'!B30="","",'PR_Programmatic Progress_1A'!B30)</f>
        <v>Tasa de incidencia de resistencia (monoresistencias a I o R y MDR) entre sospechosos estudiados</v>
      </c>
      <c r="W30" s="1852"/>
      <c r="X30" s="1852"/>
      <c r="Y30" s="1852"/>
      <c r="Z30" s="723" t="str">
        <f>IF('PR_Programmatic Progress_1A'!I30="","",'PR_Programmatic Progress_1A'!I30)</f>
        <v>Oct 2013</v>
      </c>
      <c r="AA30" s="722" t="str">
        <f>IF('PR_Programmatic Progress_1A'!J30="","",'PR_Programmatic Progress_1A'!J30)</f>
        <v>&lt;1%</v>
      </c>
      <c r="AB30" s="722">
        <f>IF('PR_Programmatic Progress_1A'!K30="","",'PR_Programmatic Progress_1A'!K30)</f>
        <v>42278</v>
      </c>
      <c r="AC30" s="724">
        <f>IF('PR_Programmatic Progress_1A'!L30="","",'PR_Programmatic Progress_1A'!L30)</f>
      </c>
      <c r="AD30" s="1848" t="str">
        <f>'PR_Programmatic Progress_1A'!M30</f>
        <v>Informe de Registros Nacionales de MDR TB</v>
      </c>
      <c r="AE30" s="1848"/>
    </row>
    <row r="31" spans="1:31" s="13" customFormat="1" ht="44.25" customHeight="1">
      <c r="A31" s="717" t="str">
        <f t="shared" si="0"/>
        <v>Repercusión</v>
      </c>
      <c r="B31" s="1852" t="str">
        <f t="shared" si="1"/>
        <v>Éxito del tratamiento: nuevos casos de tuberculosis con frotis positivo de los 30 Municipios Priorizados. </v>
      </c>
      <c r="C31" s="1852"/>
      <c r="D31" s="1852"/>
      <c r="E31" s="1852"/>
      <c r="F31" s="718" t="str">
        <f t="shared" si="2"/>
        <v>Dic 2013</v>
      </c>
      <c r="G31" s="719">
        <f t="shared" si="3"/>
        <v>0.91</v>
      </c>
      <c r="H31" s="720">
        <f t="shared" si="3"/>
        <v>42339</v>
      </c>
      <c r="I31" s="719">
        <f t="shared" si="3"/>
      </c>
      <c r="J31" s="1853" t="str">
        <f t="shared" si="4"/>
        <v>Sistema de registro e informes sobre tuberculosis, informes de gestión anuales.</v>
      </c>
      <c r="K31" s="1853"/>
      <c r="L31" s="721"/>
      <c r="M31" s="722"/>
      <c r="N31" s="1636"/>
      <c r="O31" s="1636"/>
      <c r="P31" s="1636"/>
      <c r="Q31" s="1636"/>
      <c r="R31" s="1636"/>
      <c r="S31" s="16"/>
      <c r="T31" s="16"/>
      <c r="U31" s="717" t="str">
        <f>IF('PR_Programmatic Progress_1A'!A31="Select","",'PR_Programmatic Progress_1A'!A31)</f>
        <v>Repercusión</v>
      </c>
      <c r="V31" s="1852" t="str">
        <f>IF('PR_Programmatic Progress_1A'!B31="","",'PR_Programmatic Progress_1A'!B31)</f>
        <v>Éxito del tratamiento: nuevos casos de tuberculosis con frotis positivo de los 30 Municipios Priorizados. </v>
      </c>
      <c r="W31" s="1852"/>
      <c r="X31" s="1852"/>
      <c r="Y31" s="1852"/>
      <c r="Z31" s="723" t="str">
        <f>IF('PR_Programmatic Progress_1A'!I31="","",'PR_Programmatic Progress_1A'!I31)</f>
        <v>Dic 2013</v>
      </c>
      <c r="AA31" s="722">
        <f>IF('PR_Programmatic Progress_1A'!J31="","",'PR_Programmatic Progress_1A'!J31)</f>
        <v>0.91</v>
      </c>
      <c r="AB31" s="722">
        <f>IF('PR_Programmatic Progress_1A'!K31="","",'PR_Programmatic Progress_1A'!K31)</f>
        <v>42339</v>
      </c>
      <c r="AC31" s="724">
        <f>IF('PR_Programmatic Progress_1A'!L31="","",'PR_Programmatic Progress_1A'!L31)</f>
      </c>
      <c r="AD31" s="1848" t="str">
        <f>'PR_Programmatic Progress_1A'!M31</f>
        <v>Sistema de registro e informes sobre tuberculosis, informes de gestión anuales.</v>
      </c>
      <c r="AE31" s="1848"/>
    </row>
    <row r="32" spans="1:31" s="13" customFormat="1" ht="44.25" customHeight="1">
      <c r="A32" s="717" t="str">
        <f t="shared" si="0"/>
        <v>Repercusión</v>
      </c>
      <c r="B32" s="1852" t="str">
        <f t="shared" si="1"/>
        <v>Éxito del tratamiento: Casos de MDR-tuberculosis confirmados bacteriologicamente de los 30 Municipios Priorizados.</v>
      </c>
      <c r="C32" s="1852"/>
      <c r="D32" s="1852"/>
      <c r="E32" s="1852"/>
      <c r="F32" s="718" t="str">
        <f t="shared" si="2"/>
        <v>Dic 2013</v>
      </c>
      <c r="G32" s="719">
        <f t="shared" si="3"/>
        <v>0.83</v>
      </c>
      <c r="H32" s="720">
        <f t="shared" si="3"/>
        <v>42339</v>
      </c>
      <c r="I32" s="719">
        <f t="shared" si="3"/>
      </c>
      <c r="J32" s="1853" t="str">
        <f t="shared" si="4"/>
        <v>Sistema de registro e informes sobre tuberculosis, informes de gestión anuales.</v>
      </c>
      <c r="K32" s="1853"/>
      <c r="L32" s="721"/>
      <c r="M32" s="722"/>
      <c r="N32" s="1636"/>
      <c r="O32" s="1636"/>
      <c r="P32" s="1636"/>
      <c r="Q32" s="1636"/>
      <c r="R32" s="1636"/>
      <c r="S32" s="16"/>
      <c r="T32" s="16"/>
      <c r="U32" s="717" t="str">
        <f>IF('PR_Programmatic Progress_1A'!A32="Select","",'PR_Programmatic Progress_1A'!A32)</f>
        <v>Repercusión</v>
      </c>
      <c r="V32" s="1852" t="str">
        <f>IF('PR_Programmatic Progress_1A'!B32="","",'PR_Programmatic Progress_1A'!B32)</f>
        <v>Éxito del tratamiento: Casos de MDR-tuberculosis confirmados bacteriologicamente de los 30 Municipios Priorizados.</v>
      </c>
      <c r="W32" s="1852"/>
      <c r="X32" s="1852"/>
      <c r="Y32" s="1852"/>
      <c r="Z32" s="723" t="str">
        <f>IF('PR_Programmatic Progress_1A'!I32="","",'PR_Programmatic Progress_1A'!I32)</f>
        <v>Dic 2013</v>
      </c>
      <c r="AA32" s="722">
        <f>IF('PR_Programmatic Progress_1A'!J32="","",'PR_Programmatic Progress_1A'!J32)</f>
        <v>0.83</v>
      </c>
      <c r="AB32" s="722">
        <f>IF('PR_Programmatic Progress_1A'!K32="","",'PR_Programmatic Progress_1A'!K32)</f>
        <v>42339</v>
      </c>
      <c r="AC32" s="724">
        <f>IF('PR_Programmatic Progress_1A'!L32="","",'PR_Programmatic Progress_1A'!L32)</f>
      </c>
      <c r="AD32" s="1848" t="str">
        <f>'PR_Programmatic Progress_1A'!M32</f>
        <v>Sistema de registro e informes sobre tuberculosis, informes de gestión anuales.</v>
      </c>
      <c r="AE32" s="1848"/>
    </row>
    <row r="33" spans="1:31" s="13" customFormat="1" ht="44.25" customHeight="1">
      <c r="A33" s="717" t="str">
        <f t="shared" si="0"/>
        <v>Repercusión</v>
      </c>
      <c r="B33" s="1852">
        <f t="shared" si="1"/>
      </c>
      <c r="C33" s="1852"/>
      <c r="D33" s="1852"/>
      <c r="E33" s="1852"/>
      <c r="F33" s="718">
        <f t="shared" si="2"/>
      </c>
      <c r="G33" s="719">
        <f t="shared" si="3"/>
      </c>
      <c r="H33" s="720">
        <f t="shared" si="3"/>
      </c>
      <c r="I33" s="719">
        <f t="shared" si="3"/>
      </c>
      <c r="J33" s="1853">
        <f t="shared" si="4"/>
        <v>0</v>
      </c>
      <c r="K33" s="1853"/>
      <c r="L33" s="721"/>
      <c r="M33" s="722"/>
      <c r="N33" s="1636"/>
      <c r="O33" s="1636"/>
      <c r="P33" s="1636"/>
      <c r="Q33" s="1636"/>
      <c r="R33" s="1636"/>
      <c r="S33" s="16"/>
      <c r="T33" s="16"/>
      <c r="U33" s="717" t="str">
        <f>IF('PR_Programmatic Progress_1A'!A33="Select","",'PR_Programmatic Progress_1A'!A33)</f>
        <v>Repercusión</v>
      </c>
      <c r="V33" s="1852">
        <f>IF('PR_Programmatic Progress_1A'!B33="","",'PR_Programmatic Progress_1A'!B33)</f>
      </c>
      <c r="W33" s="1852"/>
      <c r="X33" s="1852"/>
      <c r="Y33" s="1852"/>
      <c r="Z33" s="723">
        <f>IF('PR_Programmatic Progress_1A'!I33="","",'PR_Programmatic Progress_1A'!I33)</f>
      </c>
      <c r="AA33" s="722">
        <f>IF('PR_Programmatic Progress_1A'!J33="","",'PR_Programmatic Progress_1A'!J33)</f>
      </c>
      <c r="AB33" s="722">
        <f>IF('PR_Programmatic Progress_1A'!K33="","",'PR_Programmatic Progress_1A'!K33)</f>
      </c>
      <c r="AC33" s="724">
        <f>IF('PR_Programmatic Progress_1A'!L33="","",'PR_Programmatic Progress_1A'!L33)</f>
      </c>
      <c r="AD33" s="1848">
        <f>'PR_Programmatic Progress_1A'!M33</f>
        <v>0</v>
      </c>
      <c r="AE33" s="1848"/>
    </row>
    <row r="34" spans="1:31" s="13" customFormat="1" ht="44.25" customHeight="1">
      <c r="A34" s="717" t="str">
        <f t="shared" si="0"/>
        <v>Repercusión</v>
      </c>
      <c r="B34" s="1852">
        <f t="shared" si="1"/>
      </c>
      <c r="C34" s="1852"/>
      <c r="D34" s="1852"/>
      <c r="E34" s="1852"/>
      <c r="F34" s="718">
        <f t="shared" si="2"/>
      </c>
      <c r="G34" s="719">
        <f t="shared" si="3"/>
      </c>
      <c r="H34" s="720">
        <f t="shared" si="3"/>
      </c>
      <c r="I34" s="719">
        <f t="shared" si="3"/>
      </c>
      <c r="J34" s="1853">
        <f t="shared" si="4"/>
        <v>0</v>
      </c>
      <c r="K34" s="1853"/>
      <c r="L34" s="721"/>
      <c r="M34" s="722"/>
      <c r="N34" s="1636"/>
      <c r="O34" s="1636"/>
      <c r="P34" s="1636"/>
      <c r="Q34" s="1636"/>
      <c r="R34" s="1636"/>
      <c r="S34" s="16"/>
      <c r="T34" s="16"/>
      <c r="U34" s="717" t="str">
        <f>IF('PR_Programmatic Progress_1A'!A34="Select","",'PR_Programmatic Progress_1A'!A34)</f>
        <v>Repercusión</v>
      </c>
      <c r="V34" s="1852">
        <f>IF('PR_Programmatic Progress_1A'!B34="","",'PR_Programmatic Progress_1A'!B34)</f>
      </c>
      <c r="W34" s="1852"/>
      <c r="X34" s="1852"/>
      <c r="Y34" s="1852"/>
      <c r="Z34" s="723">
        <f>IF('PR_Programmatic Progress_1A'!I34="","",'PR_Programmatic Progress_1A'!I34)</f>
      </c>
      <c r="AA34" s="722">
        <f>IF('PR_Programmatic Progress_1A'!J34="","",'PR_Programmatic Progress_1A'!J34)</f>
      </c>
      <c r="AB34" s="722">
        <f>IF('PR_Programmatic Progress_1A'!K34="","",'PR_Programmatic Progress_1A'!K34)</f>
      </c>
      <c r="AC34" s="724">
        <f>IF('PR_Programmatic Progress_1A'!L34="","",'PR_Programmatic Progress_1A'!L34)</f>
      </c>
      <c r="AD34" s="1848">
        <f>'PR_Programmatic Progress_1A'!M34</f>
        <v>0</v>
      </c>
      <c r="AE34" s="1848"/>
    </row>
    <row r="35" spans="1:31" s="13" customFormat="1" ht="44.25" customHeight="1">
      <c r="A35" s="717" t="str">
        <f t="shared" si="0"/>
        <v>Repercusión</v>
      </c>
      <c r="B35" s="1852">
        <f t="shared" si="1"/>
      </c>
      <c r="C35" s="1852"/>
      <c r="D35" s="1852"/>
      <c r="E35" s="1852"/>
      <c r="F35" s="718">
        <f t="shared" si="2"/>
      </c>
      <c r="G35" s="719">
        <f t="shared" si="3"/>
      </c>
      <c r="H35" s="720">
        <f t="shared" si="3"/>
      </c>
      <c r="I35" s="719">
        <f t="shared" si="3"/>
      </c>
      <c r="J35" s="1853">
        <f t="shared" si="4"/>
        <v>0</v>
      </c>
      <c r="K35" s="1853"/>
      <c r="L35" s="721"/>
      <c r="M35" s="722"/>
      <c r="N35" s="1636"/>
      <c r="O35" s="1636"/>
      <c r="P35" s="1636"/>
      <c r="Q35" s="1636"/>
      <c r="R35" s="1636"/>
      <c r="S35" s="16"/>
      <c r="T35" s="16"/>
      <c r="U35" s="717" t="str">
        <f>IF('PR_Programmatic Progress_1A'!A35="Select","",'PR_Programmatic Progress_1A'!A35)</f>
        <v>Repercusión</v>
      </c>
      <c r="V35" s="1852">
        <f>IF('PR_Programmatic Progress_1A'!B35="","",'PR_Programmatic Progress_1A'!B35)</f>
      </c>
      <c r="W35" s="1852"/>
      <c r="X35" s="1852"/>
      <c r="Y35" s="1852"/>
      <c r="Z35" s="723">
        <f>IF('PR_Programmatic Progress_1A'!I35="","",'PR_Programmatic Progress_1A'!I35)</f>
      </c>
      <c r="AA35" s="722">
        <f>IF('PR_Programmatic Progress_1A'!J35="","",'PR_Programmatic Progress_1A'!J35)</f>
      </c>
      <c r="AB35" s="722">
        <f>IF('PR_Programmatic Progress_1A'!K35="","",'PR_Programmatic Progress_1A'!K35)</f>
      </c>
      <c r="AC35" s="724">
        <f>IF('PR_Programmatic Progress_1A'!L35="","",'PR_Programmatic Progress_1A'!L35)</f>
      </c>
      <c r="AD35" s="1848">
        <f>'PR_Programmatic Progress_1A'!M35</f>
        <v>0</v>
      </c>
      <c r="AE35" s="1848"/>
    </row>
    <row r="36" spans="1:31" s="13" customFormat="1" ht="44.25" customHeight="1">
      <c r="A36" s="725" t="str">
        <f t="shared" si="0"/>
        <v>Repercusión</v>
      </c>
      <c r="B36" s="1855">
        <f t="shared" si="1"/>
      </c>
      <c r="C36" s="1855"/>
      <c r="D36" s="1855"/>
      <c r="E36" s="1855"/>
      <c r="F36" s="726">
        <f t="shared" si="2"/>
      </c>
      <c r="G36" s="727">
        <f t="shared" si="3"/>
      </c>
      <c r="H36" s="728">
        <f t="shared" si="3"/>
      </c>
      <c r="I36" s="727">
        <f t="shared" si="3"/>
      </c>
      <c r="J36" s="1856">
        <f t="shared" si="4"/>
        <v>0</v>
      </c>
      <c r="K36" s="1856"/>
      <c r="L36" s="729"/>
      <c r="M36" s="730"/>
      <c r="N36" s="1857"/>
      <c r="O36" s="1857"/>
      <c r="P36" s="1857"/>
      <c r="Q36" s="1857"/>
      <c r="R36" s="1857"/>
      <c r="S36" s="16"/>
      <c r="T36" s="16"/>
      <c r="U36" s="717" t="str">
        <f>IF('PR_Programmatic Progress_1A'!A36="Select","",'PR_Programmatic Progress_1A'!A36)</f>
        <v>Repercusión</v>
      </c>
      <c r="V36" s="1852">
        <f>IF('PR_Programmatic Progress_1A'!B36="","",'PR_Programmatic Progress_1A'!B36)</f>
      </c>
      <c r="W36" s="1852"/>
      <c r="X36" s="1852"/>
      <c r="Y36" s="1852"/>
      <c r="Z36" s="723">
        <f>IF('PR_Programmatic Progress_1A'!I36="","",'PR_Programmatic Progress_1A'!I36)</f>
      </c>
      <c r="AA36" s="722">
        <f>IF('PR_Programmatic Progress_1A'!J36="","",'PR_Programmatic Progress_1A'!J36)</f>
      </c>
      <c r="AB36" s="722">
        <f>IF('PR_Programmatic Progress_1A'!K36="","",'PR_Programmatic Progress_1A'!K36)</f>
      </c>
      <c r="AC36" s="724">
        <f>IF('PR_Programmatic Progress_1A'!L36="","",'PR_Programmatic Progress_1A'!L36)</f>
      </c>
      <c r="AD36" s="1848">
        <f>'PR_Programmatic Progress_1A'!M36</f>
        <v>0</v>
      </c>
      <c r="AE36" s="1848"/>
    </row>
  </sheetData>
  <sheetProtection selectLockedCells="1" selectUnlockedCells="1"/>
  <mergeCells count="86">
    <mergeCell ref="AD36:AE36"/>
    <mergeCell ref="B36:E36"/>
    <mergeCell ref="J36:K36"/>
    <mergeCell ref="N36:R36"/>
    <mergeCell ref="V36:Y36"/>
    <mergeCell ref="AD34:AE34"/>
    <mergeCell ref="B35:E35"/>
    <mergeCell ref="J35:K35"/>
    <mergeCell ref="N35:R35"/>
    <mergeCell ref="V35:Y35"/>
    <mergeCell ref="AD35:AE35"/>
    <mergeCell ref="B34:E34"/>
    <mergeCell ref="J34:K34"/>
    <mergeCell ref="N34:R34"/>
    <mergeCell ref="V34:Y34"/>
    <mergeCell ref="AD33:AE33"/>
    <mergeCell ref="B32:E32"/>
    <mergeCell ref="J32:K32"/>
    <mergeCell ref="N32:R32"/>
    <mergeCell ref="V32:Y32"/>
    <mergeCell ref="AD32:AE32"/>
    <mergeCell ref="B33:E33"/>
    <mergeCell ref="J33:K33"/>
    <mergeCell ref="N33:R33"/>
    <mergeCell ref="V33:Y33"/>
    <mergeCell ref="AD30:AE30"/>
    <mergeCell ref="B31:E31"/>
    <mergeCell ref="J31:K31"/>
    <mergeCell ref="N31:R31"/>
    <mergeCell ref="V31:Y31"/>
    <mergeCell ref="AD31:AE31"/>
    <mergeCell ref="B30:E30"/>
    <mergeCell ref="J30:K30"/>
    <mergeCell ref="N30:R30"/>
    <mergeCell ref="V30:Y30"/>
    <mergeCell ref="AD28:AE28"/>
    <mergeCell ref="B29:E29"/>
    <mergeCell ref="J29:K29"/>
    <mergeCell ref="N29:R29"/>
    <mergeCell ref="V29:Y29"/>
    <mergeCell ref="AD29:AE29"/>
    <mergeCell ref="B28:E28"/>
    <mergeCell ref="J28:K28"/>
    <mergeCell ref="N28:R28"/>
    <mergeCell ref="V28:Y28"/>
    <mergeCell ref="V25:Y26"/>
    <mergeCell ref="B27:E27"/>
    <mergeCell ref="J27:K27"/>
    <mergeCell ref="N27:R27"/>
    <mergeCell ref="V27:Y27"/>
    <mergeCell ref="F25:F26"/>
    <mergeCell ref="G25:G26"/>
    <mergeCell ref="N25:R26"/>
    <mergeCell ref="U25:U26"/>
    <mergeCell ref="M25:M26"/>
    <mergeCell ref="AD27:AE27"/>
    <mergeCell ref="Z25:Z26"/>
    <mergeCell ref="AA25:AA26"/>
    <mergeCell ref="AB25:AB26"/>
    <mergeCell ref="AC25:AC26"/>
    <mergeCell ref="AD25:AE26"/>
    <mergeCell ref="C10:F10"/>
    <mergeCell ref="A20:M20"/>
    <mergeCell ref="H25:H26"/>
    <mergeCell ref="I25:I26"/>
    <mergeCell ref="J25:K26"/>
    <mergeCell ref="L25:L26"/>
    <mergeCell ref="A25:A26"/>
    <mergeCell ref="B25:E26"/>
    <mergeCell ref="N24:O24"/>
    <mergeCell ref="C14:F14"/>
    <mergeCell ref="C18:F18"/>
    <mergeCell ref="A7:B7"/>
    <mergeCell ref="A8:B8"/>
    <mergeCell ref="C8:F8"/>
    <mergeCell ref="A9:B9"/>
    <mergeCell ref="C9:F9"/>
    <mergeCell ref="C7:F7"/>
    <mergeCell ref="A10:B10"/>
    <mergeCell ref="A6:B6"/>
    <mergeCell ref="C6:F6"/>
    <mergeCell ref="A1:K1"/>
    <mergeCell ref="A3:B3"/>
    <mergeCell ref="C3:F3"/>
    <mergeCell ref="A5:B5"/>
    <mergeCell ref="C5:F5"/>
  </mergeCells>
  <conditionalFormatting sqref="L27:L36">
    <cfRule type="cellIs" priority="2" dxfId="1" operator="notEqual" stopIfTrue="1">
      <formula>'LFA_Programmatic Progress_1A'!#REF!</formula>
    </cfRule>
  </conditionalFormatting>
  <conditionalFormatting sqref="A27:K36">
    <cfRule type="cellIs" priority="1" dxfId="1" operator="notEqual" stopIfTrue="1">
      <formula>U27</formula>
    </cfRule>
  </conditionalFormatting>
  <dataValidations count="6">
    <dataValidation allowBlank="1" showErrorMessage="1" sqref="A27:A36 U27:U36 Z27:AC36">
      <formula1>0</formula1>
      <formula2>0</formula2>
    </dataValidation>
    <dataValidation type="list" allowBlank="1" showErrorMessage="1" sqref="G14:H14 G18:H18">
      <formula1>"Select,N/A,1,2,3,4,5,6,7,8,9,10,11,12,13,14,15,16,17,18,19,20"</formula1>
      <formula2>0</formula2>
    </dataValidation>
    <dataValidation type="list" allowBlank="1" showErrorMessage="1" sqref="G6:H6">
      <formula1>"Select,Health Systems Strengthening,HIV/AIDS,HIV/TB,Integrated,Malaria,Tuberculosis"</formula1>
      <formula2>0</formula2>
    </dataValidation>
    <dataValidation type="list" allowBlank="1" showErrorMessage="1" sqref="G10:H10">
      <formula1>"Select,USD,EUR"</formula1>
      <formula2>0</formula2>
    </dataValidation>
    <dataValidation type="list" allowBlank="1" showErrorMessage="1" sqref="G12:H12 G16:H16">
      <formula1>"Select,1,2,3,4,5,6,7,8,9,10,11,12,13,14,15,16,17,18,19,20"</formula1>
      <formula2>0</formula2>
    </dataValidation>
    <dataValidation type="list" allowBlank="1" showInputMessage="1" prompt="If &quot;Other&quot;, please specify" sqref="L27:L36">
      <formula1>"Select,Not Verified,Desk Review,Other ..."</formula1>
      <formula2>0</formula2>
    </dataValidation>
  </dataValidations>
  <printOptions horizontalCentered="1"/>
  <pageMargins left="0.7479166666666667" right="0.7479166666666667" top="0.5902777777777778" bottom="0.5902777777777777" header="0.5118055555555555" footer="0.5118055555555555"/>
  <pageSetup cellComments="atEnd" horizontalDpi="300" verticalDpi="300" orientation="landscape" paperSize="9" scale="40" r:id="rId1"/>
  <headerFooter alignWithMargins="0">
    <oddFooter>&amp;L&amp;9&amp;F&amp;C&amp;A&amp;R&amp;9Page &amp;P of &amp;N</oddFooter>
  </headerFooter>
</worksheet>
</file>

<file path=xl/worksheets/sheet16.xml><?xml version="1.0" encoding="utf-8"?>
<worksheet xmlns="http://schemas.openxmlformats.org/spreadsheetml/2006/main" xmlns:r="http://schemas.openxmlformats.org/officeDocument/2006/relationships">
  <sheetPr>
    <tabColor indexed="40"/>
    <pageSetUpPr fitToPage="1"/>
  </sheetPr>
  <dimension ref="A1:AH46"/>
  <sheetViews>
    <sheetView view="pageBreakPreview" zoomScale="70" zoomScaleNormal="40" zoomScaleSheetLayoutView="70" zoomScalePageLayoutView="0" workbookViewId="0" topLeftCell="E1">
      <selection activeCell="G5" sqref="G5"/>
    </sheetView>
  </sheetViews>
  <sheetFormatPr defaultColWidth="9.140625" defaultRowHeight="12.75"/>
  <cols>
    <col min="1" max="2" width="13.421875" style="16" customWidth="1"/>
    <col min="3" max="3" width="19.57421875" style="16" customWidth="1"/>
    <col min="4" max="4" width="22.7109375" style="16" customWidth="1"/>
    <col min="5" max="5" width="14.8515625" style="16" customWidth="1"/>
    <col min="6" max="6" width="24.00390625" style="16" customWidth="1"/>
    <col min="7" max="7" width="16.7109375" style="694" customWidth="1"/>
    <col min="8" max="8" width="12.7109375" style="16" customWidth="1"/>
    <col min="9" max="9" width="19.57421875" style="16" customWidth="1"/>
    <col min="10" max="10" width="18.28125" style="731" customWidth="1"/>
    <col min="11" max="11" width="21.421875" style="16" customWidth="1"/>
    <col min="12" max="12" width="21.140625" style="16" customWidth="1"/>
    <col min="13" max="13" width="12.140625" style="16" customWidth="1"/>
    <col min="14" max="14" width="5.7109375" style="16" customWidth="1"/>
    <col min="15" max="15" width="17.00390625" style="16" customWidth="1"/>
    <col min="16" max="16" width="20.140625" style="16" customWidth="1"/>
    <col min="17" max="17" width="9.140625" style="16" customWidth="1"/>
    <col min="18" max="18" width="29.57421875" style="16" customWidth="1"/>
    <col min="19" max="20" width="9.140625" style="16" customWidth="1"/>
    <col min="21" max="21" width="2.8515625" style="16" customWidth="1"/>
    <col min="22" max="35" width="0" style="16" hidden="1" customWidth="1"/>
    <col min="36" max="16384" width="9.140625" style="16" customWidth="1"/>
  </cols>
  <sheetData>
    <row r="1" spans="1:25" s="101" customFormat="1" ht="25.5" customHeight="1">
      <c r="A1" s="1829" t="s">
        <v>846</v>
      </c>
      <c r="B1" s="1829"/>
      <c r="C1" s="1829"/>
      <c r="D1" s="1829"/>
      <c r="E1" s="1829"/>
      <c r="F1" s="1829"/>
      <c r="G1" s="1829"/>
      <c r="H1" s="1829"/>
      <c r="I1" s="1829"/>
      <c r="J1" s="1829"/>
      <c r="K1" s="1829"/>
      <c r="L1" s="5"/>
      <c r="M1" s="5"/>
      <c r="N1" s="2"/>
      <c r="O1" s="2"/>
      <c r="P1" s="2"/>
      <c r="Q1" s="2"/>
      <c r="R1" s="2"/>
      <c r="S1" s="2"/>
      <c r="T1" s="2"/>
      <c r="U1" s="2"/>
      <c r="V1" s="2"/>
      <c r="W1" s="2"/>
      <c r="X1" s="2"/>
      <c r="Y1" s="2"/>
    </row>
    <row r="2" spans="1:25" s="13" customFormat="1" ht="27" customHeight="1">
      <c r="A2" s="72" t="s">
        <v>855</v>
      </c>
      <c r="B2" s="2"/>
      <c r="C2" s="2"/>
      <c r="D2" s="2"/>
      <c r="E2" s="2"/>
      <c r="F2" s="2"/>
      <c r="G2" s="2"/>
      <c r="H2" s="2"/>
      <c r="I2" s="2"/>
      <c r="J2" s="165"/>
      <c r="K2" s="2"/>
      <c r="L2" s="2"/>
      <c r="M2" s="2"/>
      <c r="N2" s="2"/>
      <c r="O2" s="2"/>
      <c r="P2" s="2"/>
      <c r="Q2" s="2"/>
      <c r="R2" s="2"/>
      <c r="S2" s="2"/>
      <c r="T2" s="2"/>
      <c r="U2" s="2"/>
      <c r="V2" s="2"/>
      <c r="W2" s="2"/>
      <c r="X2" s="2"/>
      <c r="Y2" s="2"/>
    </row>
    <row r="3" spans="1:25" s="25" customFormat="1" ht="25.5" customHeight="1">
      <c r="A3" s="1858" t="s">
        <v>879</v>
      </c>
      <c r="B3" s="1858"/>
      <c r="C3" s="1858"/>
      <c r="D3" s="732" t="str">
        <f>IF('LFA_Programmatic Progress_1A'!C7="","",'LFA_Programmatic Progress_1A'!C7)</f>
        <v>SLV-910-G08-T</v>
      </c>
      <c r="E3" s="733"/>
      <c r="F3" s="733"/>
      <c r="G3" s="734"/>
      <c r="H3" s="735"/>
      <c r="I3" s="408"/>
      <c r="J3" s="736"/>
      <c r="K3" s="75"/>
      <c r="L3" s="75"/>
      <c r="M3" s="75"/>
      <c r="N3" s="75"/>
      <c r="O3" s="75"/>
      <c r="P3" s="75"/>
      <c r="Q3" s="75"/>
      <c r="R3" s="75"/>
      <c r="S3" s="75"/>
      <c r="T3" s="75"/>
      <c r="U3" s="75"/>
      <c r="V3" s="75"/>
      <c r="W3" s="75"/>
      <c r="X3" s="75"/>
      <c r="Y3" s="75"/>
    </row>
    <row r="4" spans="1:25" s="25" customFormat="1" ht="15" customHeight="1">
      <c r="A4" s="1858" t="s">
        <v>856</v>
      </c>
      <c r="B4" s="1858"/>
      <c r="C4" s="1858"/>
      <c r="D4" s="92" t="s">
        <v>857</v>
      </c>
      <c r="E4" s="122" t="str">
        <f>IF('LFA_Programmatic Progress_1A'!D12="Select","",'LFA_Programmatic Progress_1A'!D12)</f>
        <v>Semestral</v>
      </c>
      <c r="F4" s="93" t="s">
        <v>858</v>
      </c>
      <c r="G4" s="123">
        <f>IF('LFA_Programmatic Progress_1A'!F12="Select","",'LFA_Programmatic Progress_1A'!F12)</f>
        <v>10</v>
      </c>
      <c r="H4" s="407"/>
      <c r="I4" s="24"/>
      <c r="K4" s="75"/>
      <c r="L4" s="75"/>
      <c r="M4" s="75"/>
      <c r="N4" s="75"/>
      <c r="O4" s="75"/>
      <c r="P4" s="75"/>
      <c r="Q4" s="75"/>
      <c r="R4" s="75"/>
      <c r="S4" s="75"/>
      <c r="T4" s="75"/>
      <c r="U4" s="75"/>
      <c r="V4" s="75"/>
      <c r="W4" s="75"/>
      <c r="X4" s="75"/>
      <c r="Y4" s="75"/>
    </row>
    <row r="5" spans="1:25" s="25" customFormat="1" ht="15" customHeight="1">
      <c r="A5" s="1859" t="s">
        <v>859</v>
      </c>
      <c r="B5" s="1859"/>
      <c r="C5" s="1859"/>
      <c r="D5" s="96" t="s">
        <v>860</v>
      </c>
      <c r="E5" s="124">
        <f>IF('LFA_Programmatic Progress_1A'!D13="","",'LFA_Programmatic Progress_1A'!D13)</f>
        <v>42005</v>
      </c>
      <c r="F5" s="93" t="s">
        <v>542</v>
      </c>
      <c r="G5" s="125">
        <f>IF('LFA_Programmatic Progress_1A'!F13="","",'LFA_Programmatic Progress_1A'!F13)</f>
        <v>42185</v>
      </c>
      <c r="H5" s="409"/>
      <c r="I5" s="408"/>
      <c r="J5" s="737"/>
      <c r="K5" s="75"/>
      <c r="L5" s="75"/>
      <c r="M5" s="75"/>
      <c r="N5" s="75"/>
      <c r="O5" s="75"/>
      <c r="P5" s="75"/>
      <c r="Q5" s="75"/>
      <c r="R5" s="75"/>
      <c r="S5" s="75"/>
      <c r="T5" s="75"/>
      <c r="U5" s="75"/>
      <c r="V5" s="75"/>
      <c r="W5" s="75"/>
      <c r="X5" s="75"/>
      <c r="Y5" s="75"/>
    </row>
    <row r="6" spans="1:25" s="25" customFormat="1" ht="15" customHeight="1">
      <c r="A6" s="1861" t="s">
        <v>861</v>
      </c>
      <c r="B6" s="1861"/>
      <c r="C6" s="1861"/>
      <c r="D6" s="738">
        <f>IF('LFA_Programmatic Progress_1A'!C14="Select","",'LFA_Programmatic Progress_1A'!C14)</f>
        <v>10</v>
      </c>
      <c r="E6" s="738"/>
      <c r="F6" s="738"/>
      <c r="G6" s="739"/>
      <c r="I6" s="740"/>
      <c r="J6" s="741"/>
      <c r="K6" s="75"/>
      <c r="L6" s="75"/>
      <c r="M6" s="75"/>
      <c r="N6" s="75"/>
      <c r="O6" s="75"/>
      <c r="P6" s="75"/>
      <c r="Q6" s="75"/>
      <c r="R6" s="75"/>
      <c r="S6" s="75"/>
      <c r="T6" s="75"/>
      <c r="U6" s="75"/>
      <c r="V6" s="75"/>
      <c r="W6" s="75"/>
      <c r="X6" s="75"/>
      <c r="Y6" s="75"/>
    </row>
    <row r="7" spans="1:13" s="54" customFormat="1" ht="22.5" customHeight="1">
      <c r="A7" s="1862"/>
      <c r="B7" s="1862"/>
      <c r="C7" s="1862"/>
      <c r="D7" s="1862"/>
      <c r="E7" s="1862"/>
      <c r="F7" s="1862"/>
      <c r="G7" s="1862"/>
      <c r="H7" s="1862"/>
      <c r="I7" s="1862"/>
      <c r="J7" s="1862"/>
      <c r="K7" s="1862"/>
      <c r="L7" s="1862"/>
      <c r="M7" s="53"/>
    </row>
    <row r="8" spans="1:20" s="54" customFormat="1" ht="39" customHeight="1">
      <c r="A8" s="1863" t="s">
        <v>880</v>
      </c>
      <c r="B8" s="1863"/>
      <c r="C8" s="1863"/>
      <c r="D8" s="1863"/>
      <c r="E8" s="1863"/>
      <c r="F8" s="1863"/>
      <c r="G8" s="1863"/>
      <c r="H8" s="1863"/>
      <c r="I8" s="1863"/>
      <c r="J8" s="1863"/>
      <c r="K8" s="1863"/>
      <c r="L8" s="1863"/>
      <c r="M8" s="1863"/>
      <c r="N8" s="1863"/>
      <c r="O8" s="1863"/>
      <c r="P8" s="1863"/>
      <c r="Q8" s="1863"/>
      <c r="R8" s="1863"/>
      <c r="S8" s="1863"/>
      <c r="T8" s="1863"/>
    </row>
    <row r="9" spans="1:34" s="13" customFormat="1" ht="21.75" customHeight="1">
      <c r="A9" s="1864" t="s">
        <v>881</v>
      </c>
      <c r="B9" s="1864"/>
      <c r="C9" s="1864"/>
      <c r="D9" s="1864"/>
      <c r="E9" s="1864"/>
      <c r="F9" s="1864"/>
      <c r="G9" s="1864"/>
      <c r="H9" s="1864"/>
      <c r="I9" s="1864"/>
      <c r="J9" s="1864"/>
      <c r="K9" s="1864"/>
      <c r="L9" s="1864"/>
      <c r="M9" s="1864"/>
      <c r="N9" s="1864"/>
      <c r="O9" s="1864"/>
      <c r="P9" s="1864"/>
      <c r="Q9" s="1864"/>
      <c r="R9" s="1864"/>
      <c r="S9" s="1864"/>
      <c r="T9" s="1864"/>
      <c r="U9" s="16"/>
      <c r="V9" s="16"/>
      <c r="W9" s="1864" t="s">
        <v>881</v>
      </c>
      <c r="X9" s="1864"/>
      <c r="Y9" s="1864"/>
      <c r="Z9" s="1864"/>
      <c r="AA9" s="1864"/>
      <c r="AB9" s="1864"/>
      <c r="AC9" s="1864"/>
      <c r="AD9" s="1864"/>
      <c r="AE9" s="1864"/>
      <c r="AF9" s="1864"/>
      <c r="AG9" s="1864"/>
      <c r="AH9" s="1864"/>
    </row>
    <row r="10" spans="1:34" s="13" customFormat="1" ht="12.75" customHeight="1">
      <c r="A10" s="1865" t="s">
        <v>882</v>
      </c>
      <c r="B10" s="1860" t="s">
        <v>883</v>
      </c>
      <c r="C10" s="1866" t="s">
        <v>870</v>
      </c>
      <c r="D10" s="1866"/>
      <c r="E10" s="1866"/>
      <c r="F10" s="1866"/>
      <c r="G10" s="1866"/>
      <c r="H10" s="1860" t="s">
        <v>884</v>
      </c>
      <c r="I10" s="1860" t="s">
        <v>885</v>
      </c>
      <c r="J10" s="1860" t="s">
        <v>886</v>
      </c>
      <c r="K10" s="1860" t="s">
        <v>887</v>
      </c>
      <c r="L10" s="1860" t="s">
        <v>888</v>
      </c>
      <c r="M10" s="1860" t="s">
        <v>876</v>
      </c>
      <c r="N10" s="1860"/>
      <c r="O10" s="1860" t="s">
        <v>877</v>
      </c>
      <c r="P10" s="1845" t="s">
        <v>889</v>
      </c>
      <c r="Q10" s="1871" t="s">
        <v>890</v>
      </c>
      <c r="R10" s="1871"/>
      <c r="S10" s="1871"/>
      <c r="T10" s="1871"/>
      <c r="U10" s="16"/>
      <c r="V10" s="16"/>
      <c r="W10" s="1865" t="s">
        <v>882</v>
      </c>
      <c r="X10" s="1870" t="s">
        <v>883</v>
      </c>
      <c r="Y10" s="1866" t="s">
        <v>870</v>
      </c>
      <c r="Z10" s="1866"/>
      <c r="AA10" s="1866"/>
      <c r="AB10" s="1866"/>
      <c r="AC10" s="1866"/>
      <c r="AD10" s="1860" t="s">
        <v>884</v>
      </c>
      <c r="AE10" s="1870" t="s">
        <v>885</v>
      </c>
      <c r="AF10" s="1870" t="s">
        <v>886</v>
      </c>
      <c r="AG10" s="1860" t="s">
        <v>887</v>
      </c>
      <c r="AH10" s="1871" t="s">
        <v>888</v>
      </c>
    </row>
    <row r="11" spans="1:34" s="13" customFormat="1" ht="87.75" customHeight="1">
      <c r="A11" s="1865"/>
      <c r="B11" s="1860"/>
      <c r="C11" s="1866"/>
      <c r="D11" s="1866"/>
      <c r="E11" s="1866"/>
      <c r="F11" s="1866"/>
      <c r="G11" s="1866"/>
      <c r="H11" s="1860"/>
      <c r="I11" s="1860"/>
      <c r="J11" s="1860"/>
      <c r="K11" s="1860"/>
      <c r="L11" s="1860"/>
      <c r="M11" s="1860"/>
      <c r="N11" s="1860"/>
      <c r="O11" s="1860"/>
      <c r="P11" s="1845"/>
      <c r="Q11" s="1871"/>
      <c r="R11" s="1871"/>
      <c r="S11" s="1871"/>
      <c r="T11" s="1871"/>
      <c r="U11" s="16"/>
      <c r="V11" s="16"/>
      <c r="W11" s="1865"/>
      <c r="X11" s="1870"/>
      <c r="Y11" s="1866"/>
      <c r="Z11" s="1866"/>
      <c r="AA11" s="1866"/>
      <c r="AB11" s="1866"/>
      <c r="AC11" s="1866"/>
      <c r="AD11" s="1860"/>
      <c r="AE11" s="1870"/>
      <c r="AF11" s="1870"/>
      <c r="AG11" s="1860"/>
      <c r="AH11" s="1871"/>
    </row>
    <row r="12" spans="1:34" s="13" customFormat="1" ht="63.75" customHeight="1">
      <c r="A12" s="744">
        <f>W12</f>
        <v>1</v>
      </c>
      <c r="B12" s="745">
        <f>X12</f>
        <v>1.1</v>
      </c>
      <c r="C12" s="1867" t="str">
        <f>Y12</f>
        <v>Casos nuevos de tuberculosis Bk (+) captados directamente y/o referidos por la comunidad de los 30 Municipios Priorizados a servicios de diagnostico (número y porcentaje)</v>
      </c>
      <c r="D12" s="1867"/>
      <c r="E12" s="1867"/>
      <c r="F12" s="1867"/>
      <c r="G12" s="1867"/>
      <c r="H12" s="722" t="str">
        <f>AD12</f>
        <v>Subvención actual</v>
      </c>
      <c r="I12" s="722" t="str">
        <f aca="true" t="shared" si="0" ref="I12:L27">AE12</f>
        <v>Sí acumuladas anualmente</v>
      </c>
      <c r="J12" s="722" t="str">
        <f t="shared" si="0"/>
        <v>No </v>
      </c>
      <c r="K12" s="746" t="str">
        <f t="shared" si="0"/>
        <v>100 / 244
(41.0 %)</v>
      </c>
      <c r="L12" s="747" t="str">
        <f t="shared" si="0"/>
        <v>(25 / 447)
5.6 %</v>
      </c>
      <c r="M12" s="1868"/>
      <c r="N12" s="1868"/>
      <c r="O12" s="748"/>
      <c r="P12" s="749"/>
      <c r="Q12" s="1869"/>
      <c r="R12" s="1869"/>
      <c r="S12" s="1869"/>
      <c r="T12" s="1869"/>
      <c r="U12" s="16"/>
      <c r="V12" s="16"/>
      <c r="W12" s="744">
        <f>IF('PR_Programmatic Progress_1B'!A12="","",'PR_Programmatic Progress_1B'!A12)</f>
        <v>1</v>
      </c>
      <c r="X12" s="745">
        <f>IF('PR_Programmatic Progress_1B'!B12="","",'PR_Programmatic Progress_1B'!B12)</f>
        <v>1.1</v>
      </c>
      <c r="Y12" s="1867" t="str">
        <f>IF('PR_Programmatic Progress_1B'!C12="","",'PR_Programmatic Progress_1B'!C12)</f>
        <v>Casos nuevos de tuberculosis Bk (+) captados directamente y/o referidos por la comunidad de los 30 Municipios Priorizados a servicios de diagnostico (número y porcentaje)</v>
      </c>
      <c r="Z12" s="1867"/>
      <c r="AA12" s="1867"/>
      <c r="AB12" s="1867"/>
      <c r="AC12" s="1867"/>
      <c r="AD12" s="722" t="str">
        <f>IF('PR_Programmatic Progress_1B'!G12="","",'PR_Programmatic Progress_1B'!G12)</f>
        <v>Subvención actual</v>
      </c>
      <c r="AE12" s="722" t="str">
        <f>IF('PR_Programmatic Progress_1B'!H12="","",'PR_Programmatic Progress_1B'!H12)</f>
        <v>Sí acumuladas anualmente</v>
      </c>
      <c r="AF12" s="722" t="str">
        <f>IF('PR_Programmatic Progress_1B'!I12="","",'PR_Programmatic Progress_1B'!I12)</f>
        <v>No </v>
      </c>
      <c r="AG12" s="722" t="str">
        <f>IF('PR_Programmatic Progress_1B'!L12="","",'PR_Programmatic Progress_1B'!L12)</f>
        <v>100 / 244
(41.0 %)</v>
      </c>
      <c r="AH12" s="750" t="str">
        <f>IF('PR_Programmatic Progress_1B'!M12="","",'PR_Programmatic Progress_1B'!M12)</f>
        <v>(25 / 447)
5.6 %</v>
      </c>
    </row>
    <row r="13" spans="1:34" s="13" customFormat="1" ht="63.75" customHeight="1">
      <c r="A13" s="751">
        <f aca="true" t="shared" si="1" ref="A13:A37">W13</f>
        <v>1</v>
      </c>
      <c r="B13" s="752">
        <f aca="true" t="shared" si="2" ref="B13:B37">X13</f>
        <v>1.2</v>
      </c>
      <c r="C13" s="1872" t="str">
        <f aca="true" t="shared" si="3" ref="C13:C37">Y13</f>
        <v>Pacientes gestionados (atendidos) por la comunidad de los 30 Municipios Priorizados durante el tratamiento (número y porcentaje)</v>
      </c>
      <c r="D13" s="1872"/>
      <c r="E13" s="1872"/>
      <c r="F13" s="1872"/>
      <c r="G13" s="1872"/>
      <c r="H13" s="722" t="str">
        <f aca="true" t="shared" si="4" ref="H13:J37">AD13</f>
        <v>Subvención actual</v>
      </c>
      <c r="I13" s="722" t="str">
        <f t="shared" si="0"/>
        <v>Sí acumuladas anualmente</v>
      </c>
      <c r="J13" s="722" t="str">
        <f t="shared" si="0"/>
        <v>Sí - 10 más importantes </v>
      </c>
      <c r="K13" s="746" t="str">
        <f t="shared" si="0"/>
        <v>100 / 652
(15.3%)</v>
      </c>
      <c r="L13" s="753" t="str">
        <f aca="true" t="shared" si="5" ref="L13:L37">AH13</f>
        <v>(74 / 779)
9.5 %</v>
      </c>
      <c r="M13" s="1873"/>
      <c r="N13" s="1873"/>
      <c r="O13" s="754"/>
      <c r="P13" s="755"/>
      <c r="Q13" s="1874"/>
      <c r="R13" s="1874"/>
      <c r="S13" s="1874"/>
      <c r="T13" s="1874"/>
      <c r="U13" s="16"/>
      <c r="V13" s="16"/>
      <c r="W13" s="751">
        <f>IF('PR_Programmatic Progress_1B'!A13="","",'PR_Programmatic Progress_1B'!A13)</f>
        <v>1</v>
      </c>
      <c r="X13" s="752">
        <f>IF('PR_Programmatic Progress_1B'!B13="","",'PR_Programmatic Progress_1B'!B13)</f>
        <v>1.2</v>
      </c>
      <c r="Y13" s="1872" t="str">
        <f>IF('PR_Programmatic Progress_1B'!C13="","",'PR_Programmatic Progress_1B'!C13)</f>
        <v>Pacientes gestionados (atendidos) por la comunidad de los 30 Municipios Priorizados durante el tratamiento (número y porcentaje)</v>
      </c>
      <c r="Z13" s="1872"/>
      <c r="AA13" s="1872"/>
      <c r="AB13" s="1872"/>
      <c r="AC13" s="1872"/>
      <c r="AD13" s="722" t="str">
        <f>IF('PR_Programmatic Progress_1B'!G13="","",'PR_Programmatic Progress_1B'!G13)</f>
        <v>Subvención actual</v>
      </c>
      <c r="AE13" s="722" t="str">
        <f>IF('PR_Programmatic Progress_1B'!H13="","",'PR_Programmatic Progress_1B'!H13)</f>
        <v>Sí acumuladas anualmente</v>
      </c>
      <c r="AF13" s="722" t="str">
        <f>IF('PR_Programmatic Progress_1B'!I13="","",'PR_Programmatic Progress_1B'!I13)</f>
        <v>Sí - 10 más importantes </v>
      </c>
      <c r="AG13" s="722" t="str">
        <f>IF('PR_Programmatic Progress_1B'!L13="","",'PR_Programmatic Progress_1B'!L13)</f>
        <v>100 / 652
(15.3%)</v>
      </c>
      <c r="AH13" s="756" t="str">
        <f>IF('PR_Programmatic Progress_1B'!M13="","",'PR_Programmatic Progress_1B'!M13)</f>
        <v>(74 / 779)
9.5 %</v>
      </c>
    </row>
    <row r="14" spans="1:34" s="13" customFormat="1" ht="63.75" customHeight="1">
      <c r="A14" s="751">
        <f t="shared" si="1"/>
        <v>1</v>
      </c>
      <c r="B14" s="752">
        <f t="shared" si="2"/>
        <v>1.3</v>
      </c>
      <c r="C14" s="1872" t="str">
        <f t="shared" si="3"/>
        <v>Centros privados/públicos externos al programa PNT y que participan en actividades del sistema DOTS siguiendo las normas internacionales para la atención a los enfermos de tuberculosis (ISTC) entre todos los previstos en los 30 Municipios (número y porcentaje)</v>
      </c>
      <c r="D14" s="1872"/>
      <c r="E14" s="1872"/>
      <c r="F14" s="1872"/>
      <c r="G14" s="1872"/>
      <c r="H14" s="722" t="str">
        <f t="shared" si="4"/>
        <v>Subvención actual</v>
      </c>
      <c r="I14" s="722" t="str">
        <f t="shared" si="0"/>
        <v>Sí acumuladas anualmente</v>
      </c>
      <c r="J14" s="722" t="str">
        <f t="shared" si="0"/>
        <v>No </v>
      </c>
      <c r="K14" s="746" t="str">
        <f t="shared" si="0"/>
        <v>143 / 918
(15.6%)</v>
      </c>
      <c r="L14" s="753" t="str">
        <f t="shared" si="5"/>
        <v>(274 / 1,000)
27.4 %</v>
      </c>
      <c r="M14" s="1873"/>
      <c r="N14" s="1873"/>
      <c r="O14" s="722"/>
      <c r="P14" s="757"/>
      <c r="Q14" s="1875"/>
      <c r="R14" s="1875"/>
      <c r="S14" s="1875"/>
      <c r="T14" s="1875"/>
      <c r="U14" s="16"/>
      <c r="V14" s="16"/>
      <c r="W14" s="751">
        <f>IF('PR_Programmatic Progress_1B'!A14="","",'PR_Programmatic Progress_1B'!A14)</f>
        <v>1</v>
      </c>
      <c r="X14" s="752">
        <f>IF('PR_Programmatic Progress_1B'!B14="","",'PR_Programmatic Progress_1B'!B14)</f>
        <v>1.3</v>
      </c>
      <c r="Y14" s="1872" t="str">
        <f>IF('PR_Programmatic Progress_1B'!C14="","",'PR_Programmatic Progress_1B'!C14)</f>
        <v>Centros privados/públicos externos al programa PNT y que participan en actividades del sistema DOTS siguiendo las normas internacionales para la atención a los enfermos de tuberculosis (ISTC) entre todos los previstos en los 30 Municipios (número y porcentaje)</v>
      </c>
      <c r="Z14" s="1872"/>
      <c r="AA14" s="1872"/>
      <c r="AB14" s="1872"/>
      <c r="AC14" s="1872"/>
      <c r="AD14" s="722" t="str">
        <f>IF('PR_Programmatic Progress_1B'!G14="","",'PR_Programmatic Progress_1B'!G14)</f>
        <v>Subvención actual</v>
      </c>
      <c r="AE14" s="722" t="str">
        <f>IF('PR_Programmatic Progress_1B'!H14="","",'PR_Programmatic Progress_1B'!H14)</f>
        <v>Sí acumuladas anualmente</v>
      </c>
      <c r="AF14" s="722" t="str">
        <f>IF('PR_Programmatic Progress_1B'!I14="","",'PR_Programmatic Progress_1B'!I14)</f>
        <v>No </v>
      </c>
      <c r="AG14" s="722" t="str">
        <f>IF('PR_Programmatic Progress_1B'!L14="","",'PR_Programmatic Progress_1B'!L14)</f>
        <v>143 / 918
(15.6%)</v>
      </c>
      <c r="AH14" s="756" t="str">
        <f>IF('PR_Programmatic Progress_1B'!M14="","",'PR_Programmatic Progress_1B'!M14)</f>
        <v>(274 / 1,000)
27.4 %</v>
      </c>
    </row>
    <row r="15" spans="1:34" s="13" customFormat="1" ht="63.75" customHeight="1">
      <c r="A15" s="751">
        <f t="shared" si="1"/>
        <v>1</v>
      </c>
      <c r="B15" s="752">
        <f t="shared" si="2"/>
        <v>1.4</v>
      </c>
      <c r="C15" s="1872" t="str">
        <f t="shared" si="3"/>
        <v>Número de casos de tuberculosis (todas las formas) notificados a las autoridades nacionales</v>
      </c>
      <c r="D15" s="1872"/>
      <c r="E15" s="1872"/>
      <c r="F15" s="1872"/>
      <c r="G15" s="1872"/>
      <c r="H15" s="722" t="str">
        <f t="shared" si="4"/>
        <v>Programa Nacional</v>
      </c>
      <c r="I15" s="722" t="str">
        <f t="shared" si="0"/>
        <v>Sí acumuladas anualmente</v>
      </c>
      <c r="J15" s="722" t="str">
        <f t="shared" si="0"/>
        <v>Sí - 10 más importantes </v>
      </c>
      <c r="K15" s="746">
        <f t="shared" si="0"/>
        <v>652</v>
      </c>
      <c r="L15" s="753">
        <f t="shared" si="5"/>
        <v>779</v>
      </c>
      <c r="M15" s="1873"/>
      <c r="N15" s="1873"/>
      <c r="O15" s="722"/>
      <c r="P15" s="757"/>
      <c r="Q15" s="1875"/>
      <c r="R15" s="1875"/>
      <c r="S15" s="1875"/>
      <c r="T15" s="1875"/>
      <c r="U15" s="16"/>
      <c r="V15" s="16"/>
      <c r="W15" s="751">
        <f>IF('PR_Programmatic Progress_1B'!A15="","",'PR_Programmatic Progress_1B'!A15)</f>
        <v>1</v>
      </c>
      <c r="X15" s="752">
        <f>IF('PR_Programmatic Progress_1B'!B15="","",'PR_Programmatic Progress_1B'!B15)</f>
        <v>1.4</v>
      </c>
      <c r="Y15" s="1872" t="str">
        <f>IF('PR_Programmatic Progress_1B'!C15="","",'PR_Programmatic Progress_1B'!C15)</f>
        <v>Número de casos de tuberculosis (todas las formas) notificados a las autoridades nacionales</v>
      </c>
      <c r="Z15" s="1872"/>
      <c r="AA15" s="1872"/>
      <c r="AB15" s="1872"/>
      <c r="AC15" s="1872"/>
      <c r="AD15" s="722" t="str">
        <f>IF('PR_Programmatic Progress_1B'!G15="","",'PR_Programmatic Progress_1B'!G15)</f>
        <v>Programa Nacional</v>
      </c>
      <c r="AE15" s="722" t="str">
        <f>IF('PR_Programmatic Progress_1B'!H15="","",'PR_Programmatic Progress_1B'!H15)</f>
        <v>Sí acumuladas anualmente</v>
      </c>
      <c r="AF15" s="722" t="str">
        <f>IF('PR_Programmatic Progress_1B'!I15="","",'PR_Programmatic Progress_1B'!I15)</f>
        <v>Sí - 10 más importantes </v>
      </c>
      <c r="AG15" s="722">
        <f>IF('PR_Programmatic Progress_1B'!L15="","",'PR_Programmatic Progress_1B'!L15)</f>
        <v>652</v>
      </c>
      <c r="AH15" s="756">
        <f>IF('PR_Programmatic Progress_1B'!M15="","",'PR_Programmatic Progress_1B'!M15)</f>
        <v>779</v>
      </c>
    </row>
    <row r="16" spans="1:34" s="13" customFormat="1" ht="63.75" customHeight="1">
      <c r="A16" s="751">
        <f t="shared" si="1"/>
        <v>1</v>
      </c>
      <c r="B16" s="752">
        <f t="shared" si="2"/>
        <v>1.5</v>
      </c>
      <c r="C16" s="1872" t="str">
        <f t="shared" si="3"/>
        <v>Numero de casos de tuberculosis (Baciloscopias positivas) notificados a las autoridades nacionales</v>
      </c>
      <c r="D16" s="1872"/>
      <c r="E16" s="1872"/>
      <c r="F16" s="1872"/>
      <c r="G16" s="1872"/>
      <c r="H16" s="722" t="str">
        <f t="shared" si="4"/>
        <v>Programa Nacional</v>
      </c>
      <c r="I16" s="722" t="str">
        <f t="shared" si="0"/>
        <v>Sí acumuladas anualmente</v>
      </c>
      <c r="J16" s="722" t="str">
        <f t="shared" si="0"/>
        <v>Sí - 10 más importantes </v>
      </c>
      <c r="K16" s="746">
        <f t="shared" si="0"/>
        <v>361</v>
      </c>
      <c r="L16" s="753">
        <f t="shared" si="5"/>
        <v>447</v>
      </c>
      <c r="M16" s="1873"/>
      <c r="N16" s="1873"/>
      <c r="O16" s="722"/>
      <c r="P16" s="757"/>
      <c r="Q16" s="1875"/>
      <c r="R16" s="1875"/>
      <c r="S16" s="1875"/>
      <c r="T16" s="1875"/>
      <c r="U16" s="16"/>
      <c r="V16" s="16"/>
      <c r="W16" s="751">
        <f>IF('PR_Programmatic Progress_1B'!A16="","",'PR_Programmatic Progress_1B'!A16)</f>
        <v>1</v>
      </c>
      <c r="X16" s="752">
        <f>IF('PR_Programmatic Progress_1B'!B16="","",'PR_Programmatic Progress_1B'!B16)</f>
        <v>1.5</v>
      </c>
      <c r="Y16" s="1872" t="str">
        <f>IF('PR_Programmatic Progress_1B'!C16="","",'PR_Programmatic Progress_1B'!C16)</f>
        <v>Numero de casos de tuberculosis (Baciloscopias positivas) notificados a las autoridades nacionales</v>
      </c>
      <c r="Z16" s="1872"/>
      <c r="AA16" s="1872"/>
      <c r="AB16" s="1872"/>
      <c r="AC16" s="1872"/>
      <c r="AD16" s="722" t="str">
        <f>IF('PR_Programmatic Progress_1B'!G16="","",'PR_Programmatic Progress_1B'!G16)</f>
        <v>Programa Nacional</v>
      </c>
      <c r="AE16" s="722" t="str">
        <f>IF('PR_Programmatic Progress_1B'!H16="","",'PR_Programmatic Progress_1B'!H16)</f>
        <v>Sí acumuladas anualmente</v>
      </c>
      <c r="AF16" s="722" t="str">
        <f>IF('PR_Programmatic Progress_1B'!I16="","",'PR_Programmatic Progress_1B'!I16)</f>
        <v>Sí - 10 más importantes </v>
      </c>
      <c r="AG16" s="722">
        <f>IF('PR_Programmatic Progress_1B'!L16="","",'PR_Programmatic Progress_1B'!L16)</f>
        <v>361</v>
      </c>
      <c r="AH16" s="756">
        <f>IF('PR_Programmatic Progress_1B'!M16="","",'PR_Programmatic Progress_1B'!M16)</f>
        <v>447</v>
      </c>
    </row>
    <row r="17" spans="1:34" s="13" customFormat="1" ht="63.75" customHeight="1">
      <c r="A17" s="751">
        <f t="shared" si="1"/>
        <v>1</v>
      </c>
      <c r="B17" s="752">
        <f t="shared" si="2"/>
        <v>1.6</v>
      </c>
      <c r="C17" s="1872" t="str">
        <f t="shared" si="3"/>
        <v>Nuevos casos de tuberculosis con frotis positivo tratados con éxito (curados y completado tratamiento) entre todos los nuevos casos de tuberculosis con frotis positivo notificados a las autoridades nacionales (numero)</v>
      </c>
      <c r="D17" s="1872"/>
      <c r="E17" s="1872"/>
      <c r="F17" s="1872"/>
      <c r="G17" s="1872"/>
      <c r="H17" s="722" t="str">
        <f t="shared" si="4"/>
        <v>Programa Nacional</v>
      </c>
      <c r="I17" s="722" t="str">
        <f t="shared" si="0"/>
        <v>Sí acumuladas anualmente</v>
      </c>
      <c r="J17" s="722" t="str">
        <f t="shared" si="0"/>
        <v>Sí - 10 más importantes </v>
      </c>
      <c r="K17" s="746" t="str">
        <f aca="true" t="shared" si="6" ref="K17:K37">AG17</f>
        <v>329 / 357
(92.2%)</v>
      </c>
      <c r="L17" s="753" t="str">
        <f t="shared" si="5"/>
        <v>483 / 521
92.7%</v>
      </c>
      <c r="M17" s="1873"/>
      <c r="N17" s="1873"/>
      <c r="O17" s="722"/>
      <c r="P17" s="757"/>
      <c r="Q17" s="1875"/>
      <c r="R17" s="1875"/>
      <c r="S17" s="1875"/>
      <c r="T17" s="1875"/>
      <c r="U17" s="16"/>
      <c r="V17" s="16"/>
      <c r="W17" s="751">
        <f>IF('PR_Programmatic Progress_1B'!A17="","",'PR_Programmatic Progress_1B'!A17)</f>
        <v>1</v>
      </c>
      <c r="X17" s="752">
        <f>IF('PR_Programmatic Progress_1B'!B17="","",'PR_Programmatic Progress_1B'!B17)</f>
        <v>1.6</v>
      </c>
      <c r="Y17" s="1872" t="str">
        <f>IF('PR_Programmatic Progress_1B'!C17="","",'PR_Programmatic Progress_1B'!C17)</f>
        <v>Nuevos casos de tuberculosis con frotis positivo tratados con éxito (curados y completado tratamiento) entre todos los nuevos casos de tuberculosis con frotis positivo notificados a las autoridades nacionales (numero)</v>
      </c>
      <c r="Z17" s="1872"/>
      <c r="AA17" s="1872"/>
      <c r="AB17" s="1872"/>
      <c r="AC17" s="1872"/>
      <c r="AD17" s="722" t="str">
        <f>IF('PR_Programmatic Progress_1B'!G17="","",'PR_Programmatic Progress_1B'!G17)</f>
        <v>Programa Nacional</v>
      </c>
      <c r="AE17" s="722" t="str">
        <f>IF('PR_Programmatic Progress_1B'!H17="","",'PR_Programmatic Progress_1B'!H17)</f>
        <v>Sí acumuladas anualmente</v>
      </c>
      <c r="AF17" s="722" t="str">
        <f>IF('PR_Programmatic Progress_1B'!I17="","",'PR_Programmatic Progress_1B'!I17)</f>
        <v>Sí - 10 más importantes </v>
      </c>
      <c r="AG17" s="722" t="str">
        <f>IF('PR_Programmatic Progress_1B'!L17="","",'PR_Programmatic Progress_1B'!L17)</f>
        <v>329 / 357
(92.2%)</v>
      </c>
      <c r="AH17" s="756" t="str">
        <f>IF('PR_Programmatic Progress_1B'!M17="","",'PR_Programmatic Progress_1B'!M17)</f>
        <v>483 / 521
92.7%</v>
      </c>
    </row>
    <row r="18" spans="1:34" s="13" customFormat="1" ht="63.75" customHeight="1">
      <c r="A18" s="751">
        <f t="shared" si="1"/>
        <v>2</v>
      </c>
      <c r="B18" s="752">
        <f t="shared" si="2"/>
        <v>2.1</v>
      </c>
      <c r="C18" s="1872" t="str">
        <f t="shared" si="3"/>
        <v>Número de casos nuevos de TB (todas las formas) notificados en prisiones al PNT</v>
      </c>
      <c r="D18" s="1872"/>
      <c r="E18" s="1872"/>
      <c r="F18" s="1872"/>
      <c r="G18" s="1872"/>
      <c r="H18" s="722" t="str">
        <f t="shared" si="4"/>
        <v>Subvención actual</v>
      </c>
      <c r="I18" s="722" t="str">
        <f t="shared" si="0"/>
        <v>Sí acumuladas anualmente</v>
      </c>
      <c r="J18" s="722" t="str">
        <f t="shared" si="0"/>
        <v>Sí - 10 más importantes </v>
      </c>
      <c r="K18" s="746">
        <f t="shared" si="6"/>
        <v>128</v>
      </c>
      <c r="L18" s="753">
        <f t="shared" si="5"/>
        <v>319</v>
      </c>
      <c r="M18" s="1873"/>
      <c r="N18" s="1873"/>
      <c r="O18" s="722"/>
      <c r="P18" s="757"/>
      <c r="Q18" s="1875"/>
      <c r="R18" s="1875"/>
      <c r="S18" s="1875"/>
      <c r="T18" s="1875"/>
      <c r="U18" s="16"/>
      <c r="V18" s="16"/>
      <c r="W18" s="751">
        <f>IF('PR_Programmatic Progress_1B'!A18="","",'PR_Programmatic Progress_1B'!A18)</f>
        <v>2</v>
      </c>
      <c r="X18" s="752">
        <f>IF('PR_Programmatic Progress_1B'!B18="","",'PR_Programmatic Progress_1B'!B18)</f>
        <v>2.1</v>
      </c>
      <c r="Y18" s="1872" t="str">
        <f>IF('PR_Programmatic Progress_1B'!C18="","",'PR_Programmatic Progress_1B'!C18)</f>
        <v>Número de casos nuevos de TB (todas las formas) notificados en prisiones al PNT</v>
      </c>
      <c r="Z18" s="1872"/>
      <c r="AA18" s="1872"/>
      <c r="AB18" s="1872"/>
      <c r="AC18" s="1872"/>
      <c r="AD18" s="722" t="str">
        <f>IF('PR_Programmatic Progress_1B'!G18="","",'PR_Programmatic Progress_1B'!G18)</f>
        <v>Subvención actual</v>
      </c>
      <c r="AE18" s="722" t="str">
        <f>IF('PR_Programmatic Progress_1B'!H18="","",'PR_Programmatic Progress_1B'!H18)</f>
        <v>Sí acumuladas anualmente</v>
      </c>
      <c r="AF18" s="722" t="str">
        <f>IF('PR_Programmatic Progress_1B'!I18="","",'PR_Programmatic Progress_1B'!I18)</f>
        <v>Sí - 10 más importantes </v>
      </c>
      <c r="AG18" s="722">
        <f>IF('PR_Programmatic Progress_1B'!L18="","",'PR_Programmatic Progress_1B'!L18)</f>
        <v>128</v>
      </c>
      <c r="AH18" s="756">
        <f>IF('PR_Programmatic Progress_1B'!M18="","",'PR_Programmatic Progress_1B'!M18)</f>
        <v>319</v>
      </c>
    </row>
    <row r="19" spans="1:34" s="13" customFormat="1" ht="63.75" customHeight="1">
      <c r="A19" s="751">
        <f t="shared" si="1"/>
        <v>2</v>
      </c>
      <c r="B19" s="752">
        <f t="shared" si="2"/>
        <v>2.2</v>
      </c>
      <c r="C19" s="1872" t="str">
        <f t="shared" si="3"/>
        <v>Tasa de éxito del tratamiento para casos de tuberculosis con BK+ recientemente diagnosticados detectados en cárceles </v>
      </c>
      <c r="D19" s="1872"/>
      <c r="E19" s="1872"/>
      <c r="F19" s="1872"/>
      <c r="G19" s="1872"/>
      <c r="H19" s="722" t="str">
        <f t="shared" si="4"/>
        <v>Subvención actual</v>
      </c>
      <c r="I19" s="722" t="str">
        <f t="shared" si="0"/>
        <v>Sí acumuladas anualmente</v>
      </c>
      <c r="J19" s="722" t="str">
        <f t="shared" si="0"/>
        <v>Sí - 10 más importantes </v>
      </c>
      <c r="K19" s="746" t="str">
        <f t="shared" si="6"/>
        <v>86 / 88
(97.7%)</v>
      </c>
      <c r="L19" s="753" t="str">
        <f t="shared" si="5"/>
        <v>184 / 191
96.33%</v>
      </c>
      <c r="M19" s="1873"/>
      <c r="N19" s="1873"/>
      <c r="O19" s="722"/>
      <c r="P19" s="757"/>
      <c r="Q19" s="1875"/>
      <c r="R19" s="1875"/>
      <c r="S19" s="1875"/>
      <c r="T19" s="1875"/>
      <c r="U19" s="16"/>
      <c r="V19" s="16"/>
      <c r="W19" s="751">
        <f>IF('PR_Programmatic Progress_1B'!A19="","",'PR_Programmatic Progress_1B'!A19)</f>
        <v>2</v>
      </c>
      <c r="X19" s="752">
        <f>IF('PR_Programmatic Progress_1B'!B19="","",'PR_Programmatic Progress_1B'!B19)</f>
        <v>2.2</v>
      </c>
      <c r="Y19" s="1872" t="str">
        <f>IF('PR_Programmatic Progress_1B'!C19="","",'PR_Programmatic Progress_1B'!C19)</f>
        <v>Tasa de éxito del tratamiento para casos de tuberculosis con BK+ recientemente diagnosticados detectados en cárceles </v>
      </c>
      <c r="Z19" s="1872"/>
      <c r="AA19" s="1872"/>
      <c r="AB19" s="1872"/>
      <c r="AC19" s="1872"/>
      <c r="AD19" s="722" t="str">
        <f>IF('PR_Programmatic Progress_1B'!G19="","",'PR_Programmatic Progress_1B'!G19)</f>
        <v>Subvención actual</v>
      </c>
      <c r="AE19" s="722" t="str">
        <f>IF('PR_Programmatic Progress_1B'!H19="","",'PR_Programmatic Progress_1B'!H19)</f>
        <v>Sí acumuladas anualmente</v>
      </c>
      <c r="AF19" s="722" t="str">
        <f>IF('PR_Programmatic Progress_1B'!I19="","",'PR_Programmatic Progress_1B'!I19)</f>
        <v>Sí - 10 más importantes </v>
      </c>
      <c r="AG19" s="722" t="str">
        <f>IF('PR_Programmatic Progress_1B'!L19="","",'PR_Programmatic Progress_1B'!L19)</f>
        <v>86 / 88
(97.7%)</v>
      </c>
      <c r="AH19" s="756" t="str">
        <f>IF('PR_Programmatic Progress_1B'!M19="","",'PR_Programmatic Progress_1B'!M19)</f>
        <v>184 / 191
96.33%</v>
      </c>
    </row>
    <row r="20" spans="1:34" s="13" customFormat="1" ht="63.75" customHeight="1">
      <c r="A20" s="751">
        <f t="shared" si="1"/>
        <v>3</v>
      </c>
      <c r="B20" s="752">
        <f t="shared" si="2"/>
        <v>3.1</v>
      </c>
      <c r="C20" s="1872" t="str">
        <f t="shared" si="3"/>
        <v>Pacientes con TB registrados que se han realizado pruebas del VIH (antes y durante el tratamiento para la TB) expresados en proporción del número total de todos los casos de TB registrados (número y porcentaje)</v>
      </c>
      <c r="D20" s="1872"/>
      <c r="E20" s="1872"/>
      <c r="F20" s="1872"/>
      <c r="G20" s="1872"/>
      <c r="H20" s="722" t="str">
        <f t="shared" si="4"/>
        <v>Subvención actual</v>
      </c>
      <c r="I20" s="722" t="str">
        <f t="shared" si="0"/>
        <v>Sí acumuladas anualmente</v>
      </c>
      <c r="J20" s="722" t="str">
        <f t="shared" si="0"/>
        <v>No </v>
      </c>
      <c r="K20" s="746" t="str">
        <f t="shared" si="6"/>
        <v>649 / 652
(99.5%)</v>
      </c>
      <c r="L20" s="753" t="str">
        <f t="shared" si="5"/>
        <v>775 / 779
99.48%</v>
      </c>
      <c r="M20" s="1873"/>
      <c r="N20" s="1873"/>
      <c r="O20" s="722"/>
      <c r="P20" s="757"/>
      <c r="Q20" s="1875"/>
      <c r="R20" s="1875"/>
      <c r="S20" s="1875"/>
      <c r="T20" s="1875"/>
      <c r="U20" s="16"/>
      <c r="V20" s="16"/>
      <c r="W20" s="751">
        <f>IF('PR_Programmatic Progress_1B'!A20="","",'PR_Programmatic Progress_1B'!A20)</f>
        <v>3</v>
      </c>
      <c r="X20" s="752">
        <f>IF('PR_Programmatic Progress_1B'!B20="","",'PR_Programmatic Progress_1B'!B20)</f>
        <v>3.1</v>
      </c>
      <c r="Y20" s="1872" t="str">
        <f>IF('PR_Programmatic Progress_1B'!C20="","",'PR_Programmatic Progress_1B'!C20)</f>
        <v>Pacientes con TB registrados que se han realizado pruebas del VIH (antes y durante el tratamiento para la TB) expresados en proporción del número total de todos los casos de TB registrados (número y porcentaje)</v>
      </c>
      <c r="Z20" s="1872"/>
      <c r="AA20" s="1872"/>
      <c r="AB20" s="1872"/>
      <c r="AC20" s="1872"/>
      <c r="AD20" s="722" t="str">
        <f>IF('PR_Programmatic Progress_1B'!G20="","",'PR_Programmatic Progress_1B'!G20)</f>
        <v>Subvención actual</v>
      </c>
      <c r="AE20" s="722" t="str">
        <f>IF('PR_Programmatic Progress_1B'!H20="","",'PR_Programmatic Progress_1B'!H20)</f>
        <v>Sí acumuladas anualmente</v>
      </c>
      <c r="AF20" s="722" t="str">
        <f>IF('PR_Programmatic Progress_1B'!I20="","",'PR_Programmatic Progress_1B'!I20)</f>
        <v>No </v>
      </c>
      <c r="AG20" s="722" t="str">
        <f>IF('PR_Programmatic Progress_1B'!L20="","",'PR_Programmatic Progress_1B'!L20)</f>
        <v>649 / 652
(99.5%)</v>
      </c>
      <c r="AH20" s="756" t="str">
        <f>IF('PR_Programmatic Progress_1B'!M20="","",'PR_Programmatic Progress_1B'!M20)</f>
        <v>775 / 779
99.48%</v>
      </c>
    </row>
    <row r="21" spans="1:34" s="13" customFormat="1" ht="63.75" customHeight="1">
      <c r="A21" s="751">
        <f t="shared" si="1"/>
        <v>3</v>
      </c>
      <c r="B21" s="752">
        <f t="shared" si="2"/>
        <v>3.2</v>
      </c>
      <c r="C21" s="1872" t="str">
        <f t="shared" si="3"/>
        <v>Numero y Porcentaje de adultos y niños inscritos en el Programa del VIH, que se sometieron a pruebas de la TB y se registro dicha información durante su ultima visita durante el periodo de reporte, de entre todos los adultos y niños inscritos en el programa VIH y atendidos durante el periodo de notificación.</v>
      </c>
      <c r="D21" s="1872"/>
      <c r="E21" s="1872"/>
      <c r="F21" s="1872"/>
      <c r="G21" s="1872"/>
      <c r="H21" s="722" t="str">
        <f t="shared" si="4"/>
        <v>Programa Nacional</v>
      </c>
      <c r="I21" s="722" t="str">
        <f t="shared" si="0"/>
        <v>Sí acumuladas anualmente</v>
      </c>
      <c r="J21" s="722" t="str">
        <f t="shared" si="0"/>
        <v>No </v>
      </c>
      <c r="K21" s="746" t="str">
        <f t="shared" si="6"/>
        <v>432 / 464
(93.1%)</v>
      </c>
      <c r="L21" s="753" t="str">
        <f t="shared" si="5"/>
        <v>3,857 / 3,931
98.11%</v>
      </c>
      <c r="M21" s="1873"/>
      <c r="N21" s="1873"/>
      <c r="O21" s="722"/>
      <c r="P21" s="757"/>
      <c r="Q21" s="1875"/>
      <c r="R21" s="1875"/>
      <c r="S21" s="1875"/>
      <c r="T21" s="1875"/>
      <c r="U21" s="16"/>
      <c r="V21" s="16"/>
      <c r="W21" s="751">
        <f>IF('PR_Programmatic Progress_1B'!A21="","",'PR_Programmatic Progress_1B'!A21)</f>
        <v>3</v>
      </c>
      <c r="X21" s="752">
        <f>IF('PR_Programmatic Progress_1B'!B21="","",'PR_Programmatic Progress_1B'!B21)</f>
        <v>3.2</v>
      </c>
      <c r="Y21" s="1872" t="str">
        <f>IF('PR_Programmatic Progress_1B'!C21="","",'PR_Programmatic Progress_1B'!C21)</f>
        <v>Numero y Porcentaje de adultos y niños inscritos en el Programa del VIH, que se sometieron a pruebas de la TB y se registro dicha información durante su ultima visita durante el periodo de reporte, de entre todos los adultos y niños inscritos en el programa VIH y atendidos durante el periodo de notificación.</v>
      </c>
      <c r="Z21" s="1872"/>
      <c r="AA21" s="1872"/>
      <c r="AB21" s="1872"/>
      <c r="AC21" s="1872"/>
      <c r="AD21" s="722" t="str">
        <f>IF('PR_Programmatic Progress_1B'!G21="","",'PR_Programmatic Progress_1B'!G21)</f>
        <v>Programa Nacional</v>
      </c>
      <c r="AE21" s="722" t="str">
        <f>IF('PR_Programmatic Progress_1B'!H21="","",'PR_Programmatic Progress_1B'!H21)</f>
        <v>Sí acumuladas anualmente</v>
      </c>
      <c r="AF21" s="722" t="str">
        <f>IF('PR_Programmatic Progress_1B'!I21="","",'PR_Programmatic Progress_1B'!I21)</f>
        <v>No </v>
      </c>
      <c r="AG21" s="722" t="str">
        <f>IF('PR_Programmatic Progress_1B'!L21="","",'PR_Programmatic Progress_1B'!L21)</f>
        <v>432 / 464
(93.1%)</v>
      </c>
      <c r="AH21" s="756" t="str">
        <f>IF('PR_Programmatic Progress_1B'!M21="","",'PR_Programmatic Progress_1B'!M21)</f>
        <v>3,857 / 3,931
98.11%</v>
      </c>
    </row>
    <row r="22" spans="1:34" s="13" customFormat="1" ht="63.75" customHeight="1">
      <c r="A22" s="751">
        <f t="shared" si="1"/>
        <v>3</v>
      </c>
      <c r="B22" s="752">
        <f t="shared" si="2"/>
        <v>3.3</v>
      </c>
      <c r="C22" s="1872" t="str">
        <f t="shared" si="3"/>
        <v>Numero y porcentaje de PVS que a los que se les descarto tuberculosis e inician quimioprofilaxis con INH.</v>
      </c>
      <c r="D22" s="1872"/>
      <c r="E22" s="1872"/>
      <c r="F22" s="1872"/>
      <c r="G22" s="1872"/>
      <c r="H22" s="722" t="str">
        <f t="shared" si="4"/>
        <v>Subvención actual</v>
      </c>
      <c r="I22" s="722" t="str">
        <f t="shared" si="0"/>
        <v>Sí acumuladas anualmente</v>
      </c>
      <c r="J22" s="722" t="str">
        <f t="shared" si="0"/>
        <v>No </v>
      </c>
      <c r="K22" s="746" t="str">
        <f t="shared" si="6"/>
        <v>385 / 413
(93.2%)</v>
      </c>
      <c r="L22" s="753" t="str">
        <f t="shared" si="5"/>
        <v>1,044 / 3,790
27.54%
</v>
      </c>
      <c r="M22" s="1873"/>
      <c r="N22" s="1873"/>
      <c r="O22" s="722"/>
      <c r="P22" s="757"/>
      <c r="Q22" s="1875"/>
      <c r="R22" s="1875"/>
      <c r="S22" s="1875"/>
      <c r="T22" s="1875"/>
      <c r="U22" s="16"/>
      <c r="V22" s="16"/>
      <c r="W22" s="751">
        <f>IF('PR_Programmatic Progress_1B'!A22="","",'PR_Programmatic Progress_1B'!A22)</f>
        <v>3</v>
      </c>
      <c r="X22" s="752">
        <f>IF('PR_Programmatic Progress_1B'!B22="","",'PR_Programmatic Progress_1B'!B22)</f>
        <v>3.3</v>
      </c>
      <c r="Y22" s="1872" t="str">
        <f>IF('PR_Programmatic Progress_1B'!C22="","",'PR_Programmatic Progress_1B'!C22)</f>
        <v>Numero y porcentaje de PVS que a los que se les descarto tuberculosis e inician quimioprofilaxis con INH.</v>
      </c>
      <c r="Z22" s="1872"/>
      <c r="AA22" s="1872"/>
      <c r="AB22" s="1872"/>
      <c r="AC22" s="1872"/>
      <c r="AD22" s="722" t="str">
        <f>IF('PR_Programmatic Progress_1B'!G22="","",'PR_Programmatic Progress_1B'!G22)</f>
        <v>Subvención actual</v>
      </c>
      <c r="AE22" s="722" t="str">
        <f>IF('PR_Programmatic Progress_1B'!H22="","",'PR_Programmatic Progress_1B'!H22)</f>
        <v>Sí acumuladas anualmente</v>
      </c>
      <c r="AF22" s="722" t="str">
        <f>IF('PR_Programmatic Progress_1B'!I22="","",'PR_Programmatic Progress_1B'!I22)</f>
        <v>No </v>
      </c>
      <c r="AG22" s="722" t="str">
        <f>IF('PR_Programmatic Progress_1B'!L22="","",'PR_Programmatic Progress_1B'!L22)</f>
        <v>385 / 413
(93.2%)</v>
      </c>
      <c r="AH22" s="756" t="str">
        <f>IF('PR_Programmatic Progress_1B'!M22="","",'PR_Programmatic Progress_1B'!M22)</f>
        <v>1,044 / 3,790
27.54%
</v>
      </c>
    </row>
    <row r="23" spans="1:34" s="13" customFormat="1" ht="63.75" customHeight="1">
      <c r="A23" s="751">
        <f t="shared" si="1"/>
        <v>3</v>
      </c>
      <c r="B23" s="752">
        <f t="shared" si="2"/>
        <v>3.4</v>
      </c>
      <c r="C23" s="1872" t="str">
        <f t="shared" si="3"/>
        <v>Numero y Porcentaje de PVS con tuberculosis que iniciaron o continúan TAR durante o al final del tratamiento de la tuberculosis entre todos las PVS con tuberculosis registrados durante el periodo que se examina.</v>
      </c>
      <c r="D23" s="1872"/>
      <c r="E23" s="1872"/>
      <c r="F23" s="1872"/>
      <c r="G23" s="1872"/>
      <c r="H23" s="722" t="str">
        <f t="shared" si="4"/>
        <v>Programa Nacional</v>
      </c>
      <c r="I23" s="722" t="str">
        <f t="shared" si="0"/>
        <v>No -no acumuladas</v>
      </c>
      <c r="J23" s="722" t="str">
        <f t="shared" si="0"/>
        <v>Sí - 10 más importantes </v>
      </c>
      <c r="K23" s="746" t="str">
        <f t="shared" si="6"/>
        <v>79 / 114
(69.3%)</v>
      </c>
      <c r="L23" s="753" t="str">
        <f t="shared" si="5"/>
        <v>61 / 67
91.04%</v>
      </c>
      <c r="M23" s="1873"/>
      <c r="N23" s="1873"/>
      <c r="O23" s="722"/>
      <c r="P23" s="757"/>
      <c r="Q23" s="1875"/>
      <c r="R23" s="1875"/>
      <c r="S23" s="1875"/>
      <c r="T23" s="1875"/>
      <c r="U23" s="16"/>
      <c r="V23" s="16"/>
      <c r="W23" s="751">
        <f>IF('PR_Programmatic Progress_1B'!A23="","",'PR_Programmatic Progress_1B'!A23)</f>
        <v>3</v>
      </c>
      <c r="X23" s="752">
        <f>IF('PR_Programmatic Progress_1B'!B23="","",'PR_Programmatic Progress_1B'!B23)</f>
        <v>3.4</v>
      </c>
      <c r="Y23" s="1872" t="str">
        <f>IF('PR_Programmatic Progress_1B'!C23="","",'PR_Programmatic Progress_1B'!C23)</f>
        <v>Numero y Porcentaje de PVS con tuberculosis que iniciaron o continúan TAR durante o al final del tratamiento de la tuberculosis entre todos las PVS con tuberculosis registrados durante el periodo que se examina.</v>
      </c>
      <c r="Z23" s="1872"/>
      <c r="AA23" s="1872"/>
      <c r="AB23" s="1872"/>
      <c r="AC23" s="1872"/>
      <c r="AD23" s="722" t="str">
        <f>IF('PR_Programmatic Progress_1B'!G23="","",'PR_Programmatic Progress_1B'!G23)</f>
        <v>Programa Nacional</v>
      </c>
      <c r="AE23" s="722" t="str">
        <f>IF('PR_Programmatic Progress_1B'!H23="","",'PR_Programmatic Progress_1B'!H23)</f>
        <v>No -no acumuladas</v>
      </c>
      <c r="AF23" s="722" t="str">
        <f>IF('PR_Programmatic Progress_1B'!I23="","",'PR_Programmatic Progress_1B'!I23)</f>
        <v>Sí - 10 más importantes </v>
      </c>
      <c r="AG23" s="722" t="str">
        <f>IF('PR_Programmatic Progress_1B'!L23="","",'PR_Programmatic Progress_1B'!L23)</f>
        <v>79 / 114
(69.3%)</v>
      </c>
      <c r="AH23" s="756" t="str">
        <f>IF('PR_Programmatic Progress_1B'!M23="","",'PR_Programmatic Progress_1B'!M23)</f>
        <v>61 / 67
91.04%</v>
      </c>
    </row>
    <row r="24" spans="1:34" s="13" customFormat="1" ht="63.75" customHeight="1">
      <c r="A24" s="751">
        <f t="shared" si="1"/>
        <v>4</v>
      </c>
      <c r="B24" s="752">
        <f t="shared" si="2"/>
        <v>4.1</v>
      </c>
      <c r="C24" s="1872" t="str">
        <f t="shared" si="3"/>
        <v>Porcentaje de contactos examinados de los contactos registrados.  </v>
      </c>
      <c r="D24" s="1872"/>
      <c r="E24" s="1872"/>
      <c r="F24" s="1872"/>
      <c r="G24" s="1872"/>
      <c r="H24" s="722" t="str">
        <f t="shared" si="4"/>
        <v>Subvención actual</v>
      </c>
      <c r="I24" s="722" t="str">
        <f t="shared" si="0"/>
        <v>Sí acumuladas anualmente</v>
      </c>
      <c r="J24" s="722" t="str">
        <f t="shared" si="0"/>
        <v>No </v>
      </c>
      <c r="K24" s="746" t="str">
        <f t="shared" si="6"/>
        <v>2,575 / 2,738
(94%)</v>
      </c>
      <c r="L24" s="753" t="str">
        <f t="shared" si="5"/>
        <v>3,630 / 3,956
91.75%</v>
      </c>
      <c r="M24" s="1873"/>
      <c r="N24" s="1873"/>
      <c r="O24" s="722"/>
      <c r="P24" s="757"/>
      <c r="Q24" s="1875"/>
      <c r="R24" s="1875"/>
      <c r="S24" s="1875"/>
      <c r="T24" s="1875"/>
      <c r="U24" s="16"/>
      <c r="V24" s="16"/>
      <c r="W24" s="751">
        <f>IF('PR_Programmatic Progress_1B'!A24="","",'PR_Programmatic Progress_1B'!A24)</f>
        <v>4</v>
      </c>
      <c r="X24" s="752">
        <f>IF('PR_Programmatic Progress_1B'!B24="","",'PR_Programmatic Progress_1B'!B24)</f>
        <v>4.1</v>
      </c>
      <c r="Y24" s="1872" t="str">
        <f>IF('PR_Programmatic Progress_1B'!C24="","",'PR_Programmatic Progress_1B'!C24)</f>
        <v>Porcentaje de contactos examinados de los contactos registrados.  </v>
      </c>
      <c r="Z24" s="1872"/>
      <c r="AA24" s="1872"/>
      <c r="AB24" s="1872"/>
      <c r="AC24" s="1872"/>
      <c r="AD24" s="722" t="str">
        <f>IF('PR_Programmatic Progress_1B'!G24="","",'PR_Programmatic Progress_1B'!G24)</f>
        <v>Subvención actual</v>
      </c>
      <c r="AE24" s="722" t="str">
        <f>IF('PR_Programmatic Progress_1B'!H24="","",'PR_Programmatic Progress_1B'!H24)</f>
        <v>Sí acumuladas anualmente</v>
      </c>
      <c r="AF24" s="722" t="str">
        <f>IF('PR_Programmatic Progress_1B'!I24="","",'PR_Programmatic Progress_1B'!I24)</f>
        <v>No </v>
      </c>
      <c r="AG24" s="722" t="str">
        <f>IF('PR_Programmatic Progress_1B'!L24="","",'PR_Programmatic Progress_1B'!L24)</f>
        <v>2,575 / 2,738
(94%)</v>
      </c>
      <c r="AH24" s="756" t="str">
        <f>IF('PR_Programmatic Progress_1B'!M24="","",'PR_Programmatic Progress_1B'!M24)</f>
        <v>3,630 / 3,956
91.75%</v>
      </c>
    </row>
    <row r="25" spans="1:34" s="13" customFormat="1" ht="63.75" customHeight="1">
      <c r="A25" s="751">
        <f t="shared" si="1"/>
        <v>5</v>
      </c>
      <c r="B25" s="752">
        <f t="shared" si="2"/>
        <v>5.1</v>
      </c>
      <c r="C25" s="1872" t="str">
        <f t="shared" si="3"/>
        <v>Porcentaje de pacientes con sospecha de resistencia examinados</v>
      </c>
      <c r="D25" s="1872"/>
      <c r="E25" s="1872"/>
      <c r="F25" s="1872"/>
      <c r="G25" s="1872"/>
      <c r="H25" s="722" t="str">
        <f t="shared" si="4"/>
        <v>Subvención actual</v>
      </c>
      <c r="I25" s="722" t="str">
        <f t="shared" si="0"/>
        <v>Sí acumuladas anualmente</v>
      </c>
      <c r="J25" s="722" t="str">
        <f t="shared" si="0"/>
        <v>No </v>
      </c>
      <c r="K25" s="746">
        <f t="shared" si="6"/>
        <v>1</v>
      </c>
      <c r="L25" s="753" t="str">
        <f t="shared" si="5"/>
        <v>55 / 55
100%</v>
      </c>
      <c r="M25" s="1873"/>
      <c r="N25" s="1873"/>
      <c r="O25" s="722"/>
      <c r="P25" s="757"/>
      <c r="Q25" s="1875"/>
      <c r="R25" s="1875"/>
      <c r="S25" s="1875"/>
      <c r="T25" s="1875"/>
      <c r="U25" s="16"/>
      <c r="V25" s="16"/>
      <c r="W25" s="751">
        <f>IF('PR_Programmatic Progress_1B'!A25="","",'PR_Programmatic Progress_1B'!A25)</f>
        <v>5</v>
      </c>
      <c r="X25" s="752">
        <f>IF('PR_Programmatic Progress_1B'!B25="","",'PR_Programmatic Progress_1B'!B25)</f>
        <v>5.1</v>
      </c>
      <c r="Y25" s="1872" t="str">
        <f>IF('PR_Programmatic Progress_1B'!C25="","",'PR_Programmatic Progress_1B'!C25)</f>
        <v>Porcentaje de pacientes con sospecha de resistencia examinados</v>
      </c>
      <c r="Z25" s="1872"/>
      <c r="AA25" s="1872"/>
      <c r="AB25" s="1872"/>
      <c r="AC25" s="1872"/>
      <c r="AD25" s="722" t="str">
        <f>IF('PR_Programmatic Progress_1B'!G25="","",'PR_Programmatic Progress_1B'!G25)</f>
        <v>Subvención actual</v>
      </c>
      <c r="AE25" s="722" t="str">
        <f>IF('PR_Programmatic Progress_1B'!H25="","",'PR_Programmatic Progress_1B'!H25)</f>
        <v>Sí acumuladas anualmente</v>
      </c>
      <c r="AF25" s="722" t="str">
        <f>IF('PR_Programmatic Progress_1B'!I25="","",'PR_Programmatic Progress_1B'!I25)</f>
        <v>No </v>
      </c>
      <c r="AG25" s="722">
        <f>IF('PR_Programmatic Progress_1B'!L25="","",'PR_Programmatic Progress_1B'!L25)</f>
        <v>1</v>
      </c>
      <c r="AH25" s="756" t="str">
        <f>IF('PR_Programmatic Progress_1B'!M25="","",'PR_Programmatic Progress_1B'!M25)</f>
        <v>55 / 55
100%</v>
      </c>
    </row>
    <row r="26" spans="1:34" s="13" customFormat="1" ht="63.75" customHeight="1">
      <c r="A26" s="751">
        <f t="shared" si="1"/>
        <v>5</v>
      </c>
      <c r="B26" s="752">
        <f t="shared" si="2"/>
        <v>5.2</v>
      </c>
      <c r="C26" s="1872" t="str">
        <f t="shared" si="3"/>
        <v>Numero y Porcentaje de casos de TB-MR que han iniciado un tratamiento contra la tuberculosis de segunda línea y que tienen un cultivo negativo al final de los seis meses de tratamiento durante el periodo de valoración especificado.</v>
      </c>
      <c r="D26" s="1872"/>
      <c r="E26" s="1872"/>
      <c r="F26" s="1872"/>
      <c r="G26" s="1872"/>
      <c r="H26" s="722" t="str">
        <f t="shared" si="4"/>
        <v>Programa Nacional</v>
      </c>
      <c r="I26" s="722" t="str">
        <f t="shared" si="0"/>
        <v>No -no acumuladas</v>
      </c>
      <c r="J26" s="722" t="str">
        <f t="shared" si="0"/>
        <v>No </v>
      </c>
      <c r="K26" s="746" t="str">
        <f t="shared" si="6"/>
        <v>3 / 6
(50.0%)</v>
      </c>
      <c r="L26" s="753" t="str">
        <f t="shared" si="5"/>
        <v>0 / 0
100%</v>
      </c>
      <c r="M26" s="1873"/>
      <c r="N26" s="1873"/>
      <c r="O26" s="722"/>
      <c r="P26" s="757"/>
      <c r="Q26" s="1875"/>
      <c r="R26" s="1875"/>
      <c r="S26" s="1875"/>
      <c r="T26" s="1875"/>
      <c r="U26" s="16"/>
      <c r="V26" s="16"/>
      <c r="W26" s="751">
        <f>IF('PR_Programmatic Progress_1B'!A26="","",'PR_Programmatic Progress_1B'!A26)</f>
        <v>5</v>
      </c>
      <c r="X26" s="752">
        <f>IF('PR_Programmatic Progress_1B'!B26="","",'PR_Programmatic Progress_1B'!B26)</f>
        <v>5.2</v>
      </c>
      <c r="Y26" s="1872" t="str">
        <f>IF('PR_Programmatic Progress_1B'!C26="","",'PR_Programmatic Progress_1B'!C26)</f>
        <v>Numero y Porcentaje de casos de TB-MR que han iniciado un tratamiento contra la tuberculosis de segunda línea y que tienen un cultivo negativo al final de los seis meses de tratamiento durante el periodo de valoración especificado.</v>
      </c>
      <c r="Z26" s="1872"/>
      <c r="AA26" s="1872"/>
      <c r="AB26" s="1872"/>
      <c r="AC26" s="1872"/>
      <c r="AD26" s="722" t="str">
        <f>IF('PR_Programmatic Progress_1B'!G26="","",'PR_Programmatic Progress_1B'!G26)</f>
        <v>Programa Nacional</v>
      </c>
      <c r="AE26" s="722" t="str">
        <f>IF('PR_Programmatic Progress_1B'!H26="","",'PR_Programmatic Progress_1B'!H26)</f>
        <v>No -no acumuladas</v>
      </c>
      <c r="AF26" s="722" t="str">
        <f>IF('PR_Programmatic Progress_1B'!I26="","",'PR_Programmatic Progress_1B'!I26)</f>
        <v>No </v>
      </c>
      <c r="AG26" s="722" t="str">
        <f>IF('PR_Programmatic Progress_1B'!L26="","",'PR_Programmatic Progress_1B'!L26)</f>
        <v>3 / 6
(50.0%)</v>
      </c>
      <c r="AH26" s="756" t="str">
        <f>IF('PR_Programmatic Progress_1B'!M26="","",'PR_Programmatic Progress_1B'!M26)</f>
        <v>0 / 0
100%</v>
      </c>
    </row>
    <row r="27" spans="1:34" s="13" customFormat="1" ht="69" customHeight="1">
      <c r="A27" s="751">
        <f t="shared" si="1"/>
        <v>5</v>
      </c>
      <c r="B27" s="752">
        <f t="shared" si="2"/>
        <v>5.3</v>
      </c>
      <c r="C27" s="1872" t="str">
        <f t="shared" si="3"/>
        <v>Tasa de éxito del tratamiento para casos de MDR-confirmados bacteriológicamente entre todos los casos de MDR-TB registrados en tratamiento durante un período de tiempo específico</v>
      </c>
      <c r="D27" s="1872"/>
      <c r="E27" s="1872"/>
      <c r="F27" s="1872"/>
      <c r="G27" s="1872"/>
      <c r="H27" s="722" t="str">
        <f t="shared" si="4"/>
        <v>Subvención actual</v>
      </c>
      <c r="I27" s="722" t="str">
        <f t="shared" si="0"/>
        <v>Sí acumuladas anualmente</v>
      </c>
      <c r="J27" s="722" t="str">
        <f t="shared" si="0"/>
        <v>Sí - 10 más importantes </v>
      </c>
      <c r="K27" s="746" t="str">
        <f t="shared" si="6"/>
        <v>2 / 3
(66.7%)</v>
      </c>
      <c r="L27" s="753" t="str">
        <f t="shared" si="5"/>
        <v>1 / 1
100%</v>
      </c>
      <c r="M27" s="1873"/>
      <c r="N27" s="1873"/>
      <c r="O27" s="722"/>
      <c r="P27" s="757"/>
      <c r="Q27" s="1875"/>
      <c r="R27" s="1875"/>
      <c r="S27" s="1875"/>
      <c r="T27" s="1875"/>
      <c r="U27" s="16"/>
      <c r="V27" s="16"/>
      <c r="W27" s="751">
        <f>IF('PR_Programmatic Progress_1B'!A27="","",'PR_Programmatic Progress_1B'!A27)</f>
        <v>5</v>
      </c>
      <c r="X27" s="752">
        <f>IF('PR_Programmatic Progress_1B'!B27="","",'PR_Programmatic Progress_1B'!B27)</f>
        <v>5.3</v>
      </c>
      <c r="Y27" s="1872" t="str">
        <f>IF('PR_Programmatic Progress_1B'!C27="","",'PR_Programmatic Progress_1B'!C27)</f>
        <v>Tasa de éxito del tratamiento para casos de MDR-confirmados bacteriológicamente entre todos los casos de MDR-TB registrados en tratamiento durante un período de tiempo específico</v>
      </c>
      <c r="Z27" s="1872"/>
      <c r="AA27" s="1872"/>
      <c r="AB27" s="1872"/>
      <c r="AC27" s="1872"/>
      <c r="AD27" s="722" t="str">
        <f>IF('PR_Programmatic Progress_1B'!G27="","",'PR_Programmatic Progress_1B'!G27)</f>
        <v>Subvención actual</v>
      </c>
      <c r="AE27" s="722" t="str">
        <f>IF('PR_Programmatic Progress_1B'!H27="","",'PR_Programmatic Progress_1B'!H27)</f>
        <v>Sí acumuladas anualmente</v>
      </c>
      <c r="AF27" s="722" t="str">
        <f>IF('PR_Programmatic Progress_1B'!I27="","",'PR_Programmatic Progress_1B'!I27)</f>
        <v>Sí - 10 más importantes </v>
      </c>
      <c r="AG27" s="722" t="str">
        <f>IF('PR_Programmatic Progress_1B'!L27="","",'PR_Programmatic Progress_1B'!L27)</f>
        <v>2 / 3
(66.7%)</v>
      </c>
      <c r="AH27" s="756" t="str">
        <f>IF('PR_Programmatic Progress_1B'!M27="","",'PR_Programmatic Progress_1B'!M27)</f>
        <v>1 / 1
100%</v>
      </c>
    </row>
    <row r="28" spans="1:34" s="13" customFormat="1" ht="69" customHeight="1">
      <c r="A28" s="751">
        <f t="shared" si="1"/>
      </c>
      <c r="B28" s="752">
        <f t="shared" si="2"/>
      </c>
      <c r="C28" s="1872">
        <f t="shared" si="3"/>
      </c>
      <c r="D28" s="1872"/>
      <c r="E28" s="1872"/>
      <c r="F28" s="1872"/>
      <c r="G28" s="1872"/>
      <c r="H28" s="722">
        <f t="shared" si="4"/>
      </c>
      <c r="I28" s="722">
        <f t="shared" si="4"/>
      </c>
      <c r="J28" s="722">
        <f t="shared" si="4"/>
      </c>
      <c r="K28" s="746">
        <f t="shared" si="6"/>
      </c>
      <c r="L28" s="753">
        <f t="shared" si="5"/>
      </c>
      <c r="M28" s="1873"/>
      <c r="N28" s="1873"/>
      <c r="O28" s="722"/>
      <c r="P28" s="757"/>
      <c r="Q28" s="1875"/>
      <c r="R28" s="1875"/>
      <c r="S28" s="1875"/>
      <c r="T28" s="1875"/>
      <c r="U28" s="16"/>
      <c r="V28" s="16"/>
      <c r="W28" s="751">
        <f>IF('PR_Programmatic Progress_1B'!A28="","",'PR_Programmatic Progress_1B'!A28)</f>
      </c>
      <c r="X28" s="752">
        <f>IF('PR_Programmatic Progress_1B'!B28="","",'PR_Programmatic Progress_1B'!B28)</f>
      </c>
      <c r="Y28" s="1872">
        <f>IF('PR_Programmatic Progress_1B'!C28="","",'PR_Programmatic Progress_1B'!C28)</f>
      </c>
      <c r="Z28" s="1872"/>
      <c r="AA28" s="1872"/>
      <c r="AB28" s="1872"/>
      <c r="AC28" s="1872"/>
      <c r="AD28" s="722">
        <f>IF('PR_Programmatic Progress_1B'!G28="","",'PR_Programmatic Progress_1B'!G28)</f>
      </c>
      <c r="AE28" s="722">
        <f>IF('PR_Programmatic Progress_1B'!H28="","",'PR_Programmatic Progress_1B'!H28)</f>
      </c>
      <c r="AF28" s="722">
        <f>IF('PR_Programmatic Progress_1B'!I28="","",'PR_Programmatic Progress_1B'!I28)</f>
      </c>
      <c r="AG28" s="722">
        <f>IF('PR_Programmatic Progress_1B'!L28="","",'PR_Programmatic Progress_1B'!L28)</f>
      </c>
      <c r="AH28" s="756">
        <f>IF('PR_Programmatic Progress_1B'!M28="","",'PR_Programmatic Progress_1B'!M28)</f>
      </c>
    </row>
    <row r="29" spans="1:34" s="13" customFormat="1" ht="69" customHeight="1">
      <c r="A29" s="751">
        <f t="shared" si="1"/>
      </c>
      <c r="B29" s="752">
        <f t="shared" si="2"/>
      </c>
      <c r="C29" s="1872">
        <f t="shared" si="3"/>
      </c>
      <c r="D29" s="1872"/>
      <c r="E29" s="1872"/>
      <c r="F29" s="1872"/>
      <c r="G29" s="1872"/>
      <c r="H29" s="722">
        <f t="shared" si="4"/>
      </c>
      <c r="I29" s="722">
        <f t="shared" si="4"/>
      </c>
      <c r="J29" s="722">
        <f t="shared" si="4"/>
      </c>
      <c r="K29" s="746">
        <f t="shared" si="6"/>
      </c>
      <c r="L29" s="753">
        <f t="shared" si="5"/>
      </c>
      <c r="M29" s="1873"/>
      <c r="N29" s="1873"/>
      <c r="O29" s="722"/>
      <c r="P29" s="757"/>
      <c r="Q29" s="1875"/>
      <c r="R29" s="1875"/>
      <c r="S29" s="1875"/>
      <c r="T29" s="1875"/>
      <c r="U29" s="16"/>
      <c r="V29" s="16"/>
      <c r="W29" s="751">
        <f>IF('PR_Programmatic Progress_1B'!A29="","",'PR_Programmatic Progress_1B'!A29)</f>
      </c>
      <c r="X29" s="752">
        <f>IF('PR_Programmatic Progress_1B'!B29="","",'PR_Programmatic Progress_1B'!B29)</f>
      </c>
      <c r="Y29" s="1872">
        <f>IF('PR_Programmatic Progress_1B'!C29="","",'PR_Programmatic Progress_1B'!C29)</f>
      </c>
      <c r="Z29" s="1872"/>
      <c r="AA29" s="1872"/>
      <c r="AB29" s="1872"/>
      <c r="AC29" s="1872"/>
      <c r="AD29" s="722">
        <f>IF('PR_Programmatic Progress_1B'!G29="","",'PR_Programmatic Progress_1B'!G29)</f>
      </c>
      <c r="AE29" s="722">
        <f>IF('PR_Programmatic Progress_1B'!H29="","",'PR_Programmatic Progress_1B'!H29)</f>
      </c>
      <c r="AF29" s="722">
        <f>IF('PR_Programmatic Progress_1B'!I29="","",'PR_Programmatic Progress_1B'!I29)</f>
      </c>
      <c r="AG29" s="722">
        <f>IF('PR_Programmatic Progress_1B'!L29="","",'PR_Programmatic Progress_1B'!L29)</f>
      </c>
      <c r="AH29" s="756">
        <f>IF('PR_Programmatic Progress_1B'!M29="","",'PR_Programmatic Progress_1B'!M29)</f>
      </c>
    </row>
    <row r="30" spans="1:34" s="13" customFormat="1" ht="69" customHeight="1">
      <c r="A30" s="751">
        <f t="shared" si="1"/>
      </c>
      <c r="B30" s="752">
        <f t="shared" si="2"/>
      </c>
      <c r="C30" s="1872">
        <f t="shared" si="3"/>
      </c>
      <c r="D30" s="1872"/>
      <c r="E30" s="1872"/>
      <c r="F30" s="1872"/>
      <c r="G30" s="1872"/>
      <c r="H30" s="722">
        <f t="shared" si="4"/>
      </c>
      <c r="I30" s="722">
        <f t="shared" si="4"/>
      </c>
      <c r="J30" s="722">
        <f t="shared" si="4"/>
      </c>
      <c r="K30" s="746">
        <f t="shared" si="6"/>
      </c>
      <c r="L30" s="758">
        <f t="shared" si="5"/>
      </c>
      <c r="M30" s="1873"/>
      <c r="N30" s="1873"/>
      <c r="O30" s="722"/>
      <c r="P30" s="757"/>
      <c r="Q30" s="1875"/>
      <c r="R30" s="1875"/>
      <c r="S30" s="1875"/>
      <c r="T30" s="1875"/>
      <c r="U30" s="16"/>
      <c r="V30" s="16"/>
      <c r="W30" s="751">
        <f>IF('PR_Programmatic Progress_1B'!A30="","",'PR_Programmatic Progress_1B'!A30)</f>
      </c>
      <c r="X30" s="752">
        <f>IF('PR_Programmatic Progress_1B'!B30="","",'PR_Programmatic Progress_1B'!B30)</f>
      </c>
      <c r="Y30" s="1872">
        <f>IF('PR_Programmatic Progress_1B'!C30="","",'PR_Programmatic Progress_1B'!C30)</f>
      </c>
      <c r="Z30" s="1872"/>
      <c r="AA30" s="1872"/>
      <c r="AB30" s="1872"/>
      <c r="AC30" s="1872"/>
      <c r="AD30" s="722">
        <f>IF('PR_Programmatic Progress_1B'!G30="","",'PR_Programmatic Progress_1B'!G30)</f>
      </c>
      <c r="AE30" s="722">
        <f>IF('PR_Programmatic Progress_1B'!H30="","",'PR_Programmatic Progress_1B'!H30)</f>
      </c>
      <c r="AF30" s="722">
        <f>IF('PR_Programmatic Progress_1B'!I30="","",'PR_Programmatic Progress_1B'!I30)</f>
      </c>
      <c r="AG30" s="722">
        <f>IF('PR_Programmatic Progress_1B'!L30="","",'PR_Programmatic Progress_1B'!L30)</f>
      </c>
      <c r="AH30" s="759">
        <f>IF('PR_Programmatic Progress_1B'!M30="","",'PR_Programmatic Progress_1B'!M30)</f>
      </c>
    </row>
    <row r="31" spans="1:34" s="13" customFormat="1" ht="69" customHeight="1">
      <c r="A31" s="751">
        <f t="shared" si="1"/>
      </c>
      <c r="B31" s="752">
        <f t="shared" si="2"/>
      </c>
      <c r="C31" s="1872">
        <f t="shared" si="3"/>
      </c>
      <c r="D31" s="1872"/>
      <c r="E31" s="1872"/>
      <c r="F31" s="1872"/>
      <c r="G31" s="1872"/>
      <c r="H31" s="722">
        <f t="shared" si="4"/>
      </c>
      <c r="I31" s="722">
        <f t="shared" si="4"/>
      </c>
      <c r="J31" s="722">
        <f t="shared" si="4"/>
      </c>
      <c r="K31" s="746">
        <f t="shared" si="6"/>
      </c>
      <c r="L31" s="753">
        <f t="shared" si="5"/>
      </c>
      <c r="M31" s="1873"/>
      <c r="N31" s="1873"/>
      <c r="O31" s="722"/>
      <c r="P31" s="757"/>
      <c r="Q31" s="1875"/>
      <c r="R31" s="1875"/>
      <c r="S31" s="1875"/>
      <c r="T31" s="1875"/>
      <c r="U31" s="16"/>
      <c r="V31" s="16"/>
      <c r="W31" s="751">
        <f>IF('PR_Programmatic Progress_1B'!A31="","",'PR_Programmatic Progress_1B'!A31)</f>
      </c>
      <c r="X31" s="752">
        <f>IF('PR_Programmatic Progress_1B'!B31="","",'PR_Programmatic Progress_1B'!B31)</f>
      </c>
      <c r="Y31" s="1872">
        <f>IF('PR_Programmatic Progress_1B'!C31="","",'PR_Programmatic Progress_1B'!C31)</f>
      </c>
      <c r="Z31" s="1872"/>
      <c r="AA31" s="1872"/>
      <c r="AB31" s="1872"/>
      <c r="AC31" s="1872"/>
      <c r="AD31" s="722">
        <f>IF('PR_Programmatic Progress_1B'!G31="","",'PR_Programmatic Progress_1B'!G31)</f>
      </c>
      <c r="AE31" s="722">
        <f>IF('PR_Programmatic Progress_1B'!H31="","",'PR_Programmatic Progress_1B'!H31)</f>
      </c>
      <c r="AF31" s="722">
        <f>IF('PR_Programmatic Progress_1B'!I31="","",'PR_Programmatic Progress_1B'!I31)</f>
      </c>
      <c r="AG31" s="722">
        <f>IF('PR_Programmatic Progress_1B'!L31="","",'PR_Programmatic Progress_1B'!L31)</f>
      </c>
      <c r="AH31" s="756">
        <f>IF('PR_Programmatic Progress_1B'!M31="","",'PR_Programmatic Progress_1B'!M31)</f>
      </c>
    </row>
    <row r="32" spans="1:34" s="13" customFormat="1" ht="14.25" customHeight="1">
      <c r="A32" s="1876"/>
      <c r="B32" s="1876"/>
      <c r="C32" s="1876"/>
      <c r="D32" s="1876"/>
      <c r="E32" s="1876"/>
      <c r="F32" s="1876"/>
      <c r="G32" s="1876"/>
      <c r="H32" s="1876"/>
      <c r="I32" s="1876"/>
      <c r="J32" s="1876"/>
      <c r="K32" s="1876"/>
      <c r="L32" s="1876"/>
      <c r="M32" s="1876"/>
      <c r="N32" s="1876"/>
      <c r="O32" s="1876"/>
      <c r="P32" s="1876"/>
      <c r="Q32" s="1876"/>
      <c r="R32" s="1876"/>
      <c r="S32" s="1876"/>
      <c r="T32" s="1876"/>
      <c r="U32" s="16"/>
      <c r="V32" s="16"/>
      <c r="W32" s="751"/>
      <c r="X32" s="752"/>
      <c r="Y32" s="760"/>
      <c r="Z32" s="761"/>
      <c r="AA32" s="761"/>
      <c r="AB32" s="761"/>
      <c r="AC32" s="762"/>
      <c r="AD32" s="722"/>
      <c r="AE32" s="722"/>
      <c r="AF32" s="722"/>
      <c r="AG32" s="722"/>
      <c r="AH32" s="756"/>
    </row>
    <row r="33" spans="1:34" s="13" customFormat="1" ht="69" customHeight="1">
      <c r="A33" s="751">
        <f t="shared" si="1"/>
      </c>
      <c r="B33" s="752">
        <f t="shared" si="2"/>
      </c>
      <c r="C33" s="1872">
        <f t="shared" si="3"/>
      </c>
      <c r="D33" s="1872"/>
      <c r="E33" s="1872"/>
      <c r="F33" s="1872"/>
      <c r="G33" s="1872"/>
      <c r="H33" s="722">
        <f t="shared" si="4"/>
      </c>
      <c r="I33" s="722">
        <f t="shared" si="4"/>
      </c>
      <c r="J33" s="722">
        <f t="shared" si="4"/>
      </c>
      <c r="K33" s="746">
        <f t="shared" si="6"/>
      </c>
      <c r="L33" s="753">
        <f t="shared" si="5"/>
      </c>
      <c r="M33" s="1873"/>
      <c r="N33" s="1873"/>
      <c r="O33" s="722"/>
      <c r="P33" s="757"/>
      <c r="Q33" s="1875"/>
      <c r="R33" s="1875"/>
      <c r="S33" s="1875"/>
      <c r="T33" s="1875"/>
      <c r="U33" s="16"/>
      <c r="V33" s="16"/>
      <c r="W33" s="751">
        <f>IF('PR_Programmatic Progress_1B'!A33="","",'PR_Programmatic Progress_1B'!A33)</f>
      </c>
      <c r="X33" s="752">
        <f>IF('PR_Programmatic Progress_1B'!B33="","",'PR_Programmatic Progress_1B'!B33)</f>
      </c>
      <c r="Y33" s="1872">
        <f>IF('PR_Programmatic Progress_1B'!C33="","",'PR_Programmatic Progress_1B'!C33)</f>
      </c>
      <c r="Z33" s="1872"/>
      <c r="AA33" s="1872"/>
      <c r="AB33" s="1872"/>
      <c r="AC33" s="1872"/>
      <c r="AD33" s="722">
        <f>IF('PR_Programmatic Progress_1B'!G33="","",'PR_Programmatic Progress_1B'!G33)</f>
      </c>
      <c r="AE33" s="722">
        <f>IF('PR_Programmatic Progress_1B'!H33="","",'PR_Programmatic Progress_1B'!H33)</f>
      </c>
      <c r="AF33" s="722">
        <f>IF('PR_Programmatic Progress_1B'!I33="","",'PR_Programmatic Progress_1B'!I33)</f>
      </c>
      <c r="AG33" s="722">
        <f>IF('PR_Programmatic Progress_1B'!L33="","",'PR_Programmatic Progress_1B'!L33)</f>
      </c>
      <c r="AH33" s="756">
        <f>IF('PR_Programmatic Progress_1B'!M33="","",'PR_Programmatic Progress_1B'!M33)</f>
      </c>
    </row>
    <row r="34" spans="1:34" s="13" customFormat="1" ht="69" customHeight="1">
      <c r="A34" s="751">
        <f t="shared" si="1"/>
      </c>
      <c r="B34" s="752">
        <f t="shared" si="2"/>
      </c>
      <c r="C34" s="1872">
        <f t="shared" si="3"/>
      </c>
      <c r="D34" s="1872"/>
      <c r="E34" s="1872"/>
      <c r="F34" s="1872"/>
      <c r="G34" s="1872"/>
      <c r="H34" s="722">
        <f t="shared" si="4"/>
      </c>
      <c r="I34" s="722">
        <f t="shared" si="4"/>
      </c>
      <c r="J34" s="722">
        <f t="shared" si="4"/>
      </c>
      <c r="K34" s="746">
        <f t="shared" si="6"/>
      </c>
      <c r="L34" s="753">
        <f t="shared" si="5"/>
      </c>
      <c r="M34" s="1873"/>
      <c r="N34" s="1873"/>
      <c r="O34" s="722"/>
      <c r="P34" s="757"/>
      <c r="Q34" s="1875"/>
      <c r="R34" s="1875"/>
      <c r="S34" s="1875"/>
      <c r="T34" s="1875"/>
      <c r="U34" s="16"/>
      <c r="V34" s="16"/>
      <c r="W34" s="751">
        <f>IF('PR_Programmatic Progress_1B'!A34="","",'PR_Programmatic Progress_1B'!A34)</f>
      </c>
      <c r="X34" s="752">
        <f>IF('PR_Programmatic Progress_1B'!B34="","",'PR_Programmatic Progress_1B'!B34)</f>
      </c>
      <c r="Y34" s="1872">
        <f>IF('PR_Programmatic Progress_1B'!C34="","",'PR_Programmatic Progress_1B'!C34)</f>
      </c>
      <c r="Z34" s="1872"/>
      <c r="AA34" s="1872"/>
      <c r="AB34" s="1872"/>
      <c r="AC34" s="1872"/>
      <c r="AD34" s="722">
        <f>IF('PR_Programmatic Progress_1B'!G34="","",'PR_Programmatic Progress_1B'!G34)</f>
      </c>
      <c r="AE34" s="722">
        <f>IF('PR_Programmatic Progress_1B'!H34="","",'PR_Programmatic Progress_1B'!H34)</f>
      </c>
      <c r="AF34" s="722">
        <f>IF('PR_Programmatic Progress_1B'!I34="","",'PR_Programmatic Progress_1B'!I34)</f>
      </c>
      <c r="AG34" s="722">
        <f>IF('PR_Programmatic Progress_1B'!L34="","",'PR_Programmatic Progress_1B'!L34)</f>
      </c>
      <c r="AH34" s="756">
        <f>IF('PR_Programmatic Progress_1B'!M34="","",'PR_Programmatic Progress_1B'!M34)</f>
      </c>
    </row>
    <row r="35" spans="1:34" s="13" customFormat="1" ht="69" customHeight="1">
      <c r="A35" s="751">
        <f t="shared" si="1"/>
      </c>
      <c r="B35" s="752">
        <f t="shared" si="2"/>
      </c>
      <c r="C35" s="1872">
        <f t="shared" si="3"/>
      </c>
      <c r="D35" s="1872"/>
      <c r="E35" s="1872"/>
      <c r="F35" s="1872"/>
      <c r="G35" s="1872"/>
      <c r="H35" s="722">
        <f t="shared" si="4"/>
      </c>
      <c r="I35" s="722">
        <f t="shared" si="4"/>
      </c>
      <c r="J35" s="722">
        <f t="shared" si="4"/>
      </c>
      <c r="K35" s="746">
        <f t="shared" si="6"/>
      </c>
      <c r="L35" s="753">
        <f t="shared" si="5"/>
      </c>
      <c r="M35" s="1873"/>
      <c r="N35" s="1873"/>
      <c r="O35" s="722"/>
      <c r="P35" s="757"/>
      <c r="Q35" s="1875"/>
      <c r="R35" s="1875"/>
      <c r="S35" s="1875"/>
      <c r="T35" s="1875"/>
      <c r="U35" s="16"/>
      <c r="V35" s="16"/>
      <c r="W35" s="751">
        <f>IF('PR_Programmatic Progress_1B'!A35="","",'PR_Programmatic Progress_1B'!A35)</f>
      </c>
      <c r="X35" s="752">
        <f>IF('PR_Programmatic Progress_1B'!B35="","",'PR_Programmatic Progress_1B'!B35)</f>
      </c>
      <c r="Y35" s="1872">
        <f>IF('PR_Programmatic Progress_1B'!C35="","",'PR_Programmatic Progress_1B'!C35)</f>
      </c>
      <c r="Z35" s="1872"/>
      <c r="AA35" s="1872"/>
      <c r="AB35" s="1872"/>
      <c r="AC35" s="1872"/>
      <c r="AD35" s="722">
        <f>IF('PR_Programmatic Progress_1B'!G35="","",'PR_Programmatic Progress_1B'!G35)</f>
      </c>
      <c r="AE35" s="722">
        <f>IF('PR_Programmatic Progress_1B'!H35="","",'PR_Programmatic Progress_1B'!H35)</f>
      </c>
      <c r="AF35" s="722">
        <f>IF('PR_Programmatic Progress_1B'!I35="","",'PR_Programmatic Progress_1B'!I35)</f>
      </c>
      <c r="AG35" s="722">
        <f>IF('PR_Programmatic Progress_1B'!L35="","",'PR_Programmatic Progress_1B'!L35)</f>
      </c>
      <c r="AH35" s="756">
        <f>IF('PR_Programmatic Progress_1B'!M35="","",'PR_Programmatic Progress_1B'!M35)</f>
      </c>
    </row>
    <row r="36" spans="1:34" s="13" customFormat="1" ht="69" customHeight="1">
      <c r="A36" s="751">
        <f t="shared" si="1"/>
      </c>
      <c r="B36" s="752">
        <f t="shared" si="2"/>
      </c>
      <c r="C36" s="1872">
        <f t="shared" si="3"/>
      </c>
      <c r="D36" s="1872"/>
      <c r="E36" s="1872"/>
      <c r="F36" s="1872"/>
      <c r="G36" s="1872"/>
      <c r="H36" s="722">
        <f t="shared" si="4"/>
      </c>
      <c r="I36" s="722">
        <f t="shared" si="4"/>
      </c>
      <c r="J36" s="722">
        <f t="shared" si="4"/>
      </c>
      <c r="K36" s="746">
        <f t="shared" si="6"/>
      </c>
      <c r="L36" s="753">
        <f t="shared" si="5"/>
      </c>
      <c r="M36" s="1873"/>
      <c r="N36" s="1873"/>
      <c r="O36" s="722"/>
      <c r="P36" s="757"/>
      <c r="Q36" s="1875"/>
      <c r="R36" s="1875"/>
      <c r="S36" s="1875"/>
      <c r="T36" s="1875"/>
      <c r="U36" s="16"/>
      <c r="V36" s="16"/>
      <c r="W36" s="751">
        <f>IF('PR_Programmatic Progress_1B'!A36="","",'PR_Programmatic Progress_1B'!A36)</f>
      </c>
      <c r="X36" s="752">
        <f>IF('PR_Programmatic Progress_1B'!B36="","",'PR_Programmatic Progress_1B'!B36)</f>
      </c>
      <c r="Y36" s="1872">
        <f>IF('PR_Programmatic Progress_1B'!C36="","",'PR_Programmatic Progress_1B'!C36)</f>
      </c>
      <c r="Z36" s="1872"/>
      <c r="AA36" s="1872"/>
      <c r="AB36" s="1872"/>
      <c r="AC36" s="1872"/>
      <c r="AD36" s="722">
        <f>IF('PR_Programmatic Progress_1B'!G36="","",'PR_Programmatic Progress_1B'!G36)</f>
      </c>
      <c r="AE36" s="722">
        <f>IF('PR_Programmatic Progress_1B'!H36="","",'PR_Programmatic Progress_1B'!H36)</f>
      </c>
      <c r="AF36" s="722">
        <f>IF('PR_Programmatic Progress_1B'!I36="","",'PR_Programmatic Progress_1B'!I36)</f>
      </c>
      <c r="AG36" s="722">
        <f>IF('PR_Programmatic Progress_1B'!L36="","",'PR_Programmatic Progress_1B'!L36)</f>
      </c>
      <c r="AH36" s="756">
        <f>IF('PR_Programmatic Progress_1B'!M36="","",'PR_Programmatic Progress_1B'!M36)</f>
      </c>
    </row>
    <row r="37" spans="1:34" s="13" customFormat="1" ht="69" customHeight="1">
      <c r="A37" s="751">
        <f t="shared" si="1"/>
      </c>
      <c r="B37" s="752">
        <f t="shared" si="2"/>
      </c>
      <c r="C37" s="1872">
        <f t="shared" si="3"/>
      </c>
      <c r="D37" s="1872"/>
      <c r="E37" s="1872"/>
      <c r="F37" s="1872"/>
      <c r="G37" s="1872"/>
      <c r="H37" s="722">
        <f t="shared" si="4"/>
      </c>
      <c r="I37" s="722">
        <f t="shared" si="4"/>
      </c>
      <c r="J37" s="722">
        <f t="shared" si="4"/>
      </c>
      <c r="K37" s="746">
        <f t="shared" si="6"/>
      </c>
      <c r="L37" s="753">
        <f t="shared" si="5"/>
      </c>
      <c r="M37" s="1873"/>
      <c r="N37" s="1873"/>
      <c r="O37" s="722"/>
      <c r="P37" s="757"/>
      <c r="Q37" s="1875"/>
      <c r="R37" s="1875"/>
      <c r="S37" s="1875"/>
      <c r="T37" s="1875"/>
      <c r="U37" s="16"/>
      <c r="V37" s="16"/>
      <c r="W37" s="751">
        <f>IF('PR_Programmatic Progress_1B'!A37="","",'PR_Programmatic Progress_1B'!A37)</f>
      </c>
      <c r="X37" s="752">
        <f>IF('PR_Programmatic Progress_1B'!B37="","",'PR_Programmatic Progress_1B'!B37)</f>
      </c>
      <c r="Y37" s="1872">
        <f>IF('PR_Programmatic Progress_1B'!C37="","",'PR_Programmatic Progress_1B'!C37)</f>
      </c>
      <c r="Z37" s="1872"/>
      <c r="AA37" s="1872"/>
      <c r="AB37" s="1872"/>
      <c r="AC37" s="1872"/>
      <c r="AD37" s="722">
        <f>IF('PR_Programmatic Progress_1B'!G37="","",'PR_Programmatic Progress_1B'!G37)</f>
      </c>
      <c r="AE37" s="722">
        <f>IF('PR_Programmatic Progress_1B'!H37="","",'PR_Programmatic Progress_1B'!H37)</f>
      </c>
      <c r="AF37" s="722">
        <f>IF('PR_Programmatic Progress_1B'!I37="","",'PR_Programmatic Progress_1B'!I37)</f>
      </c>
      <c r="AG37" s="722">
        <f>IF('PR_Programmatic Progress_1B'!L37="","",'PR_Programmatic Progress_1B'!L37)</f>
      </c>
      <c r="AH37" s="756">
        <f>IF('PR_Programmatic Progress_1B'!M37="","",'PR_Programmatic Progress_1B'!M37)</f>
      </c>
    </row>
    <row r="38" ht="12.75">
      <c r="I38" s="731"/>
    </row>
    <row r="39" spans="1:20" ht="52.5" customHeight="1">
      <c r="A39" s="1878" t="s">
        <v>891</v>
      </c>
      <c r="B39" s="1878"/>
      <c r="C39" s="1878"/>
      <c r="D39" s="1878"/>
      <c r="E39" s="1878"/>
      <c r="F39" s="1878"/>
      <c r="G39" s="1878"/>
      <c r="H39" s="1878"/>
      <c r="I39" s="1878"/>
      <c r="J39" s="1878"/>
      <c r="K39" s="1878"/>
      <c r="L39" s="1878"/>
      <c r="M39" s="1878"/>
      <c r="N39" s="1878"/>
      <c r="O39" s="1878"/>
      <c r="P39" s="1878"/>
      <c r="Q39" s="1878"/>
      <c r="R39" s="1878"/>
      <c r="S39" s="1878"/>
      <c r="T39" s="1878"/>
    </row>
    <row r="40" spans="1:20" ht="12.75">
      <c r="A40" s="1877"/>
      <c r="B40" s="1877"/>
      <c r="C40" s="1877"/>
      <c r="D40" s="1877"/>
      <c r="E40" s="1877"/>
      <c r="F40" s="1877"/>
      <c r="G40" s="1877"/>
      <c r="H40" s="1877"/>
      <c r="I40" s="1877"/>
      <c r="J40" s="1877"/>
      <c r="K40" s="1877"/>
      <c r="L40" s="1877"/>
      <c r="M40" s="1877"/>
      <c r="N40" s="1877"/>
      <c r="O40" s="1877"/>
      <c r="P40" s="1877"/>
      <c r="Q40" s="1877"/>
      <c r="R40" s="1877"/>
      <c r="S40" s="1877"/>
      <c r="T40" s="1877"/>
    </row>
    <row r="41" spans="1:20" ht="12.75">
      <c r="A41" s="1877"/>
      <c r="B41" s="1877"/>
      <c r="C41" s="1877"/>
      <c r="D41" s="1877"/>
      <c r="E41" s="1877"/>
      <c r="F41" s="1877"/>
      <c r="G41" s="1877"/>
      <c r="H41" s="1877"/>
      <c r="I41" s="1877"/>
      <c r="J41" s="1877"/>
      <c r="K41" s="1877"/>
      <c r="L41" s="1877"/>
      <c r="M41" s="1877"/>
      <c r="N41" s="1877"/>
      <c r="O41" s="1877"/>
      <c r="P41" s="1877"/>
      <c r="Q41" s="1877"/>
      <c r="R41" s="1877"/>
      <c r="S41" s="1877"/>
      <c r="T41" s="1877"/>
    </row>
    <row r="42" spans="1:20" ht="20.25" customHeight="1">
      <c r="A42" s="1877"/>
      <c r="B42" s="1877"/>
      <c r="C42" s="1877"/>
      <c r="D42" s="1877"/>
      <c r="E42" s="1877"/>
      <c r="F42" s="1877"/>
      <c r="G42" s="1877"/>
      <c r="H42" s="1877"/>
      <c r="I42" s="1877"/>
      <c r="J42" s="1877"/>
      <c r="K42" s="1877"/>
      <c r="L42" s="1877"/>
      <c r="M42" s="1877"/>
      <c r="N42" s="1877"/>
      <c r="O42" s="1877"/>
      <c r="P42" s="1877"/>
      <c r="Q42" s="1877"/>
      <c r="R42" s="1877"/>
      <c r="S42" s="1877"/>
      <c r="T42" s="1877"/>
    </row>
    <row r="43" spans="1:20" ht="12.75">
      <c r="A43" s="1877"/>
      <c r="B43" s="1877"/>
      <c r="C43" s="1877"/>
      <c r="D43" s="1877"/>
      <c r="E43" s="1877"/>
      <c r="F43" s="1877"/>
      <c r="G43" s="1877"/>
      <c r="H43" s="1877"/>
      <c r="I43" s="1877"/>
      <c r="J43" s="1877"/>
      <c r="K43" s="1877"/>
      <c r="L43" s="1877"/>
      <c r="M43" s="1877"/>
      <c r="N43" s="1877"/>
      <c r="O43" s="1877"/>
      <c r="P43" s="1877"/>
      <c r="Q43" s="1877"/>
      <c r="R43" s="1877"/>
      <c r="S43" s="1877"/>
      <c r="T43" s="1877"/>
    </row>
    <row r="44" spans="1:20" ht="12.75">
      <c r="A44" s="1877"/>
      <c r="B44" s="1877"/>
      <c r="C44" s="1877"/>
      <c r="D44" s="1877"/>
      <c r="E44" s="1877"/>
      <c r="F44" s="1877"/>
      <c r="G44" s="1877"/>
      <c r="H44" s="1877"/>
      <c r="I44" s="1877"/>
      <c r="J44" s="1877"/>
      <c r="K44" s="1877"/>
      <c r="L44" s="1877"/>
      <c r="M44" s="1877"/>
      <c r="N44" s="1877"/>
      <c r="O44" s="1877"/>
      <c r="P44" s="1877"/>
      <c r="Q44" s="1877"/>
      <c r="R44" s="1877"/>
      <c r="S44" s="1877"/>
      <c r="T44" s="1877"/>
    </row>
    <row r="45" spans="1:20" ht="12.75">
      <c r="A45" s="1877"/>
      <c r="B45" s="1877"/>
      <c r="C45" s="1877"/>
      <c r="D45" s="1877"/>
      <c r="E45" s="1877"/>
      <c r="F45" s="1877"/>
      <c r="G45" s="1877"/>
      <c r="H45" s="1877"/>
      <c r="I45" s="1877"/>
      <c r="J45" s="1877"/>
      <c r="K45" s="1877"/>
      <c r="L45" s="1877"/>
      <c r="M45" s="1877"/>
      <c r="N45" s="1877"/>
      <c r="O45" s="1877"/>
      <c r="P45" s="1877"/>
      <c r="Q45" s="1877"/>
      <c r="R45" s="1877"/>
      <c r="S45" s="1877"/>
      <c r="T45" s="1877"/>
    </row>
    <row r="46" spans="1:20" ht="21" customHeight="1">
      <c r="A46" s="1877"/>
      <c r="B46" s="1877"/>
      <c r="C46" s="1877"/>
      <c r="D46" s="1877"/>
      <c r="E46" s="1877"/>
      <c r="F46" s="1877"/>
      <c r="G46" s="1877"/>
      <c r="H46" s="1877"/>
      <c r="I46" s="1877"/>
      <c r="J46" s="1877"/>
      <c r="K46" s="1877"/>
      <c r="L46" s="1877"/>
      <c r="M46" s="1877"/>
      <c r="N46" s="1877"/>
      <c r="O46" s="1877"/>
      <c r="P46" s="1877"/>
      <c r="Q46" s="1877"/>
      <c r="R46" s="1877"/>
      <c r="S46" s="1877"/>
      <c r="T46" s="1877"/>
    </row>
  </sheetData>
  <sheetProtection selectLockedCells="1" selectUnlockedCells="1"/>
  <mergeCells count="132">
    <mergeCell ref="C36:G36"/>
    <mergeCell ref="Y35:AC35"/>
    <mergeCell ref="Q34:T34"/>
    <mergeCell ref="Y34:AC34"/>
    <mergeCell ref="C35:G35"/>
    <mergeCell ref="A40:T46"/>
    <mergeCell ref="C37:G37"/>
    <mergeCell ref="M37:N37"/>
    <mergeCell ref="Q37:T37"/>
    <mergeCell ref="A39:T39"/>
    <mergeCell ref="Y37:AC37"/>
    <mergeCell ref="M30:N30"/>
    <mergeCell ref="Q30:T30"/>
    <mergeCell ref="Y30:AC30"/>
    <mergeCell ref="C31:G31"/>
    <mergeCell ref="A32:T32"/>
    <mergeCell ref="M36:N36"/>
    <mergeCell ref="Q36:T36"/>
    <mergeCell ref="Y36:AC36"/>
    <mergeCell ref="M35:N35"/>
    <mergeCell ref="Q35:T35"/>
    <mergeCell ref="Y33:AC33"/>
    <mergeCell ref="C33:G33"/>
    <mergeCell ref="M33:N33"/>
    <mergeCell ref="Q33:T33"/>
    <mergeCell ref="C34:G34"/>
    <mergeCell ref="M34:N34"/>
    <mergeCell ref="Q29:T29"/>
    <mergeCell ref="M31:N31"/>
    <mergeCell ref="Y27:AC27"/>
    <mergeCell ref="C28:G28"/>
    <mergeCell ref="M28:N28"/>
    <mergeCell ref="Q28:T28"/>
    <mergeCell ref="Y28:AC28"/>
    <mergeCell ref="Y29:AC29"/>
    <mergeCell ref="Y31:AC31"/>
    <mergeCell ref="C30:G30"/>
    <mergeCell ref="C26:G26"/>
    <mergeCell ref="M26:N26"/>
    <mergeCell ref="Q26:T26"/>
    <mergeCell ref="Y26:AC26"/>
    <mergeCell ref="Q31:T31"/>
    <mergeCell ref="C27:G27"/>
    <mergeCell ref="M27:N27"/>
    <mergeCell ref="Q27:T27"/>
    <mergeCell ref="C29:G29"/>
    <mergeCell ref="M29:N29"/>
    <mergeCell ref="C24:G24"/>
    <mergeCell ref="M24:N24"/>
    <mergeCell ref="Q24:T24"/>
    <mergeCell ref="Y24:AC24"/>
    <mergeCell ref="C25:G25"/>
    <mergeCell ref="M25:N25"/>
    <mergeCell ref="Q25:T25"/>
    <mergeCell ref="Y25:AC25"/>
    <mergeCell ref="C22:G22"/>
    <mergeCell ref="M22:N22"/>
    <mergeCell ref="Q22:T22"/>
    <mergeCell ref="Y22:AC22"/>
    <mergeCell ref="C23:G23"/>
    <mergeCell ref="M23:N23"/>
    <mergeCell ref="Q23:T23"/>
    <mergeCell ref="Y23:AC23"/>
    <mergeCell ref="C20:G20"/>
    <mergeCell ref="M20:N20"/>
    <mergeCell ref="Q20:T20"/>
    <mergeCell ref="Y20:AC20"/>
    <mergeCell ref="C21:G21"/>
    <mergeCell ref="M21:N21"/>
    <mergeCell ref="Q21:T21"/>
    <mergeCell ref="Y21:AC21"/>
    <mergeCell ref="C18:G18"/>
    <mergeCell ref="M18:N18"/>
    <mergeCell ref="Q18:T18"/>
    <mergeCell ref="Y18:AC18"/>
    <mergeCell ref="C19:G19"/>
    <mergeCell ref="M19:N19"/>
    <mergeCell ref="Q19:T19"/>
    <mergeCell ref="Y19:AC19"/>
    <mergeCell ref="C16:G16"/>
    <mergeCell ref="M16:N16"/>
    <mergeCell ref="Q16:T16"/>
    <mergeCell ref="Y16:AC16"/>
    <mergeCell ref="C17:G17"/>
    <mergeCell ref="M17:N17"/>
    <mergeCell ref="Q17:T17"/>
    <mergeCell ref="Y17:AC17"/>
    <mergeCell ref="C14:G14"/>
    <mergeCell ref="M14:N14"/>
    <mergeCell ref="Q14:T14"/>
    <mergeCell ref="Y14:AC14"/>
    <mergeCell ref="C15:G15"/>
    <mergeCell ref="M15:N15"/>
    <mergeCell ref="Q15:T15"/>
    <mergeCell ref="Y15:AC15"/>
    <mergeCell ref="C13:G13"/>
    <mergeCell ref="M13:N13"/>
    <mergeCell ref="Q13:T13"/>
    <mergeCell ref="Y13:AC13"/>
    <mergeCell ref="P10:P11"/>
    <mergeCell ref="Q10:T11"/>
    <mergeCell ref="M10:N11"/>
    <mergeCell ref="L10:L11"/>
    <mergeCell ref="W9:AH9"/>
    <mergeCell ref="AF10:AF11"/>
    <mergeCell ref="AG10:AG11"/>
    <mergeCell ref="AH10:AH11"/>
    <mergeCell ref="X10:X11"/>
    <mergeCell ref="Y10:AC11"/>
    <mergeCell ref="AE10:AE11"/>
    <mergeCell ref="AD10:AD11"/>
    <mergeCell ref="W10:W11"/>
    <mergeCell ref="A10:A11"/>
    <mergeCell ref="B10:B11"/>
    <mergeCell ref="C10:G11"/>
    <mergeCell ref="H10:H11"/>
    <mergeCell ref="Y12:AC12"/>
    <mergeCell ref="C12:G12"/>
    <mergeCell ref="M12:N12"/>
    <mergeCell ref="Q12:T12"/>
    <mergeCell ref="K10:K11"/>
    <mergeCell ref="O10:O11"/>
    <mergeCell ref="A1:K1"/>
    <mergeCell ref="A3:C3"/>
    <mergeCell ref="A4:C4"/>
    <mergeCell ref="A5:C5"/>
    <mergeCell ref="I10:I11"/>
    <mergeCell ref="J10:J11"/>
    <mergeCell ref="A6:C6"/>
    <mergeCell ref="A7:L7"/>
    <mergeCell ref="A8:T8"/>
    <mergeCell ref="A9:T9"/>
  </mergeCells>
  <conditionalFormatting sqref="A12:L31 A32 A33:L37">
    <cfRule type="cellIs" priority="1" dxfId="1" operator="notEqual" stopIfTrue="1">
      <formula>W12</formula>
    </cfRule>
  </conditionalFormatting>
  <dataValidations count="5">
    <dataValidation type="list" allowBlank="1" showErrorMessage="1" sqref="M12:M31 M33:M37">
      <formula1>"Select,Not Verified,Desk Review,PR On-site Visit,SR On-site Visit,Other ..."</formula1>
      <formula2>0</formula2>
    </dataValidation>
    <dataValidation type="list" allowBlank="1" showErrorMessage="1" sqref="AE12:AE37">
      <formula1>"Select,Y-over program term,Y-cumulative annually,N-not cumulative"</formula1>
      <formula2>0</formula2>
    </dataValidation>
    <dataValidation type="list" allowBlank="1" showErrorMessage="1" sqref="J12:J31 AF12:AF37 J33:J37">
      <formula1>"Select,Yes - Top 10,Top 10 equivalent,No"</formula1>
      <formula2>0</formula2>
    </dataValidation>
    <dataValidation type="list" allowBlank="1" showErrorMessage="1" sqref="H12:H31 AD12:AD37 H33:H37">
      <formula1>"Select,National Program,Current grant,GF,GF and other donors"</formula1>
      <formula2>0</formula2>
    </dataValidation>
    <dataValidation type="list" allowBlank="1" showErrorMessage="1" sqref="I12:I31 I33:I37">
      <formula1>"Select,Y-over program term,Y-cumulative annually,N-not cumulative,Y-over RCC term"</formula1>
      <formula2>0</formula2>
    </dataValidation>
  </dataValidations>
  <printOptions horizontalCentered="1"/>
  <pageMargins left="0.5513888888888889" right="0.5513888888888889" top="0.39375" bottom="0.5902777777777777" header="0.5118055555555555" footer="0.5118055555555555"/>
  <pageSetup cellComments="atEnd" fitToHeight="0" fitToWidth="1" horizontalDpi="300" verticalDpi="300" orientation="landscape" paperSize="9" scale="41" r:id="rId1"/>
  <headerFooter alignWithMargins="0">
    <oddFooter>&amp;L&amp;9&amp;F&amp;C&amp;A&amp;R&amp;9Page &amp;P of &amp;N</oddFooter>
  </headerFooter>
  <rowBreaks count="1" manualBreakCount="1">
    <brk id="26" max="255" man="1"/>
  </rowBreaks>
</worksheet>
</file>

<file path=xl/worksheets/sheet17.xml><?xml version="1.0" encoding="utf-8"?>
<worksheet xmlns="http://schemas.openxmlformats.org/spreadsheetml/2006/main" xmlns:r="http://schemas.openxmlformats.org/officeDocument/2006/relationships">
  <sheetPr>
    <tabColor indexed="40"/>
    <pageSetUpPr fitToPage="1"/>
  </sheetPr>
  <dimension ref="A1:W58"/>
  <sheetViews>
    <sheetView view="pageBreakPreview" zoomScale="70" zoomScaleNormal="65" zoomScaleSheetLayoutView="70" zoomScalePageLayoutView="0" workbookViewId="0" topLeftCell="A1">
      <selection activeCell="D38" sqref="D38:L38"/>
    </sheetView>
  </sheetViews>
  <sheetFormatPr defaultColWidth="0" defaultRowHeight="12.75"/>
  <cols>
    <col min="1" max="1" width="15.421875" style="5" customWidth="1"/>
    <col min="2" max="2" width="33.28125" style="5" customWidth="1"/>
    <col min="3" max="3" width="18.7109375" style="5" customWidth="1"/>
    <col min="4" max="4" width="20.7109375" style="5" customWidth="1"/>
    <col min="5" max="5" width="19.28125" style="5" customWidth="1"/>
    <col min="6" max="6" width="20.00390625" style="5" customWidth="1"/>
    <col min="7" max="8" width="0" style="5" hidden="1" customWidth="1"/>
    <col min="9" max="9" width="0.9921875" style="5" customWidth="1"/>
    <col min="10" max="10" width="18.140625" style="119" customWidth="1"/>
    <col min="11" max="11" width="21.7109375" style="5" customWidth="1"/>
    <col min="12" max="12" width="83.00390625" style="5" customWidth="1"/>
    <col min="13" max="23" width="9.140625" style="5" customWidth="1"/>
    <col min="24" max="16384" width="0" style="5" hidden="1" customWidth="1"/>
  </cols>
  <sheetData>
    <row r="1" spans="1:23" s="101" customFormat="1" ht="25.5" customHeight="1">
      <c r="A1" s="1829" t="s">
        <v>846</v>
      </c>
      <c r="B1" s="1829"/>
      <c r="C1" s="1829"/>
      <c r="D1" s="1829"/>
      <c r="E1" s="1829"/>
      <c r="F1" s="1829"/>
      <c r="G1" s="1829"/>
      <c r="H1" s="1829"/>
      <c r="I1" s="1829"/>
      <c r="J1" s="1829"/>
      <c r="K1" s="5"/>
      <c r="L1" s="5"/>
      <c r="M1" s="5"/>
      <c r="N1" s="5"/>
      <c r="O1" s="5"/>
      <c r="P1" s="5"/>
      <c r="Q1" s="5"/>
      <c r="R1" s="5"/>
      <c r="S1" s="5"/>
      <c r="T1" s="5"/>
      <c r="U1" s="5"/>
      <c r="V1" s="5"/>
      <c r="W1" s="5"/>
    </row>
    <row r="2" spans="1:23" s="13" customFormat="1" ht="27" customHeight="1">
      <c r="A2" s="72" t="s">
        <v>855</v>
      </c>
      <c r="B2" s="2"/>
      <c r="C2" s="2"/>
      <c r="D2" s="2"/>
      <c r="E2" s="2"/>
      <c r="F2" s="2"/>
      <c r="G2" s="2"/>
      <c r="H2" s="2"/>
      <c r="I2" s="2"/>
      <c r="J2" s="2"/>
      <c r="K2" s="2"/>
      <c r="L2" s="2"/>
      <c r="M2" s="5"/>
      <c r="N2" s="5"/>
      <c r="O2" s="5"/>
      <c r="P2" s="5"/>
      <c r="Q2" s="5"/>
      <c r="R2" s="5"/>
      <c r="S2" s="5"/>
      <c r="T2" s="5"/>
      <c r="U2" s="5"/>
      <c r="V2" s="5"/>
      <c r="W2" s="5"/>
    </row>
    <row r="3" spans="1:23" s="25" customFormat="1" ht="27.75" customHeight="1">
      <c r="A3" s="1672" t="s">
        <v>879</v>
      </c>
      <c r="B3" s="1672"/>
      <c r="C3" s="1762" t="str">
        <f>IF('LFA_Programmatic Progress_1A'!C7="","",'LFA_Programmatic Progress_1A'!C7)</f>
        <v>SLV-910-G08-T</v>
      </c>
      <c r="D3" s="1762"/>
      <c r="E3" s="1762"/>
      <c r="F3" s="1762"/>
      <c r="G3" s="75"/>
      <c r="H3" s="75"/>
      <c r="I3" s="75"/>
      <c r="J3" s="75"/>
      <c r="K3" s="75"/>
      <c r="L3" s="75"/>
      <c r="M3" s="295"/>
      <c r="N3" s="295"/>
      <c r="O3" s="295"/>
      <c r="P3" s="295"/>
      <c r="Q3" s="295"/>
      <c r="R3" s="295"/>
      <c r="S3" s="295"/>
      <c r="T3" s="295"/>
      <c r="U3" s="295"/>
      <c r="V3" s="295"/>
      <c r="W3" s="295"/>
    </row>
    <row r="4" spans="1:23" s="25" customFormat="1" ht="15" customHeight="1">
      <c r="A4" s="90" t="s">
        <v>856</v>
      </c>
      <c r="B4" s="91"/>
      <c r="C4" s="92" t="s">
        <v>857</v>
      </c>
      <c r="D4" s="122" t="str">
        <f>IF('LFA_Programmatic Progress_1A'!D12="Select","",'LFA_Programmatic Progress_1A'!D12)</f>
        <v>Semestral</v>
      </c>
      <c r="E4" s="93" t="s">
        <v>858</v>
      </c>
      <c r="F4" s="123">
        <f>IF('LFA_Programmatic Progress_1A'!F12="Select","",'LFA_Programmatic Progress_1A'!F12)</f>
        <v>10</v>
      </c>
      <c r="G4" s="75"/>
      <c r="H4" s="75"/>
      <c r="I4" s="75"/>
      <c r="J4" s="75"/>
      <c r="K4" s="75"/>
      <c r="L4" s="75"/>
      <c r="M4" s="295"/>
      <c r="N4" s="295"/>
      <c r="O4" s="295"/>
      <c r="P4" s="295"/>
      <c r="Q4" s="295"/>
      <c r="R4" s="295"/>
      <c r="S4" s="295"/>
      <c r="T4" s="295"/>
      <c r="U4" s="295"/>
      <c r="V4" s="295"/>
      <c r="W4" s="295"/>
    </row>
    <row r="5" spans="1:23" s="25" customFormat="1" ht="15" customHeight="1">
      <c r="A5" s="94" t="s">
        <v>859</v>
      </c>
      <c r="B5" s="95"/>
      <c r="C5" s="96" t="s">
        <v>860</v>
      </c>
      <c r="D5" s="124">
        <f>IF('LFA_Programmatic Progress_1A'!D13="","",'LFA_Programmatic Progress_1A'!D13)</f>
        <v>42005</v>
      </c>
      <c r="E5" s="93" t="s">
        <v>542</v>
      </c>
      <c r="F5" s="125">
        <f>IF('LFA_Programmatic Progress_1A'!F13="","",'LFA_Programmatic Progress_1A'!F13)</f>
        <v>42185</v>
      </c>
      <c r="G5" s="75"/>
      <c r="H5" s="75"/>
      <c r="I5" s="75"/>
      <c r="J5" s="75"/>
      <c r="K5" s="75"/>
      <c r="L5" s="75"/>
      <c r="M5" s="295"/>
      <c r="N5" s="295"/>
      <c r="O5" s="295"/>
      <c r="P5" s="295"/>
      <c r="Q5" s="295"/>
      <c r="R5" s="295"/>
      <c r="S5" s="295"/>
      <c r="T5" s="295"/>
      <c r="U5" s="295"/>
      <c r="V5" s="295"/>
      <c r="W5" s="295"/>
    </row>
    <row r="6" spans="1:23" s="25" customFormat="1" ht="15" customHeight="1">
      <c r="A6" s="97" t="s">
        <v>861</v>
      </c>
      <c r="B6" s="99"/>
      <c r="C6" s="1763">
        <f>IF('LFA_Programmatic Progress_1A'!C14="Select","",'LFA_Programmatic Progress_1A'!C14)</f>
        <v>10</v>
      </c>
      <c r="D6" s="1763"/>
      <c r="E6" s="1763"/>
      <c r="F6" s="1763"/>
      <c r="G6" s="75"/>
      <c r="H6" s="75"/>
      <c r="I6" s="75"/>
      <c r="J6" s="75"/>
      <c r="K6" s="75"/>
      <c r="L6" s="75"/>
      <c r="M6" s="295"/>
      <c r="N6" s="295"/>
      <c r="O6" s="295"/>
      <c r="P6" s="295"/>
      <c r="Q6" s="295"/>
      <c r="R6" s="295"/>
      <c r="S6" s="295"/>
      <c r="T6" s="295"/>
      <c r="U6" s="295"/>
      <c r="V6" s="295"/>
      <c r="W6" s="295"/>
    </row>
    <row r="7" spans="1:23" s="25" customFormat="1" ht="9" customHeight="1">
      <c r="A7" s="763"/>
      <c r="B7" s="764"/>
      <c r="C7" s="28"/>
      <c r="D7" s="765"/>
      <c r="E7" s="766"/>
      <c r="F7" s="28"/>
      <c r="G7" s="24"/>
      <c r="H7" s="24"/>
      <c r="I7" s="767"/>
      <c r="J7" s="767"/>
      <c r="K7" s="75"/>
      <c r="L7" s="75"/>
      <c r="M7" s="295"/>
      <c r="N7" s="295"/>
      <c r="O7" s="295"/>
      <c r="P7" s="295"/>
      <c r="Q7" s="295"/>
      <c r="R7" s="295"/>
      <c r="S7" s="295"/>
      <c r="T7" s="295"/>
      <c r="U7" s="295"/>
      <c r="V7" s="295"/>
      <c r="W7" s="295"/>
    </row>
    <row r="8" spans="1:23" s="25" customFormat="1" ht="19.5" customHeight="1">
      <c r="A8" s="768" t="s">
        <v>892</v>
      </c>
      <c r="B8" s="769"/>
      <c r="C8" s="770"/>
      <c r="D8" s="770"/>
      <c r="E8" s="771"/>
      <c r="F8" s="772"/>
      <c r="G8" s="773"/>
      <c r="H8" s="773"/>
      <c r="I8" s="774"/>
      <c r="J8" s="554"/>
      <c r="K8" s="75"/>
      <c r="L8" s="75"/>
      <c r="M8" s="295"/>
      <c r="N8" s="295"/>
      <c r="O8" s="295"/>
      <c r="P8" s="295"/>
      <c r="Q8" s="295"/>
      <c r="R8" s="295"/>
      <c r="S8" s="295"/>
      <c r="T8" s="295"/>
      <c r="U8" s="295"/>
      <c r="V8" s="295"/>
      <c r="W8" s="295"/>
    </row>
    <row r="9" spans="1:23" s="778" customFormat="1" ht="5.25" customHeight="1">
      <c r="A9" s="775"/>
      <c r="B9" s="776"/>
      <c r="C9" s="777"/>
      <c r="D9" s="777"/>
      <c r="E9" s="777"/>
      <c r="F9" s="777"/>
      <c r="I9" s="777"/>
      <c r="J9" s="776"/>
      <c r="L9" s="779"/>
      <c r="M9" s="780"/>
      <c r="N9" s="780"/>
      <c r="O9" s="780"/>
      <c r="P9" s="780"/>
      <c r="Q9" s="780"/>
      <c r="R9" s="780"/>
      <c r="S9" s="780"/>
      <c r="T9" s="780"/>
      <c r="U9" s="780"/>
      <c r="V9" s="780"/>
      <c r="W9" s="780"/>
    </row>
    <row r="10" spans="1:23" s="357" customFormat="1" ht="24.75" customHeight="1">
      <c r="A10" s="1687" t="s">
        <v>893</v>
      </c>
      <c r="B10" s="1687"/>
      <c r="C10" s="1687"/>
      <c r="D10" s="1687"/>
      <c r="E10" s="1687"/>
      <c r="F10" s="1687"/>
      <c r="G10" s="1687"/>
      <c r="H10" s="1687"/>
      <c r="I10" s="1687"/>
      <c r="J10" s="1687"/>
      <c r="K10" s="1687"/>
      <c r="L10" s="1687"/>
      <c r="M10" s="145"/>
      <c r="N10" s="145"/>
      <c r="O10" s="145"/>
      <c r="P10" s="145"/>
      <c r="Q10" s="145"/>
      <c r="R10" s="145"/>
      <c r="S10" s="145"/>
      <c r="T10" s="145"/>
      <c r="U10" s="145"/>
      <c r="V10" s="145"/>
      <c r="W10" s="145"/>
    </row>
    <row r="11" spans="1:23" s="357" customFormat="1" ht="27" customHeight="1">
      <c r="A11" s="1879" t="s">
        <v>894</v>
      </c>
      <c r="B11" s="1879"/>
      <c r="C11" s="1879"/>
      <c r="D11" s="1879"/>
      <c r="E11" s="1879"/>
      <c r="F11" s="1879"/>
      <c r="G11" s="1879"/>
      <c r="H11" s="1879"/>
      <c r="I11" s="1879"/>
      <c r="J11" s="1879"/>
      <c r="K11" s="1879"/>
      <c r="L11" s="1879"/>
      <c r="M11" s="145"/>
      <c r="N11" s="145"/>
      <c r="O11" s="145"/>
      <c r="P11" s="145"/>
      <c r="Q11" s="145"/>
      <c r="R11" s="145"/>
      <c r="S11" s="145"/>
      <c r="T11" s="145"/>
      <c r="U11" s="145"/>
      <c r="V11" s="145"/>
      <c r="W11" s="145"/>
    </row>
    <row r="12" spans="1:23" s="782" customFormat="1" ht="41.25" customHeight="1">
      <c r="A12" s="1880" t="s">
        <v>895</v>
      </c>
      <c r="B12" s="1880"/>
      <c r="C12" s="1880"/>
      <c r="D12" s="1880"/>
      <c r="E12" s="1880"/>
      <c r="F12" s="1880"/>
      <c r="G12" s="1880"/>
      <c r="H12" s="1880"/>
      <c r="I12" s="1880"/>
      <c r="J12" s="1880"/>
      <c r="K12" s="1880"/>
      <c r="L12" s="1880"/>
      <c r="M12" s="781"/>
      <c r="N12" s="781"/>
      <c r="O12" s="781"/>
      <c r="P12" s="781"/>
      <c r="Q12" s="781"/>
      <c r="R12" s="781"/>
      <c r="S12" s="781"/>
      <c r="T12" s="781"/>
      <c r="U12" s="781"/>
      <c r="V12" s="781"/>
      <c r="W12" s="781"/>
    </row>
    <row r="13" spans="1:23" s="782" customFormat="1" ht="31.5" customHeight="1">
      <c r="A13" s="1881" t="s">
        <v>896</v>
      </c>
      <c r="B13" s="1881"/>
      <c r="C13" s="1881"/>
      <c r="D13" s="1881"/>
      <c r="E13" s="1881"/>
      <c r="F13" s="1881"/>
      <c r="G13" s="1881"/>
      <c r="H13" s="1881"/>
      <c r="I13" s="1881"/>
      <c r="J13" s="1881"/>
      <c r="K13" s="1881"/>
      <c r="L13" s="1881"/>
      <c r="M13" s="781"/>
      <c r="N13" s="781"/>
      <c r="O13" s="781"/>
      <c r="P13" s="781"/>
      <c r="Q13" s="781"/>
      <c r="R13" s="781"/>
      <c r="S13" s="781"/>
      <c r="T13" s="781"/>
      <c r="U13" s="781"/>
      <c r="V13" s="781"/>
      <c r="W13" s="781"/>
    </row>
    <row r="14" spans="1:23" s="788" customFormat="1" ht="23.25" customHeight="1">
      <c r="A14" s="783"/>
      <c r="B14" s="784"/>
      <c r="C14" s="785"/>
      <c r="D14" s="786" t="s">
        <v>897</v>
      </c>
      <c r="E14" s="1882" t="s">
        <v>898</v>
      </c>
      <c r="F14" s="1882"/>
      <c r="G14" s="1882"/>
      <c r="H14" s="1882"/>
      <c r="I14" s="1882"/>
      <c r="J14" s="1882"/>
      <c r="K14" s="1882"/>
      <c r="L14" s="1882"/>
      <c r="M14" s="787"/>
      <c r="N14" s="787"/>
      <c r="O14" s="787"/>
      <c r="P14" s="787"/>
      <c r="Q14" s="787"/>
      <c r="R14" s="787"/>
      <c r="S14" s="787"/>
      <c r="T14" s="787"/>
      <c r="U14" s="787"/>
      <c r="V14" s="787"/>
      <c r="W14" s="787"/>
    </row>
    <row r="15" spans="1:23" s="13" customFormat="1" ht="47.25" customHeight="1">
      <c r="A15" s="1883" t="s">
        <v>899</v>
      </c>
      <c r="B15" s="1883"/>
      <c r="C15" s="1883"/>
      <c r="D15" s="789" t="s">
        <v>900</v>
      </c>
      <c r="E15" s="789" t="s">
        <v>900</v>
      </c>
      <c r="F15" s="1884" t="s">
        <v>901</v>
      </c>
      <c r="G15" s="1884"/>
      <c r="H15" s="1884"/>
      <c r="I15" s="1884"/>
      <c r="J15" s="1884"/>
      <c r="K15" s="1884"/>
      <c r="L15" s="1884"/>
      <c r="M15" s="50"/>
      <c r="N15" s="50"/>
      <c r="O15" s="50"/>
      <c r="P15" s="50"/>
      <c r="Q15" s="50"/>
      <c r="R15" s="50"/>
      <c r="S15" s="50"/>
      <c r="T15" s="50"/>
      <c r="U15" s="50"/>
      <c r="V15" s="50"/>
      <c r="W15" s="50"/>
    </row>
    <row r="16" spans="1:23" s="101" customFormat="1" ht="41.25" customHeight="1">
      <c r="A16" s="1885" t="str">
        <f>IF('PR_Grant Management_2'!A14="","",'PR_Grant Management_2'!A14)</f>
        <v>a. El  Receptor Principal facilitará al Fondo Mundial,  un documento confirmando  la cuenta bancaria en la que los fondos de subvención se  desembolsarán según se indica en la casilla 10 de la hoja o caratula del acuerdo de subvención. </v>
      </c>
      <c r="B16" s="1885"/>
      <c r="C16" s="1885"/>
      <c r="D16" s="790" t="str">
        <f>IF('PR_Grant Management_2'!F14="","",'PR_Grant Management_2'!F14)</f>
        <v>Cumplidas</v>
      </c>
      <c r="E16" s="791"/>
      <c r="F16" s="1886"/>
      <c r="G16" s="1886"/>
      <c r="H16" s="1886"/>
      <c r="I16" s="1886"/>
      <c r="J16" s="1886"/>
      <c r="K16" s="1886"/>
      <c r="L16" s="1886"/>
      <c r="M16" s="5"/>
      <c r="N16" s="5"/>
      <c r="O16" s="5"/>
      <c r="P16" s="5"/>
      <c r="Q16" s="5"/>
      <c r="R16" s="5"/>
      <c r="S16" s="5"/>
      <c r="T16" s="5"/>
      <c r="U16" s="5"/>
      <c r="V16" s="5"/>
      <c r="W16" s="5"/>
    </row>
    <row r="17" spans="1:23" s="101" customFormat="1" ht="41.25" customHeight="1">
      <c r="A17" s="1887" t="str">
        <f>IF('PR_Grant Management_2'!A15="","",'PR_Grant Management_2'!A15)</f>
        <v>b. El Receptor Principal entregará al Fondo Mundial un documento en el que constan los nombres, títulos y firmas de las personas delegadas y autorizadas  por el Representante del Beneficiario Principal para firmar las solicitudes de  desembolso, según el artículo 10 de la Norma Términos y condiciones del presente en el Acuerdo de Subvención y, en el caso de una solicitud de desembolso puede ser firmada por más de una persona, en las condiciones en las que cada uno puede firmar.</v>
      </c>
      <c r="B17" s="1887"/>
      <c r="C17" s="1887"/>
      <c r="D17" s="792" t="str">
        <f>IF('PR_Grant Management_2'!F15="","",'PR_Grant Management_2'!F15)</f>
        <v>Cumplidas</v>
      </c>
      <c r="E17" s="793"/>
      <c r="F17" s="1888"/>
      <c r="G17" s="1888"/>
      <c r="H17" s="1888"/>
      <c r="I17" s="1888"/>
      <c r="J17" s="1888"/>
      <c r="K17" s="1888"/>
      <c r="L17" s="1888"/>
      <c r="M17" s="5"/>
      <c r="N17" s="5"/>
      <c r="O17" s="5"/>
      <c r="P17" s="5"/>
      <c r="Q17" s="5"/>
      <c r="R17" s="5"/>
      <c r="S17" s="5"/>
      <c r="T17" s="5"/>
      <c r="U17" s="5"/>
      <c r="V17" s="5"/>
      <c r="W17" s="5"/>
    </row>
    <row r="18" spans="1:23" s="101" customFormat="1" ht="41.25" customHeight="1">
      <c r="A18" s="1887" t="str">
        <f>IF('PR_Grant Management_2'!A16="","",'PR_Grant Management_2'!A16)</f>
        <v>No más tarde del 31 de octubre de 2010, el Beneficiario Principal proporcionará al Mundial Fondo la actualización Manual de Operaciones para Proyectos del Fondo Mundial ("Manual de Gestión Administrativa-Financiera Proyecto Fondo Global "), en forma y contenido satisfactorios para el Fondo Mundial (el "Manual de Operaciones"). El Manual de Operaciones será aplicable a todas las subvenciones del Fondo Mundial para el cual el Ministerio de Salud del Gobierno de la República de El  Salvador.En el Manual de Operaciones deberá reflejar con precisión los actuales procedimientos del Fondo Mundial y especificar que para las compras por arriba de US $ 500 (Quinientos Dólares de Estados Unidos) se deberá solicitar y evaluar con un mínimo de tres cotizaciones.</v>
      </c>
      <c r="B18" s="1887"/>
      <c r="C18" s="1887"/>
      <c r="D18" s="792" t="str">
        <f>IF('PR_Grant Management_2'!F16="","",'PR_Grant Management_2'!F16)</f>
        <v>Cumplidas</v>
      </c>
      <c r="E18" s="793"/>
      <c r="F18" s="1888"/>
      <c r="G18" s="1888"/>
      <c r="H18" s="1888"/>
      <c r="I18" s="1888"/>
      <c r="J18" s="1888"/>
      <c r="K18" s="1888"/>
      <c r="L18" s="1888"/>
      <c r="M18" s="5"/>
      <c r="N18" s="5"/>
      <c r="O18" s="5"/>
      <c r="P18" s="5"/>
      <c r="Q18" s="5"/>
      <c r="R18" s="5"/>
      <c r="S18" s="5"/>
      <c r="T18" s="5"/>
      <c r="U18" s="5"/>
      <c r="V18" s="5"/>
      <c r="W18" s="5"/>
    </row>
    <row r="19" spans="1:23" s="101" customFormat="1" ht="41.25" customHeight="1">
      <c r="A19" s="1887" t="str">
        <f>IF('PR_Grant Management_2'!A17="","",'PR_Grant Management_2'!A17)</f>
        <v>CP1: a) Plan detallado de Tuberculosis Resistente a Múltiples Fármacos (MDR-TB).</v>
      </c>
      <c r="B19" s="1887"/>
      <c r="C19" s="1887"/>
      <c r="D19" s="792" t="str">
        <f>IF('PR_Grant Management_2'!F17="","",'PR_Grant Management_2'!F17)</f>
        <v>Cumplidas</v>
      </c>
      <c r="E19" s="793"/>
      <c r="F19" s="1888"/>
      <c r="G19" s="1888"/>
      <c r="H19" s="1888"/>
      <c r="I19" s="1888"/>
      <c r="J19" s="1888"/>
      <c r="K19" s="1888"/>
      <c r="L19" s="1888"/>
      <c r="M19" s="5"/>
      <c r="N19" s="5"/>
      <c r="O19" s="5"/>
      <c r="P19" s="5"/>
      <c r="Q19" s="5"/>
      <c r="R19" s="5"/>
      <c r="S19" s="5"/>
      <c r="T19" s="5"/>
      <c r="U19" s="5"/>
      <c r="V19" s="5"/>
      <c r="W19" s="5"/>
    </row>
    <row r="20" spans="1:23" s="101" customFormat="1" ht="41.25" customHeight="1">
      <c r="A20" s="1887" t="str">
        <f>IF('PR_Grant Management_2'!A18="","",'PR_Grant Management_2'!A18)</f>
        <v>CP1: b) Para cada desembolso que incluya fondos destinados a la compra de MDR-TB, entregar cotización (pro - forma invoice) emitida por un Agente procurador delegado por el Comité de Luz Verde.</v>
      </c>
      <c r="B20" s="1887"/>
      <c r="C20" s="1887"/>
      <c r="D20" s="792" t="str">
        <f>IF('PR_Grant Management_2'!F18="","",'PR_Grant Management_2'!F18)</f>
        <v>Cumplidas</v>
      </c>
      <c r="E20" s="793"/>
      <c r="F20" s="1888"/>
      <c r="G20" s="1888"/>
      <c r="H20" s="1888"/>
      <c r="I20" s="1888"/>
      <c r="J20" s="1888"/>
      <c r="K20" s="1888"/>
      <c r="L20" s="1888"/>
      <c r="M20" s="5"/>
      <c r="N20" s="5"/>
      <c r="O20" s="5"/>
      <c r="P20" s="5"/>
      <c r="Q20" s="5"/>
      <c r="R20" s="5"/>
      <c r="S20" s="5"/>
      <c r="T20" s="5"/>
      <c r="U20" s="5"/>
      <c r="V20" s="5"/>
      <c r="W20" s="5"/>
    </row>
    <row r="21" spans="1:23" s="101" customFormat="1" ht="41.25" customHeight="1">
      <c r="A21" s="1887" t="str">
        <f>IF('PR_Grant Management_2'!A19="","",'PR_Grant Management_2'!A19)</f>
        <v>CE1: Pago de US$ 25,000.00 a Comité de Luz Verde</v>
      </c>
      <c r="B21" s="1887"/>
      <c r="C21" s="1887"/>
      <c r="D21" s="792" t="str">
        <f>IF('PR_Grant Management_2'!F19="","",'PR_Grant Management_2'!F19)</f>
        <v>Cumplidas</v>
      </c>
      <c r="E21" s="793"/>
      <c r="F21" s="1888"/>
      <c r="G21" s="1888"/>
      <c r="H21" s="1888"/>
      <c r="I21" s="1888"/>
      <c r="J21" s="1888"/>
      <c r="K21" s="1888"/>
      <c r="L21" s="1888"/>
      <c r="M21" s="5"/>
      <c r="N21" s="5"/>
      <c r="O21" s="5"/>
      <c r="P21" s="5"/>
      <c r="Q21" s="5"/>
      <c r="R21" s="5"/>
      <c r="S21" s="5"/>
      <c r="T21" s="5"/>
      <c r="U21" s="5"/>
      <c r="V21" s="5"/>
      <c r="W21" s="5"/>
    </row>
    <row r="22" spans="1:23" s="101" customFormat="1" ht="41.25" customHeight="1">
      <c r="A22" s="1887" t="str">
        <f>IF('PR_Grant Management_2'!A20="","",'PR_Grant Management_2'!A20)</f>
        <v>CE2: Absorción de recursos humanos.</v>
      </c>
      <c r="B22" s="1887"/>
      <c r="C22" s="1887"/>
      <c r="D22" s="792" t="str">
        <f>IF('PR_Grant Management_2'!F20="","",'PR_Grant Management_2'!F20)</f>
        <v>Sin cumplir - en curso</v>
      </c>
      <c r="E22" s="793"/>
      <c r="F22" s="1888"/>
      <c r="G22" s="1888"/>
      <c r="H22" s="1888"/>
      <c r="I22" s="1888"/>
      <c r="J22" s="1888"/>
      <c r="K22" s="1888"/>
      <c r="L22" s="1888"/>
      <c r="M22" s="5"/>
      <c r="N22" s="5"/>
      <c r="O22" s="5"/>
      <c r="P22" s="5"/>
      <c r="Q22" s="5"/>
      <c r="R22" s="5"/>
      <c r="S22" s="5"/>
      <c r="T22" s="5"/>
      <c r="U22" s="5"/>
      <c r="V22" s="5"/>
      <c r="W22" s="5"/>
    </row>
    <row r="23" spans="1:23" s="101" customFormat="1" ht="41.25" customHeight="1">
      <c r="A23" s="1887" t="str">
        <f>IF('PR_Grant Management_2'!A21="","",'PR_Grant Management_2'!A21)</f>
        <v>CS2: b) No se utilizaran reprogramaciones para financiar la absorción de recursos humanos por parte del RP.</v>
      </c>
      <c r="B23" s="1887"/>
      <c r="C23" s="1887"/>
      <c r="D23" s="792" t="str">
        <f>IF('PR_Grant Management_2'!F21="","",'PR_Grant Management_2'!F21)</f>
        <v>Cumplidas</v>
      </c>
      <c r="E23" s="793"/>
      <c r="F23" s="1888"/>
      <c r="G23" s="1888"/>
      <c r="H23" s="1888"/>
      <c r="I23" s="1888"/>
      <c r="J23" s="1888"/>
      <c r="K23" s="1888"/>
      <c r="L23" s="1888"/>
      <c r="M23" s="5"/>
      <c r="N23" s="5"/>
      <c r="O23" s="5"/>
      <c r="P23" s="5"/>
      <c r="Q23" s="5"/>
      <c r="R23" s="5"/>
      <c r="S23" s="5"/>
      <c r="T23" s="5"/>
      <c r="U23" s="5"/>
      <c r="V23" s="5"/>
      <c r="W23" s="5"/>
    </row>
    <row r="24" spans="1:23" s="101" customFormat="1" ht="41.25" customHeight="1">
      <c r="A24" s="1887">
        <f>IF('PR_Grant Management_2'!A22="","",'PR_Grant Management_2'!A22)</f>
      </c>
      <c r="B24" s="1887"/>
      <c r="C24" s="1887"/>
      <c r="D24" s="792" t="str">
        <f>IF('PR_Grant Management_2'!F22="","",'PR_Grant Management_2'!F22)</f>
        <v>Seleccionar</v>
      </c>
      <c r="E24" s="793"/>
      <c r="F24" s="1888"/>
      <c r="G24" s="1888"/>
      <c r="H24" s="1888"/>
      <c r="I24" s="1888"/>
      <c r="J24" s="1888"/>
      <c r="K24" s="1888"/>
      <c r="L24" s="1888"/>
      <c r="M24" s="5"/>
      <c r="N24" s="5"/>
      <c r="O24" s="5"/>
      <c r="P24" s="5"/>
      <c r="Q24" s="5"/>
      <c r="R24" s="5"/>
      <c r="S24" s="5"/>
      <c r="T24" s="5"/>
      <c r="U24" s="5"/>
      <c r="V24" s="5"/>
      <c r="W24" s="5"/>
    </row>
    <row r="25" spans="1:23" s="101" customFormat="1" ht="41.25" customHeight="1">
      <c r="A25" s="1887">
        <f>IF('PR_Grant Management_2'!A23="","",'PR_Grant Management_2'!A23)</f>
      </c>
      <c r="B25" s="1887"/>
      <c r="C25" s="1887"/>
      <c r="D25" s="792" t="str">
        <f>IF('PR_Grant Management_2'!F23="","",'PR_Grant Management_2'!F23)</f>
        <v>Seleccionar</v>
      </c>
      <c r="E25" s="793"/>
      <c r="F25" s="1888"/>
      <c r="G25" s="1888"/>
      <c r="H25" s="1888"/>
      <c r="I25" s="1888"/>
      <c r="J25" s="1888"/>
      <c r="K25" s="1888"/>
      <c r="L25" s="1888"/>
      <c r="M25" s="5"/>
      <c r="N25" s="5"/>
      <c r="O25" s="5"/>
      <c r="P25" s="5"/>
      <c r="Q25" s="5"/>
      <c r="R25" s="5"/>
      <c r="S25" s="5"/>
      <c r="T25" s="5"/>
      <c r="U25" s="5"/>
      <c r="V25" s="5"/>
      <c r="W25" s="5"/>
    </row>
    <row r="26" spans="1:23" s="101" customFormat="1" ht="41.25" customHeight="1">
      <c r="A26" s="1887">
        <f>IF('PR_Grant Management_2'!A24="","",'PR_Grant Management_2'!A24)</f>
      </c>
      <c r="B26" s="1887"/>
      <c r="C26" s="1887"/>
      <c r="D26" s="792" t="str">
        <f>IF('PR_Grant Management_2'!F24="","",'PR_Grant Management_2'!F24)</f>
        <v>Seleccionar</v>
      </c>
      <c r="E26" s="793"/>
      <c r="F26" s="1888"/>
      <c r="G26" s="1888"/>
      <c r="H26" s="1888"/>
      <c r="I26" s="1888"/>
      <c r="J26" s="1888"/>
      <c r="K26" s="1888"/>
      <c r="L26" s="1888"/>
      <c r="M26" s="5"/>
      <c r="N26" s="5"/>
      <c r="O26" s="5"/>
      <c r="P26" s="5"/>
      <c r="Q26" s="5"/>
      <c r="R26" s="5"/>
      <c r="S26" s="5"/>
      <c r="T26" s="5"/>
      <c r="U26" s="5"/>
      <c r="V26" s="5"/>
      <c r="W26" s="5"/>
    </row>
    <row r="27" spans="1:23" s="101" customFormat="1" ht="13.5" customHeight="1">
      <c r="A27" s="1889">
        <f>IF('PR_Grant Management_2'!A25="","",'PR_Grant Management_2'!A25)</f>
      </c>
      <c r="B27" s="1889"/>
      <c r="C27" s="1889"/>
      <c r="D27" s="1889"/>
      <c r="E27" s="1889"/>
      <c r="F27" s="1889"/>
      <c r="G27" s="1889"/>
      <c r="H27" s="1889"/>
      <c r="I27" s="1889"/>
      <c r="J27" s="1889"/>
      <c r="K27" s="1889"/>
      <c r="L27" s="1889"/>
      <c r="M27" s="5"/>
      <c r="N27" s="5"/>
      <c r="O27" s="5"/>
      <c r="P27" s="5"/>
      <c r="Q27" s="5"/>
      <c r="R27" s="5"/>
      <c r="S27" s="5"/>
      <c r="T27" s="5"/>
      <c r="U27" s="5"/>
      <c r="V27" s="5"/>
      <c r="W27" s="5"/>
    </row>
    <row r="28" spans="1:23" s="101" customFormat="1" ht="41.25" customHeight="1">
      <c r="A28" s="1887">
        <f>IF('PR_Grant Management_2'!A26="","",'PR_Grant Management_2'!A26)</f>
      </c>
      <c r="B28" s="1887"/>
      <c r="C28" s="1887"/>
      <c r="D28" s="792" t="str">
        <f>IF('PR_Grant Management_2'!F26="","",'PR_Grant Management_2'!F26)</f>
        <v>Seleccionar</v>
      </c>
      <c r="E28" s="793"/>
      <c r="F28" s="1888"/>
      <c r="G28" s="1888"/>
      <c r="H28" s="1888"/>
      <c r="I28" s="1888"/>
      <c r="J28" s="1888"/>
      <c r="K28" s="1888"/>
      <c r="L28" s="1888"/>
      <c r="M28" s="5"/>
      <c r="N28" s="5"/>
      <c r="O28" s="5"/>
      <c r="P28" s="5"/>
      <c r="Q28" s="5"/>
      <c r="R28" s="5"/>
      <c r="S28" s="5"/>
      <c r="T28" s="5"/>
      <c r="U28" s="5"/>
      <c r="V28" s="5"/>
      <c r="W28" s="5"/>
    </row>
    <row r="29" spans="1:23" s="101" customFormat="1" ht="41.25" customHeight="1">
      <c r="A29" s="1887">
        <f>IF('PR_Grant Management_2'!A27="","",'PR_Grant Management_2'!A27)</f>
      </c>
      <c r="B29" s="1887"/>
      <c r="C29" s="1887"/>
      <c r="D29" s="792" t="str">
        <f>IF('PR_Grant Management_2'!F27="","",'PR_Grant Management_2'!F27)</f>
        <v>Seleccionar</v>
      </c>
      <c r="E29" s="793"/>
      <c r="F29" s="1888"/>
      <c r="G29" s="1888"/>
      <c r="H29" s="1888"/>
      <c r="I29" s="1888"/>
      <c r="J29" s="1888"/>
      <c r="K29" s="1888"/>
      <c r="L29" s="1888"/>
      <c r="M29" s="5"/>
      <c r="N29" s="5"/>
      <c r="O29" s="5"/>
      <c r="P29" s="5"/>
      <c r="Q29" s="5"/>
      <c r="R29" s="5"/>
      <c r="S29" s="5"/>
      <c r="T29" s="5"/>
      <c r="U29" s="5"/>
      <c r="V29" s="5"/>
      <c r="W29" s="5"/>
    </row>
    <row r="30" spans="1:23" s="101" customFormat="1" ht="41.25" customHeight="1">
      <c r="A30" s="1887">
        <f>IF('PR_Grant Management_2'!A28="","",'PR_Grant Management_2'!A28)</f>
      </c>
      <c r="B30" s="1887"/>
      <c r="C30" s="1887"/>
      <c r="D30" s="792" t="str">
        <f>IF('PR_Grant Management_2'!F28="","",'PR_Grant Management_2'!F28)</f>
        <v>Seleccionar</v>
      </c>
      <c r="E30" s="793"/>
      <c r="F30" s="1888"/>
      <c r="G30" s="1888"/>
      <c r="H30" s="1888"/>
      <c r="I30" s="1888"/>
      <c r="J30" s="1888"/>
      <c r="K30" s="1888"/>
      <c r="L30" s="1888"/>
      <c r="M30" s="5"/>
      <c r="N30" s="5"/>
      <c r="O30" s="5"/>
      <c r="P30" s="5"/>
      <c r="Q30" s="5"/>
      <c r="R30" s="5"/>
      <c r="S30" s="5"/>
      <c r="T30" s="5"/>
      <c r="U30" s="5"/>
      <c r="V30" s="5"/>
      <c r="W30" s="5"/>
    </row>
    <row r="31" spans="1:12" s="113" customFormat="1" ht="17.25" customHeight="1">
      <c r="A31" s="794"/>
      <c r="B31" s="795"/>
      <c r="C31" s="796"/>
      <c r="D31" s="795"/>
      <c r="E31" s="795"/>
      <c r="F31" s="795"/>
      <c r="G31" s="796"/>
      <c r="H31" s="796"/>
      <c r="I31" s="794"/>
      <c r="J31" s="796"/>
      <c r="K31" s="797"/>
      <c r="L31" s="796"/>
    </row>
    <row r="32" spans="1:23" s="101" customFormat="1" ht="25.5" customHeight="1">
      <c r="A32" s="1687" t="s">
        <v>902</v>
      </c>
      <c r="B32" s="1687"/>
      <c r="C32" s="1687"/>
      <c r="D32" s="1687"/>
      <c r="E32" s="1687"/>
      <c r="F32" s="1687"/>
      <c r="G32" s="1687"/>
      <c r="H32" s="1687"/>
      <c r="I32" s="1687"/>
      <c r="J32" s="1687"/>
      <c r="K32" s="1687"/>
      <c r="L32" s="1687"/>
      <c r="M32" s="5"/>
      <c r="N32" s="5"/>
      <c r="O32" s="5"/>
      <c r="P32" s="5"/>
      <c r="Q32" s="5"/>
      <c r="R32" s="5"/>
      <c r="S32" s="5"/>
      <c r="T32" s="5"/>
      <c r="U32" s="5"/>
      <c r="V32" s="5"/>
      <c r="W32" s="5"/>
    </row>
    <row r="33" spans="1:23" s="101" customFormat="1" ht="5.25" customHeight="1">
      <c r="A33" s="114"/>
      <c r="B33" s="115"/>
      <c r="C33" s="115"/>
      <c r="D33" s="115"/>
      <c r="E33" s="115"/>
      <c r="F33" s="115"/>
      <c r="G33" s="115"/>
      <c r="H33" s="115"/>
      <c r="I33" s="115"/>
      <c r="J33" s="115"/>
      <c r="K33" s="115"/>
      <c r="L33" s="115"/>
      <c r="M33" s="5"/>
      <c r="N33" s="5"/>
      <c r="O33" s="5"/>
      <c r="P33" s="5"/>
      <c r="Q33" s="5"/>
      <c r="R33" s="5"/>
      <c r="S33" s="5"/>
      <c r="T33" s="5"/>
      <c r="U33" s="5"/>
      <c r="V33" s="5"/>
      <c r="W33" s="5"/>
    </row>
    <row r="34" spans="1:23" s="101" customFormat="1" ht="24" customHeight="1">
      <c r="A34" s="1890" t="s">
        <v>903</v>
      </c>
      <c r="B34" s="1890"/>
      <c r="C34" s="1890"/>
      <c r="D34" s="1890"/>
      <c r="E34" s="1890"/>
      <c r="F34" s="1890"/>
      <c r="G34" s="1890"/>
      <c r="H34" s="1890"/>
      <c r="I34" s="1890"/>
      <c r="J34" s="1890"/>
      <c r="K34" s="1890"/>
      <c r="L34" s="1890"/>
      <c r="M34" s="5"/>
      <c r="N34" s="5"/>
      <c r="O34" s="5"/>
      <c r="P34" s="5"/>
      <c r="Q34" s="5"/>
      <c r="R34" s="5"/>
      <c r="S34" s="5"/>
      <c r="T34" s="5"/>
      <c r="U34" s="5"/>
      <c r="V34" s="5"/>
      <c r="W34" s="5"/>
    </row>
    <row r="35" spans="1:23" s="101" customFormat="1" ht="42" customHeight="1">
      <c r="A35" s="1891" t="s">
        <v>904</v>
      </c>
      <c r="B35" s="1891"/>
      <c r="C35" s="1891"/>
      <c r="D35" s="1892" t="s">
        <v>905</v>
      </c>
      <c r="E35" s="1892"/>
      <c r="F35" s="1892"/>
      <c r="G35" s="1892"/>
      <c r="H35" s="1892"/>
      <c r="I35" s="1892"/>
      <c r="J35" s="1892"/>
      <c r="K35" s="1892"/>
      <c r="L35" s="1892"/>
      <c r="M35" s="5"/>
      <c r="N35" s="5"/>
      <c r="O35" s="5"/>
      <c r="P35" s="5"/>
      <c r="Q35" s="5"/>
      <c r="R35" s="5"/>
      <c r="S35" s="5"/>
      <c r="T35" s="5"/>
      <c r="U35" s="5"/>
      <c r="V35" s="5"/>
      <c r="W35" s="5"/>
    </row>
    <row r="36" spans="1:23" s="101" customFormat="1" ht="40.5" customHeight="1">
      <c r="A36" s="1893" t="str">
        <f>IF('PR_Grant Management_2'!A34="","",'PR_Grant Management_2'!A34)</f>
        <v>MG: Desglose de Diagnostico
El RP no ha reportado nuevamente los datos desagregados de los casos detectados por los nuevos métodos de diagnóstico. Esto es el caso para los indicadores 2.1, 3.2 y 4.1.
Segun lo indica el Marco de Desempeno, los resultados de los indicadores 2.1 y 3.2 deberan reportarse desagregados por metodo de diagnostico y especificar cuales han sido detectados por GeneXpert.</v>
      </c>
      <c r="B36" s="1893"/>
      <c r="C36" s="1893"/>
      <c r="D36" s="1894"/>
      <c r="E36" s="1894"/>
      <c r="F36" s="1894"/>
      <c r="G36" s="1894"/>
      <c r="H36" s="1894"/>
      <c r="I36" s="1894"/>
      <c r="J36" s="1894"/>
      <c r="K36" s="1894"/>
      <c r="L36" s="1894"/>
      <c r="M36" s="5"/>
      <c r="N36" s="5"/>
      <c r="O36" s="5"/>
      <c r="P36" s="5"/>
      <c r="Q36" s="5"/>
      <c r="R36" s="5"/>
      <c r="S36" s="5"/>
      <c r="T36" s="5"/>
      <c r="U36" s="5"/>
      <c r="V36" s="5"/>
      <c r="W36" s="5"/>
    </row>
    <row r="37" spans="1:23" s="101" customFormat="1" ht="40.5" customHeight="1">
      <c r="A37" s="1893" t="str">
        <f>IF('PR_Grant Management_2'!A35="","",'PR_Grant Management_2'!A35)</f>
        <v>MG: Datos desagregados por los 30 municipios priorizados: 
Para los indicadores 3.2 y 3.3 no pudieron ser verificados ya que el RP reporto datos nacionales y la información consolidada del indicador no esta siendo reportada desagregada por los 30 municipios priorizados como lo establece el Marco de Desempeño. Las regiones han tenido confusión en reportar poblaciones de otros municipios diferentes al de la Clínica de Atención Integral. Se evidencia que hay un subregistro de la información en el libro de descarte, que es la fuente primaria, donde debe anotarse el caso del municipio priorizado. Se espera que con la adquisición de Equipo de Computo con ahorros de la subvención de VIH, se supere esta situación. 
Solicitamos que el reporte en próximos PU y PUDR se realice solo para las áreas priorizadas por la subvención de tuberculosis.</v>
      </c>
      <c r="B37" s="1893"/>
      <c r="C37" s="1893"/>
      <c r="D37" s="1894"/>
      <c r="E37" s="1894"/>
      <c r="F37" s="1894"/>
      <c r="G37" s="1894"/>
      <c r="H37" s="1894"/>
      <c r="I37" s="1894"/>
      <c r="J37" s="1894"/>
      <c r="K37" s="1894"/>
      <c r="L37" s="1894"/>
      <c r="M37" s="5"/>
      <c r="N37" s="5"/>
      <c r="O37" s="5"/>
      <c r="P37" s="5"/>
      <c r="Q37" s="5"/>
      <c r="R37" s="5"/>
      <c r="S37" s="5"/>
      <c r="T37" s="5"/>
      <c r="U37" s="5"/>
      <c r="V37" s="5"/>
      <c r="W37" s="5"/>
    </row>
    <row r="38" spans="1:23" s="101" customFormat="1" ht="40.5" customHeight="1">
      <c r="A38" s="1893" t="str">
        <f>IF('PR_Grant Management_2'!A36="","",'PR_Grant Management_2'!A36)</f>
        <v>MG: Riesgo de vencimiento de PASER: 
En Progreso.
En seguimiento a lo reportado en el periodo anterior, de acuerdo al consumo promedio del producto existe el riesgo del vencimiento (Febrero 2015) que puede ocasionar una necesidad de medicamentos. El RP ha solicitado ayuda a OPS pero no se sabe el estatus actual de dicha comunicacion.
Se recomienda que el RP debe dar seguimiento a los consumos y evitar el vencimiento del producto. Ademas, debe dar seguimiento con OPS para resolver este tema.</v>
      </c>
      <c r="B38" s="1893"/>
      <c r="C38" s="1893"/>
      <c r="D38" s="1894"/>
      <c r="E38" s="1894"/>
      <c r="F38" s="1894"/>
      <c r="G38" s="1894"/>
      <c r="H38" s="1894"/>
      <c r="I38" s="1894"/>
      <c r="J38" s="1894"/>
      <c r="K38" s="1894"/>
      <c r="L38" s="1894"/>
      <c r="M38" s="5"/>
      <c r="N38" s="5"/>
      <c r="O38" s="5"/>
      <c r="P38" s="5"/>
      <c r="Q38" s="5"/>
      <c r="R38" s="5"/>
      <c r="S38" s="5"/>
      <c r="T38" s="5"/>
      <c r="U38" s="5"/>
      <c r="V38" s="5"/>
      <c r="W38" s="5"/>
    </row>
    <row r="39" spans="1:23" s="101" customFormat="1" ht="40.5" customHeight="1">
      <c r="A39" s="1893" t="str">
        <f>IF('PR_Grant Management_2'!A37="","",'PR_Grant Management_2'!A37)</f>
        <v>MG 5: Reubicación de AUS dentro de Equipos Comunitarios:
No Cumplida. 
En este semestre, el resultado ha incrementado de 16 a 27 casos comunitarios; sin embargo el mismo sigue muy por abajo de la meta. El RP ha reportado que el bajo desempeño se ha visto afectado por la violencia social relacionada con las maras en estos municipios. Esta explicación sigue siendo insuficiente para asegurar que la estrategia de la próxima subvención sea mas efectiva en la captación de casos.
RECOMENDACIONES.
Dentro de la nueva subvención, se solicita contar con una estrategia clara para abordar las limitantes observadas en relación con los AUS, asi como con un sistema de información que permita registrar los casos captados o referidos por diferentes actores (p.e. ECOS, ONGs, etc.).
FECHA LIMITE: Antes de la firma de la nueva subvención.</v>
      </c>
      <c r="B39" s="1893"/>
      <c r="C39" s="1893"/>
      <c r="D39" s="1894"/>
      <c r="E39" s="1894"/>
      <c r="F39" s="1894"/>
      <c r="G39" s="1894"/>
      <c r="H39" s="1894"/>
      <c r="I39" s="1894"/>
      <c r="J39" s="1894"/>
      <c r="K39" s="1894"/>
      <c r="L39" s="1894"/>
      <c r="M39" s="5"/>
      <c r="N39" s="5"/>
      <c r="O39" s="5"/>
      <c r="P39" s="5"/>
      <c r="Q39" s="5"/>
      <c r="R39" s="5"/>
      <c r="S39" s="5"/>
      <c r="T39" s="5"/>
      <c r="U39" s="5"/>
      <c r="V39" s="5"/>
      <c r="W39" s="5"/>
    </row>
    <row r="40" spans="1:23" s="101" customFormat="1" ht="40.5" customHeight="1">
      <c r="A40" s="1893" t="str">
        <f>IF('PR_Grant Management_2'!A38="","",'PR_Grant Management_2'!A38)</f>
        <v>MG 6: Indicador 3.2, relativo a pacientes con VIH a los que se hizo descarte de TB:
No Cumplida.
Los resultados en el PU de TB mejoraron en calidad vs los presentados antes por la subvención de VIH; sin embargo, están incompletos (al menos cinco de veinte clinicas TAR no reportaron la información para estos indicadores).
RECOMENDACIONES.
- Se solicita entregar la información completa y final para el periodo, y reportar la del próximo periodo, de acuerdo a la definición del marco de desempeño.
- Se sugiere estandarizar los formatos para la recolección de información desde el Libro de Descarte, socializar instructivos sobre el correcto reporteo del indicador y capacitar al personal de salud sobre el mismo, y establecer fechas límites para el reporte desde las Clínicas de Atención Integral. Se solicita proporcionar un informe conjunto del PYNTER y PNS sobre el progreso de estas u otras medidas para mejorar el tamizaje y registro de información.
FECHA LIMITE: Se verificarán con el próximo PU.</v>
      </c>
      <c r="B40" s="1893"/>
      <c r="C40" s="1893"/>
      <c r="D40" s="1894"/>
      <c r="E40" s="1894"/>
      <c r="F40" s="1894"/>
      <c r="G40" s="1894"/>
      <c r="H40" s="1894"/>
      <c r="I40" s="1894"/>
      <c r="J40" s="1894"/>
      <c r="K40" s="1894"/>
      <c r="L40" s="1894"/>
      <c r="M40" s="5"/>
      <c r="N40" s="5"/>
      <c r="O40" s="5"/>
      <c r="P40" s="5"/>
      <c r="Q40" s="5"/>
      <c r="R40" s="5"/>
      <c r="S40" s="5"/>
      <c r="T40" s="5"/>
      <c r="U40" s="5"/>
      <c r="V40" s="5"/>
      <c r="W40" s="5"/>
    </row>
    <row r="41" spans="1:23" s="101" customFormat="1" ht="40.5" customHeight="1">
      <c r="A41" s="1893" t="str">
        <f>IF('PR_Grant Management_2'!A39="","",'PR_Grant Management_2'!A39)</f>
        <v>MG: Posibilidad de Mejora en los Documentos de Respaldo de Indicadores</v>
      </c>
      <c r="B41" s="1893"/>
      <c r="C41" s="1893"/>
      <c r="D41" s="1894"/>
      <c r="E41" s="1894"/>
      <c r="F41" s="1894"/>
      <c r="G41" s="1894"/>
      <c r="H41" s="1894"/>
      <c r="I41" s="1894"/>
      <c r="J41" s="1894"/>
      <c r="K41" s="1894"/>
      <c r="L41" s="1894"/>
      <c r="M41" s="5"/>
      <c r="N41" s="5"/>
      <c r="O41" s="5"/>
      <c r="P41" s="5"/>
      <c r="Q41" s="5"/>
      <c r="R41" s="5"/>
      <c r="S41" s="5"/>
      <c r="T41" s="5"/>
      <c r="U41" s="5"/>
      <c r="V41" s="5"/>
      <c r="W41" s="5"/>
    </row>
    <row r="42" spans="1:23" s="101" customFormat="1" ht="40.5" customHeight="1">
      <c r="A42" s="1893" t="str">
        <f>IF('PR_Grant Management_2'!A40="","",'PR_Grant Management_2'!A40)</f>
        <v>MG: Se recomienda que se mejore el uso del formato oficial del Programa de TB (PCT-1) por parte del personal de salud: a) actualización y dar seguimiento para que el formulario PCT de TB-MR sea completado correctamente y que incluya información completa de pacientes de TB-MR del Seguro Social y b) formularios PCT-1 deben ser rellenados correctamente. </v>
      </c>
      <c r="B42" s="1893"/>
      <c r="C42" s="1893"/>
      <c r="D42" s="1894"/>
      <c r="E42" s="1894"/>
      <c r="F42" s="1894"/>
      <c r="G42" s="1894"/>
      <c r="H42" s="1894"/>
      <c r="I42" s="1894"/>
      <c r="J42" s="1894"/>
      <c r="K42" s="1894"/>
      <c r="L42" s="1894"/>
      <c r="M42" s="5"/>
      <c r="N42" s="5"/>
      <c r="O42" s="5"/>
      <c r="P42" s="5"/>
      <c r="Q42" s="5"/>
      <c r="R42" s="5"/>
      <c r="S42" s="5"/>
      <c r="T42" s="5"/>
      <c r="U42" s="5"/>
      <c r="V42" s="5"/>
      <c r="W42" s="5"/>
    </row>
    <row r="43" spans="1:23" s="101" customFormat="1" ht="40.5" customHeight="1">
      <c r="A43" s="1893" t="str">
        <f>IF('PR_Grant Management_2'!A41="","",'PR_Grant Management_2'!A41)</f>
        <v>MG: Debilidades en recolección datos para el indicador “Número y % de PVS con tuberculosis que iniciaron o continúan TAR durante o al final del tratamiento de la tuberculosis entre todos las PVS con tuberculosis registrados durante el período que se examina”.</v>
      </c>
      <c r="B43" s="1893"/>
      <c r="C43" s="1893"/>
      <c r="D43" s="1894"/>
      <c r="E43" s="1894"/>
      <c r="F43" s="1894"/>
      <c r="G43" s="1894"/>
      <c r="H43" s="1894"/>
      <c r="I43" s="1894"/>
      <c r="J43" s="1894"/>
      <c r="K43" s="1894"/>
      <c r="L43" s="1894"/>
      <c r="M43" s="5"/>
      <c r="N43" s="5"/>
      <c r="O43" s="5"/>
      <c r="P43" s="5"/>
      <c r="Q43" s="5"/>
      <c r="R43" s="5"/>
      <c r="S43" s="5"/>
      <c r="T43" s="5"/>
      <c r="U43" s="5"/>
      <c r="V43" s="5"/>
      <c r="W43" s="5"/>
    </row>
    <row r="44" spans="1:23" s="101" customFormat="1" ht="40.5" customHeight="1">
      <c r="A44" s="1893" t="str">
        <f>IF('PR_Grant Management_2'!A42="","",'PR_Grant Management_2'!A42)</f>
        <v>MG: Confirmar si el país está aplicando las normas de OMS de 2013 para la revisión de formatos y el reporte, porque observamos que las notificaciones de todos los casos se refiere solo a nuevos casos y no incluye recaídas (relapse).</v>
      </c>
      <c r="B44" s="1893"/>
      <c r="C44" s="1893"/>
      <c r="D44" s="1894"/>
      <c r="E44" s="1894"/>
      <c r="F44" s="1894"/>
      <c r="G44" s="1894"/>
      <c r="H44" s="1894"/>
      <c r="I44" s="1894"/>
      <c r="J44" s="1894"/>
      <c r="K44" s="1894"/>
      <c r="L44" s="1894"/>
      <c r="M44" s="5"/>
      <c r="N44" s="5"/>
      <c r="O44" s="5"/>
      <c r="P44" s="5"/>
      <c r="Q44" s="5"/>
      <c r="R44" s="5"/>
      <c r="S44" s="5"/>
      <c r="T44" s="5"/>
      <c r="U44" s="5"/>
      <c r="V44" s="5"/>
      <c r="W44" s="5"/>
    </row>
    <row r="45" spans="1:23" s="101" customFormat="1" ht="40.5" customHeight="1">
      <c r="A45" s="1893" t="str">
        <f>IF('PR_Grant Management_2'!A43="","",'PR_Grant Management_2'!A43)</f>
        <v>MG: Confirmar si el servidor que existe en el Ministerio de Salud para el Programa de TB ya está siendo utilizado. A principios de año no se utilizaba, y entre otros, asegura el backup de la información de TB.</v>
      </c>
      <c r="B45" s="1893"/>
      <c r="C45" s="1893"/>
      <c r="D45" s="1894"/>
      <c r="E45" s="1894"/>
      <c r="F45" s="1894"/>
      <c r="G45" s="1894"/>
      <c r="H45" s="1894"/>
      <c r="I45" s="1894"/>
      <c r="J45" s="1894"/>
      <c r="K45" s="1894"/>
      <c r="L45" s="1894"/>
      <c r="M45" s="5"/>
      <c r="N45" s="5"/>
      <c r="O45" s="5"/>
      <c r="P45" s="5"/>
      <c r="Q45" s="5"/>
      <c r="R45" s="5"/>
      <c r="S45" s="5"/>
      <c r="T45" s="5"/>
      <c r="U45" s="5"/>
      <c r="V45" s="5"/>
      <c r="W45" s="5"/>
    </row>
    <row r="46" spans="1:23" s="101" customFormat="1" ht="40.5" customHeight="1">
      <c r="A46" s="1893" t="str">
        <f>IF('PR_Grant Management_2'!A44="","",'PR_Grant Management_2'!A44)</f>
        <v>MG: Se recomienda que el RP investigue la causa de las debilidades detectadas en almacenamiento y establezca remedio. Mucho se les agradecería nos comuniquen sus observaciones y medidas que emplearán con el siguiente Reporte de Avance (PU) que deberá ser entregado el 15 de febrero de 2014.</v>
      </c>
      <c r="B46" s="1893"/>
      <c r="C46" s="1893"/>
      <c r="D46" s="1894"/>
      <c r="E46" s="1894"/>
      <c r="F46" s="1894"/>
      <c r="G46" s="1894"/>
      <c r="H46" s="1894"/>
      <c r="I46" s="1894"/>
      <c r="J46" s="1894"/>
      <c r="K46" s="1894"/>
      <c r="L46" s="1894"/>
      <c r="M46" s="5"/>
      <c r="N46" s="5"/>
      <c r="O46" s="5"/>
      <c r="P46" s="5"/>
      <c r="Q46" s="5"/>
      <c r="R46" s="5"/>
      <c r="S46" s="5"/>
      <c r="T46" s="5"/>
      <c r="U46" s="5"/>
      <c r="V46" s="5"/>
      <c r="W46" s="5"/>
    </row>
    <row r="47" spans="1:23" s="101" customFormat="1" ht="15.75" customHeight="1">
      <c r="A47" s="1876"/>
      <c r="B47" s="1876"/>
      <c r="C47" s="1876"/>
      <c r="D47" s="1876"/>
      <c r="E47" s="1876"/>
      <c r="F47" s="1876"/>
      <c r="G47" s="1876"/>
      <c r="H47" s="1876"/>
      <c r="I47" s="1876"/>
      <c r="J47" s="1876"/>
      <c r="K47" s="1876"/>
      <c r="L47" s="1876"/>
      <c r="M47" s="5"/>
      <c r="N47" s="5"/>
      <c r="O47" s="5"/>
      <c r="P47" s="5"/>
      <c r="Q47" s="5"/>
      <c r="R47" s="5"/>
      <c r="S47" s="5"/>
      <c r="T47" s="5"/>
      <c r="U47" s="5"/>
      <c r="V47" s="5"/>
      <c r="W47" s="5"/>
    </row>
    <row r="48" spans="1:23" s="101" customFormat="1" ht="40.5" customHeight="1">
      <c r="A48" s="1893" t="str">
        <f>IF('PR_Grant Management_2'!A45="","",'PR_Grant Management_2'!A45)</f>
        <v>Observamos que sigue dándose un aumento en las notificaciones de casos de tuberculosis: 
Nueva
Solicitamos al RP que en el próximo PUDR se reporten las causas que pudieran justificar este aumento.</v>
      </c>
      <c r="B48" s="1893"/>
      <c r="C48" s="1893"/>
      <c r="D48" s="1894"/>
      <c r="E48" s="1894"/>
      <c r="F48" s="1894"/>
      <c r="G48" s="1894"/>
      <c r="H48" s="1894"/>
      <c r="I48" s="1894"/>
      <c r="J48" s="1894"/>
      <c r="K48" s="1894"/>
      <c r="L48" s="1894"/>
      <c r="M48" s="5"/>
      <c r="N48" s="5"/>
      <c r="O48" s="5"/>
      <c r="P48" s="5"/>
      <c r="Q48" s="5"/>
      <c r="R48" s="5"/>
      <c r="S48" s="5"/>
      <c r="T48" s="5"/>
      <c r="U48" s="5"/>
      <c r="V48" s="5"/>
      <c r="W48" s="5"/>
    </row>
    <row r="49" spans="1:23" s="101" customFormat="1" ht="40.5" customHeight="1">
      <c r="A49" s="1893" t="str">
        <f>IF('PR_Grant Management_2'!A46="","",'PR_Grant Management_2'!A46)</f>
        <v>Indicador 1.1: Observamos que el reporte de notificaciones de tuberculosis todas las formas no indica ningún caso de tuberculosis con baciloscopia negativa. En 2012 se reportaron 313 casos (Informe Mundial de Tuberculosis 2013, OMS) de tuberculosis con baciloscopia negativa. </v>
      </c>
      <c r="B49" s="1893"/>
      <c r="C49" s="1893"/>
      <c r="D49" s="1894"/>
      <c r="E49" s="1894"/>
      <c r="F49" s="1894"/>
      <c r="G49" s="1894"/>
      <c r="H49" s="1894"/>
      <c r="I49" s="1894"/>
      <c r="J49" s="1894"/>
      <c r="K49" s="1894"/>
      <c r="L49" s="1894"/>
      <c r="M49" s="5"/>
      <c r="N49" s="5"/>
      <c r="O49" s="5"/>
      <c r="P49" s="5"/>
      <c r="Q49" s="5"/>
      <c r="R49" s="5"/>
      <c r="S49" s="5"/>
      <c r="T49" s="5"/>
      <c r="U49" s="5"/>
      <c r="V49" s="5"/>
      <c r="W49" s="5"/>
    </row>
    <row r="50" spans="1:23" s="101" customFormat="1" ht="40.5" customHeight="1">
      <c r="A50" s="1893" t="str">
        <f>IF('PR_Grant Management_2'!A47="","",'PR_Grant Management_2'!A47)</f>
        <v>Indicador 5.2: Reportan cero casos de MDR-TB que inician tratamiento para el periodo, pero indican que existen cinco casos con resistencia a rifampicina: 
Nueva
Solicitamos aclaren la situación del descarte de la resistencia a isoniacida para estos casos puesto que no queda claro si ya se descartó o aún se esperan los resultados.</v>
      </c>
      <c r="B50" s="1893"/>
      <c r="C50" s="1893"/>
      <c r="D50" s="1894"/>
      <c r="E50" s="1894"/>
      <c r="F50" s="1894"/>
      <c r="G50" s="1894"/>
      <c r="H50" s="1894"/>
      <c r="I50" s="1894"/>
      <c r="J50" s="1894"/>
      <c r="K50" s="1894"/>
      <c r="L50" s="1894"/>
      <c r="M50" s="5"/>
      <c r="N50" s="5"/>
      <c r="O50" s="5"/>
      <c r="P50" s="5"/>
      <c r="Q50" s="5"/>
      <c r="R50" s="5"/>
      <c r="S50" s="5"/>
      <c r="T50" s="5"/>
      <c r="U50" s="5"/>
      <c r="V50" s="5"/>
      <c r="W50" s="5"/>
    </row>
    <row r="51" spans="1:23" s="118" customFormat="1" ht="16.5" customHeight="1">
      <c r="A51" s="798"/>
      <c r="B51" s="799"/>
      <c r="C51" s="800"/>
      <c r="D51" s="800"/>
      <c r="E51" s="801"/>
      <c r="F51" s="802"/>
      <c r="G51" s="802"/>
      <c r="H51" s="802"/>
      <c r="I51" s="803"/>
      <c r="J51" s="799"/>
      <c r="K51" s="801"/>
      <c r="L51" s="800"/>
      <c r="M51" s="5"/>
      <c r="N51" s="5"/>
      <c r="O51" s="5"/>
      <c r="P51" s="5"/>
      <c r="Q51" s="5"/>
      <c r="R51" s="5"/>
      <c r="S51" s="5"/>
      <c r="T51" s="5"/>
      <c r="U51" s="5"/>
      <c r="V51" s="5"/>
      <c r="W51" s="5"/>
    </row>
    <row r="52" spans="10:23" s="2" customFormat="1" ht="12.75">
      <c r="J52" s="119"/>
      <c r="M52" s="5"/>
      <c r="N52" s="5"/>
      <c r="O52" s="5"/>
      <c r="P52" s="5"/>
      <c r="Q52" s="5"/>
      <c r="R52" s="5"/>
      <c r="S52" s="5"/>
      <c r="T52" s="5"/>
      <c r="U52" s="5"/>
      <c r="V52" s="5"/>
      <c r="W52" s="5"/>
    </row>
    <row r="53" spans="1:23" s="778" customFormat="1" ht="25.5" customHeight="1">
      <c r="A53" s="1896" t="s">
        <v>906</v>
      </c>
      <c r="B53" s="1896"/>
      <c r="C53" s="1896"/>
      <c r="D53" s="1896"/>
      <c r="E53" s="1896"/>
      <c r="F53" s="1896"/>
      <c r="G53" s="1896"/>
      <c r="H53" s="1896"/>
      <c r="I53" s="1896"/>
      <c r="J53" s="1896"/>
      <c r="K53" s="1896"/>
      <c r="L53" s="1896"/>
      <c r="M53" s="780"/>
      <c r="N53" s="780"/>
      <c r="O53" s="780"/>
      <c r="P53" s="780"/>
      <c r="Q53" s="780"/>
      <c r="R53" s="780"/>
      <c r="S53" s="780"/>
      <c r="T53" s="780"/>
      <c r="U53" s="780"/>
      <c r="V53" s="780"/>
      <c r="W53" s="780"/>
    </row>
    <row r="54" spans="1:23" s="804" customFormat="1" ht="37.5" customHeight="1">
      <c r="A54" s="1897" t="s">
        <v>907</v>
      </c>
      <c r="B54" s="1897"/>
      <c r="C54" s="1897"/>
      <c r="D54" s="1897"/>
      <c r="E54" s="1897"/>
      <c r="F54" s="1897"/>
      <c r="G54" s="1897"/>
      <c r="H54" s="1897"/>
      <c r="I54" s="1897"/>
      <c r="J54" s="1897"/>
      <c r="K54" s="1897"/>
      <c r="L54" s="1897"/>
      <c r="M54" s="780"/>
      <c r="N54" s="780"/>
      <c r="O54" s="780"/>
      <c r="P54" s="780"/>
      <c r="Q54" s="780"/>
      <c r="R54" s="780"/>
      <c r="S54" s="780"/>
      <c r="T54" s="780"/>
      <c r="U54" s="780"/>
      <c r="V54" s="780"/>
      <c r="W54" s="780"/>
    </row>
    <row r="55" spans="1:23" s="804" customFormat="1" ht="28.5" customHeight="1">
      <c r="A55" s="805"/>
      <c r="B55" s="806"/>
      <c r="C55" s="1901" t="s">
        <v>897</v>
      </c>
      <c r="D55" s="1901"/>
      <c r="E55" s="1902" t="s">
        <v>898</v>
      </c>
      <c r="F55" s="1902"/>
      <c r="G55" s="1902"/>
      <c r="H55" s="1902"/>
      <c r="I55" s="1902"/>
      <c r="J55" s="1902"/>
      <c r="K55" s="1902"/>
      <c r="L55" s="1902"/>
      <c r="M55" s="780"/>
      <c r="N55" s="780"/>
      <c r="O55" s="780"/>
      <c r="P55" s="780"/>
      <c r="Q55" s="780"/>
      <c r="R55" s="780"/>
      <c r="S55" s="780"/>
      <c r="T55" s="780"/>
      <c r="U55" s="780"/>
      <c r="V55" s="780"/>
      <c r="W55" s="780"/>
    </row>
    <row r="56" spans="1:23" s="778" customFormat="1" ht="23.25" customHeight="1">
      <c r="A56" s="1891" t="s">
        <v>908</v>
      </c>
      <c r="B56" s="1891"/>
      <c r="C56" s="716" t="s">
        <v>909</v>
      </c>
      <c r="D56" s="716" t="s">
        <v>900</v>
      </c>
      <c r="E56" s="807" t="s">
        <v>909</v>
      </c>
      <c r="F56" s="1850" t="s">
        <v>900</v>
      </c>
      <c r="G56" s="1850"/>
      <c r="H56" s="1850"/>
      <c r="I56" s="1850"/>
      <c r="J56" s="1903" t="s">
        <v>619</v>
      </c>
      <c r="K56" s="1903"/>
      <c r="L56" s="1903"/>
      <c r="M56" s="780"/>
      <c r="N56" s="780"/>
      <c r="O56" s="780"/>
      <c r="P56" s="780"/>
      <c r="Q56" s="780"/>
      <c r="R56" s="780"/>
      <c r="S56" s="780"/>
      <c r="T56" s="780"/>
      <c r="U56" s="780"/>
      <c r="V56" s="780"/>
      <c r="W56" s="780"/>
    </row>
    <row r="57" spans="1:23" s="778" customFormat="1" ht="41.25" customHeight="1">
      <c r="A57" s="1904" t="s">
        <v>910</v>
      </c>
      <c r="B57" s="1904"/>
      <c r="C57" s="808">
        <f>IF('PR_Grant Management_2'!E57="","",'PR_Grant Management_2'!E57)</f>
      </c>
      <c r="D57" s="723">
        <f>IF('PR_Grant Management_2'!F57="","",'PR_Grant Management_2'!F57)</f>
      </c>
      <c r="E57" s="809"/>
      <c r="F57" s="1804"/>
      <c r="G57" s="1804"/>
      <c r="H57" s="1804"/>
      <c r="I57" s="1804"/>
      <c r="J57" s="1895"/>
      <c r="K57" s="1895"/>
      <c r="L57" s="1895"/>
      <c r="M57" s="780"/>
      <c r="N57" s="780"/>
      <c r="O57" s="780"/>
      <c r="P57" s="780"/>
      <c r="Q57" s="780"/>
      <c r="R57" s="780"/>
      <c r="S57" s="780"/>
      <c r="T57" s="780"/>
      <c r="U57" s="780"/>
      <c r="V57" s="780"/>
      <c r="W57" s="780"/>
    </row>
    <row r="58" spans="1:23" s="778" customFormat="1" ht="41.25" customHeight="1">
      <c r="A58" s="1898" t="s">
        <v>911</v>
      </c>
      <c r="B58" s="1898"/>
      <c r="C58" s="810" t="str">
        <f>IF('PR_Grant Management_2'!E58="","",'PR_Grant Management_2'!E58)</f>
        <v>Fecha de entrega 
(día-mes-año)</v>
      </c>
      <c r="D58" s="811" t="str">
        <f>IF('PR_Grant Management_2'!F58="","",'PR_Grant Management_2'!F58)</f>
        <v>Estado</v>
      </c>
      <c r="E58" s="812"/>
      <c r="F58" s="1899"/>
      <c r="G58" s="1899"/>
      <c r="H58" s="1899"/>
      <c r="I58" s="1899"/>
      <c r="J58" s="1900"/>
      <c r="K58" s="1900"/>
      <c r="L58" s="1900"/>
      <c r="M58" s="780"/>
      <c r="N58" s="780"/>
      <c r="O58" s="780"/>
      <c r="P58" s="780"/>
      <c r="Q58" s="780"/>
      <c r="R58" s="780"/>
      <c r="S58" s="780"/>
      <c r="T58" s="780"/>
      <c r="U58" s="780"/>
      <c r="V58" s="780"/>
      <c r="W58" s="780"/>
    </row>
    <row r="59" ht="15" customHeight="1"/>
  </sheetData>
  <sheetProtection selectLockedCells="1" selectUnlockedCells="1"/>
  <mergeCells count="86">
    <mergeCell ref="A58:B58"/>
    <mergeCell ref="F58:I58"/>
    <mergeCell ref="J58:L58"/>
    <mergeCell ref="C55:D55"/>
    <mergeCell ref="E55:L55"/>
    <mergeCell ref="A56:B56"/>
    <mergeCell ref="F56:I56"/>
    <mergeCell ref="J56:L56"/>
    <mergeCell ref="A57:B57"/>
    <mergeCell ref="F57:I57"/>
    <mergeCell ref="J57:L57"/>
    <mergeCell ref="A49:C49"/>
    <mergeCell ref="D49:L49"/>
    <mergeCell ref="A50:C50"/>
    <mergeCell ref="D50:L50"/>
    <mergeCell ref="A53:L53"/>
    <mergeCell ref="A54:L54"/>
    <mergeCell ref="A45:C45"/>
    <mergeCell ref="D45:L45"/>
    <mergeCell ref="A46:C46"/>
    <mergeCell ref="D46:L46"/>
    <mergeCell ref="A47:L47"/>
    <mergeCell ref="A48:C48"/>
    <mergeCell ref="D48:L48"/>
    <mergeCell ref="A42:C42"/>
    <mergeCell ref="D42:L42"/>
    <mergeCell ref="A43:C43"/>
    <mergeCell ref="D43:L43"/>
    <mergeCell ref="A44:C44"/>
    <mergeCell ref="D44:L44"/>
    <mergeCell ref="A39:C39"/>
    <mergeCell ref="D39:L39"/>
    <mergeCell ref="A40:C40"/>
    <mergeCell ref="D40:L40"/>
    <mergeCell ref="A41:C41"/>
    <mergeCell ref="D41:L41"/>
    <mergeCell ref="A36:C36"/>
    <mergeCell ref="D36:L36"/>
    <mergeCell ref="A37:C37"/>
    <mergeCell ref="D37:L37"/>
    <mergeCell ref="A38:C38"/>
    <mergeCell ref="D38:L38"/>
    <mergeCell ref="A30:C30"/>
    <mergeCell ref="F30:L30"/>
    <mergeCell ref="A32:L32"/>
    <mergeCell ref="A34:L34"/>
    <mergeCell ref="A35:C35"/>
    <mergeCell ref="D35:L35"/>
    <mergeCell ref="A26:C26"/>
    <mergeCell ref="F26:L26"/>
    <mergeCell ref="A27:L27"/>
    <mergeCell ref="A28:C28"/>
    <mergeCell ref="F28:L28"/>
    <mergeCell ref="A29:C29"/>
    <mergeCell ref="F29:L29"/>
    <mergeCell ref="A23:C23"/>
    <mergeCell ref="F23:L23"/>
    <mergeCell ref="A24:C24"/>
    <mergeCell ref="F24:L24"/>
    <mergeCell ref="A25:C25"/>
    <mergeCell ref="F25:L25"/>
    <mergeCell ref="A20:C20"/>
    <mergeCell ref="F20:L20"/>
    <mergeCell ref="A21:C21"/>
    <mergeCell ref="F21:L21"/>
    <mergeCell ref="A22:C22"/>
    <mergeCell ref="F22:L22"/>
    <mergeCell ref="A17:C17"/>
    <mergeCell ref="F17:L17"/>
    <mergeCell ref="A18:C18"/>
    <mergeCell ref="F18:L18"/>
    <mergeCell ref="A19:C19"/>
    <mergeCell ref="F19:L19"/>
    <mergeCell ref="A12:L12"/>
    <mergeCell ref="A13:L13"/>
    <mergeCell ref="E14:L14"/>
    <mergeCell ref="A15:C15"/>
    <mergeCell ref="F15:L15"/>
    <mergeCell ref="A16:C16"/>
    <mergeCell ref="F16:L16"/>
    <mergeCell ref="A1:J1"/>
    <mergeCell ref="A3:B3"/>
    <mergeCell ref="C3:F3"/>
    <mergeCell ref="C6:F6"/>
    <mergeCell ref="A10:L10"/>
    <mergeCell ref="A11:L11"/>
  </mergeCells>
  <conditionalFormatting sqref="B57:B58 B53">
    <cfRule type="cellIs" priority="3" dxfId="5" operator="notEqual" stopIfTrue="1">
      <formula>A53</formula>
    </cfRule>
    <cfRule type="cellIs" priority="4" dxfId="22" operator="notEqual" stopIfTrue="1">
      <formula>'LFA_Grant Management_2'!#REF!</formula>
    </cfRule>
  </conditionalFormatting>
  <conditionalFormatting sqref="A53:A54 A56:A58 A31">
    <cfRule type="cellIs" priority="5" dxfId="5" operator="notEqual" stopIfTrue="1">
      <formula>'LFA_Grant Management_2'!#REF!</formula>
    </cfRule>
    <cfRule type="cellIs" priority="6" dxfId="22" operator="notEqual" stopIfTrue="1">
      <formula>'LFA_Grant Management_2'!#REF!</formula>
    </cfRule>
  </conditionalFormatting>
  <conditionalFormatting sqref="D51:I51 A36:A51">
    <cfRule type="cellIs" priority="7" dxfId="25" operator="notEqual" stopIfTrue="1">
      <formula>'LFA_Grant Management_2'!#REF!</formula>
    </cfRule>
  </conditionalFormatting>
  <conditionalFormatting sqref="A28:C30 A27 A16:C26">
    <cfRule type="cellIs" priority="8" dxfId="5" operator="notEqual" stopIfTrue="1">
      <formula>'LFA_Grant Management_2'!#REF!</formula>
    </cfRule>
  </conditionalFormatting>
  <conditionalFormatting sqref="C53:E53">
    <cfRule type="cellIs" priority="1" dxfId="5" operator="notEqual" stopIfTrue="1">
      <formula>B53</formula>
    </cfRule>
    <cfRule type="cellIs" priority="2" dxfId="22" operator="notEqual" stopIfTrue="1">
      <formula>A53</formula>
    </cfRule>
  </conditionalFormatting>
  <dataValidations count="2">
    <dataValidation type="list" allowBlank="1" showErrorMessage="1" sqref="E16:E26 E28:E31">
      <formula1>"Met,Unmet - In Progress,Unmet - Not started"</formula1>
      <formula2>0</formula2>
    </dataValidation>
    <dataValidation type="list" allowBlank="1" showErrorMessage="1" sqref="F57:I58">
      <formula1>"Submitted to GF,Preparation on track,Overdue"</formula1>
      <formula2>0</formula2>
    </dataValidation>
  </dataValidations>
  <printOptions horizontalCentered="1"/>
  <pageMargins left="0.7479166666666667" right="0.7479166666666667" top="0.5902777777777778" bottom="0.7875" header="0.5118055555555555" footer="0.5118055555555555"/>
  <pageSetup cellComments="atEnd" fitToHeight="0" fitToWidth="1" horizontalDpi="300" verticalDpi="300" orientation="landscape" paperSize="9" scale="52" r:id="rId1"/>
  <headerFooter alignWithMargins="0">
    <oddFooter>&amp;L&amp;9&amp;F&amp;C&amp;A&amp;R&amp;9Page &amp;P of &amp;N</oddFooter>
  </headerFooter>
  <rowBreaks count="1" manualBreakCount="1">
    <brk id="30" max="255" man="1"/>
  </rowBreaks>
</worksheet>
</file>

<file path=xl/worksheets/sheet18.xml><?xml version="1.0" encoding="utf-8"?>
<worksheet xmlns="http://schemas.openxmlformats.org/spreadsheetml/2006/main" xmlns:r="http://schemas.openxmlformats.org/officeDocument/2006/relationships">
  <sheetPr>
    <tabColor indexed="40"/>
    <pageSetUpPr fitToPage="1"/>
  </sheetPr>
  <dimension ref="A1:IV76"/>
  <sheetViews>
    <sheetView view="pageBreakPreview" zoomScale="70" zoomScaleNormal="55" zoomScaleSheetLayoutView="70" zoomScalePageLayoutView="0" workbookViewId="0" topLeftCell="H1">
      <selection activeCell="L15" sqref="L15"/>
    </sheetView>
  </sheetViews>
  <sheetFormatPr defaultColWidth="0" defaultRowHeight="12.75"/>
  <cols>
    <col min="1" max="1" width="23.140625" style="5" customWidth="1"/>
    <col min="2" max="2" width="32.28125" style="5" customWidth="1"/>
    <col min="3" max="3" width="18.8515625" style="5" customWidth="1"/>
    <col min="4" max="4" width="16.00390625" style="5" customWidth="1"/>
    <col min="5" max="5" width="15.8515625" style="5" customWidth="1"/>
    <col min="6" max="6" width="27.140625" style="5" customWidth="1"/>
    <col min="7" max="7" width="48.7109375" style="5" customWidth="1"/>
    <col min="8" max="8" width="24.7109375" style="5" customWidth="1"/>
    <col min="9" max="9" width="20.140625" style="5" customWidth="1"/>
    <col min="10" max="10" width="14.421875" style="5" customWidth="1"/>
    <col min="11" max="11" width="75.140625" style="5" customWidth="1"/>
    <col min="12" max="12" width="18.57421875" style="119" customWidth="1"/>
    <col min="13" max="25" width="0" style="5" hidden="1" customWidth="1"/>
    <col min="26" max="239" width="9.140625" style="5" customWidth="1"/>
    <col min="240" max="16384" width="0" style="5" hidden="1" customWidth="1"/>
  </cols>
  <sheetData>
    <row r="1" spans="1:256" ht="25.5" customHeight="1">
      <c r="A1" s="1829" t="s">
        <v>846</v>
      </c>
      <c r="B1" s="1829"/>
      <c r="C1" s="1829"/>
      <c r="D1" s="1829"/>
      <c r="E1" s="1829"/>
      <c r="F1" s="1829"/>
      <c r="G1" s="1829"/>
      <c r="H1" s="1829"/>
      <c r="I1" s="1829"/>
      <c r="J1" s="1829"/>
      <c r="K1" s="1829"/>
      <c r="L1" s="626"/>
      <c r="IF1" s="101"/>
      <c r="IG1" s="101"/>
      <c r="IH1" s="101"/>
      <c r="II1" s="101"/>
      <c r="IJ1" s="101"/>
      <c r="IK1" s="101"/>
      <c r="IL1" s="101"/>
      <c r="IM1" s="101"/>
      <c r="IN1" s="101"/>
      <c r="IO1" s="101"/>
      <c r="IP1" s="101"/>
      <c r="IQ1" s="101"/>
      <c r="IR1" s="101"/>
      <c r="IS1" s="101"/>
      <c r="IT1" s="101"/>
      <c r="IU1" s="101"/>
      <c r="IV1" s="101"/>
    </row>
    <row r="2" spans="1:256" s="50" customFormat="1" ht="27" customHeight="1">
      <c r="A2" s="72" t="s">
        <v>855</v>
      </c>
      <c r="B2" s="2"/>
      <c r="C2" s="2"/>
      <c r="D2" s="2"/>
      <c r="E2" s="2"/>
      <c r="F2" s="2"/>
      <c r="G2" s="2"/>
      <c r="H2" s="2"/>
      <c r="I2" s="2"/>
      <c r="J2" s="2"/>
      <c r="K2" s="2"/>
      <c r="L2" s="5"/>
      <c r="IF2" s="13"/>
      <c r="IG2" s="13"/>
      <c r="IH2" s="13"/>
      <c r="II2" s="13"/>
      <c r="IJ2" s="13"/>
      <c r="IK2" s="13"/>
      <c r="IL2" s="13"/>
      <c r="IM2" s="13"/>
      <c r="IN2" s="13"/>
      <c r="IO2" s="13"/>
      <c r="IP2" s="13"/>
      <c r="IQ2" s="13"/>
      <c r="IR2" s="13"/>
      <c r="IS2" s="13"/>
      <c r="IT2" s="13"/>
      <c r="IU2" s="13"/>
      <c r="IV2" s="13"/>
    </row>
    <row r="3" spans="1:256" s="295" customFormat="1" ht="30" customHeight="1">
      <c r="A3" s="1905" t="s">
        <v>879</v>
      </c>
      <c r="B3" s="1905"/>
      <c r="C3" s="1906" t="str">
        <f>IF('LFA_Programmatic Progress_1A'!C7="","",'LFA_Programmatic Progress_1A'!C7)</f>
        <v>SLV-910-G08-T</v>
      </c>
      <c r="D3" s="1906"/>
      <c r="E3" s="1906"/>
      <c r="F3" s="1906"/>
      <c r="G3" s="1906"/>
      <c r="H3" s="75"/>
      <c r="I3" s="75"/>
      <c r="J3" s="75"/>
      <c r="K3" s="75"/>
      <c r="L3" s="5"/>
      <c r="IF3" s="25"/>
      <c r="IG3" s="25"/>
      <c r="IH3" s="25"/>
      <c r="II3" s="25"/>
      <c r="IJ3" s="25"/>
      <c r="IK3" s="25"/>
      <c r="IL3" s="25"/>
      <c r="IM3" s="25"/>
      <c r="IN3" s="25"/>
      <c r="IO3" s="25"/>
      <c r="IP3" s="25"/>
      <c r="IQ3" s="25"/>
      <c r="IR3" s="25"/>
      <c r="IS3" s="25"/>
      <c r="IT3" s="25"/>
      <c r="IU3" s="25"/>
      <c r="IV3" s="25"/>
    </row>
    <row r="4" spans="1:256" s="295" customFormat="1" ht="15" customHeight="1">
      <c r="A4" s="90" t="s">
        <v>856</v>
      </c>
      <c r="B4" s="91"/>
      <c r="C4" s="813" t="s">
        <v>857</v>
      </c>
      <c r="D4" s="1907" t="str">
        <f>IF('LFA_Programmatic Progress_1A'!D12="Select","",'LFA_Programmatic Progress_1A'!D12)</f>
        <v>Semestral</v>
      </c>
      <c r="E4" s="1907"/>
      <c r="F4" s="93" t="s">
        <v>858</v>
      </c>
      <c r="G4" s="123">
        <f>IF('LFA_Programmatic Progress_1A'!F12="Select","",'LFA_Programmatic Progress_1A'!F12)</f>
        <v>10</v>
      </c>
      <c r="H4" s="75"/>
      <c r="J4" s="75"/>
      <c r="K4" s="75"/>
      <c r="L4" s="5"/>
      <c r="IF4" s="25"/>
      <c r="IG4" s="25"/>
      <c r="IH4" s="25"/>
      <c r="II4" s="25"/>
      <c r="IJ4" s="25"/>
      <c r="IK4" s="25"/>
      <c r="IL4" s="25"/>
      <c r="IM4" s="25"/>
      <c r="IN4" s="25"/>
      <c r="IO4" s="25"/>
      <c r="IP4" s="25"/>
      <c r="IQ4" s="25"/>
      <c r="IR4" s="25"/>
      <c r="IS4" s="25"/>
      <c r="IT4" s="25"/>
      <c r="IU4" s="25"/>
      <c r="IV4" s="25"/>
    </row>
    <row r="5" spans="1:256" s="295" customFormat="1" ht="15" customHeight="1">
      <c r="A5" s="94" t="s">
        <v>859</v>
      </c>
      <c r="B5" s="95"/>
      <c r="C5" s="814" t="s">
        <v>860</v>
      </c>
      <c r="D5" s="1908">
        <f>IF('LFA_Programmatic Progress_1A'!D13="","",'LFA_Programmatic Progress_1A'!D13)</f>
        <v>42005</v>
      </c>
      <c r="E5" s="1908"/>
      <c r="F5" s="93" t="s">
        <v>542</v>
      </c>
      <c r="G5" s="125">
        <f>IF('LFA_Programmatic Progress_1A'!F13="","",'LFA_Programmatic Progress_1A'!F13)</f>
        <v>42185</v>
      </c>
      <c r="L5" s="5"/>
      <c r="IF5" s="25"/>
      <c r="IG5" s="25"/>
      <c r="IH5" s="25"/>
      <c r="II5" s="25"/>
      <c r="IJ5" s="25"/>
      <c r="IK5" s="25"/>
      <c r="IL5" s="25"/>
      <c r="IM5" s="25"/>
      <c r="IN5" s="25"/>
      <c r="IO5" s="25"/>
      <c r="IP5" s="25"/>
      <c r="IQ5" s="25"/>
      <c r="IR5" s="25"/>
      <c r="IS5" s="25"/>
      <c r="IT5" s="25"/>
      <c r="IU5" s="25"/>
      <c r="IV5" s="25"/>
    </row>
    <row r="6" spans="1:256" s="295" customFormat="1" ht="15" customHeight="1">
      <c r="A6" s="97" t="s">
        <v>861</v>
      </c>
      <c r="B6" s="98"/>
      <c r="C6" s="1909">
        <f>IF('LFA_Programmatic Progress_1A'!C14="Select","",'LFA_Programmatic Progress_1A'!C14)</f>
        <v>10</v>
      </c>
      <c r="D6" s="1909"/>
      <c r="E6" s="1909"/>
      <c r="F6" s="1909"/>
      <c r="G6" s="1909"/>
      <c r="L6" s="5"/>
      <c r="IF6" s="25"/>
      <c r="IG6" s="25"/>
      <c r="IH6" s="25"/>
      <c r="II6" s="25"/>
      <c r="IJ6" s="25"/>
      <c r="IK6" s="25"/>
      <c r="IL6" s="25"/>
      <c r="IM6" s="25"/>
      <c r="IN6" s="25"/>
      <c r="IO6" s="25"/>
      <c r="IP6" s="25"/>
      <c r="IQ6" s="25"/>
      <c r="IR6" s="25"/>
      <c r="IS6" s="25"/>
      <c r="IT6" s="25"/>
      <c r="IU6" s="25"/>
      <c r="IV6" s="25"/>
    </row>
    <row r="7" spans="1:11" s="75" customFormat="1" ht="15" customHeight="1">
      <c r="A7" s="815" t="s">
        <v>854</v>
      </c>
      <c r="B7" s="126"/>
      <c r="C7" s="1781" t="str">
        <f>IF('PR_Programmatic Progress_1A'!C10="Select","",'PR_Programmatic Progress_1A'!C10)</f>
        <v>USD</v>
      </c>
      <c r="D7" s="1781"/>
      <c r="E7" s="1781"/>
      <c r="F7" s="1781"/>
      <c r="G7" s="1781"/>
      <c r="H7" s="295"/>
      <c r="I7" s="295"/>
      <c r="J7" s="295"/>
      <c r="K7" s="295"/>
    </row>
    <row r="8" spans="1:256" ht="16.5" customHeight="1">
      <c r="A8" s="816"/>
      <c r="B8" s="816"/>
      <c r="C8" s="816"/>
      <c r="D8" s="816"/>
      <c r="E8" s="816"/>
      <c r="F8" s="816"/>
      <c r="G8" s="816"/>
      <c r="H8" s="816"/>
      <c r="I8" s="816"/>
      <c r="J8" s="817"/>
      <c r="L8" s="5"/>
      <c r="IF8" s="101"/>
      <c r="IG8" s="101"/>
      <c r="IH8" s="101"/>
      <c r="II8" s="101"/>
      <c r="IJ8" s="101"/>
      <c r="IK8" s="101"/>
      <c r="IL8" s="101"/>
      <c r="IM8" s="101"/>
      <c r="IN8" s="101"/>
      <c r="IO8" s="101"/>
      <c r="IP8" s="101"/>
      <c r="IQ8" s="101"/>
      <c r="IR8" s="101"/>
      <c r="IS8" s="101"/>
      <c r="IT8" s="101"/>
      <c r="IU8" s="101"/>
      <c r="IV8" s="101"/>
    </row>
    <row r="9" spans="1:256" s="145" customFormat="1" ht="25.5" customHeight="1">
      <c r="A9" s="818" t="s">
        <v>912</v>
      </c>
      <c r="B9" s="819"/>
      <c r="C9" s="819"/>
      <c r="D9" s="819"/>
      <c r="E9" s="819"/>
      <c r="F9" s="819"/>
      <c r="G9" s="819"/>
      <c r="H9" s="820"/>
      <c r="I9" s="820"/>
      <c r="J9" s="820"/>
      <c r="K9" s="821"/>
      <c r="L9" s="5"/>
      <c r="IF9" s="357"/>
      <c r="IG9" s="357"/>
      <c r="IH9" s="357"/>
      <c r="II9" s="357"/>
      <c r="IJ9" s="357"/>
      <c r="IK9" s="357"/>
      <c r="IL9" s="357"/>
      <c r="IM9" s="357"/>
      <c r="IN9" s="357"/>
      <c r="IO9" s="357"/>
      <c r="IP9" s="357"/>
      <c r="IQ9" s="357"/>
      <c r="IR9" s="357"/>
      <c r="IS9" s="357"/>
      <c r="IT9" s="357"/>
      <c r="IU9" s="357"/>
      <c r="IV9" s="357"/>
    </row>
    <row r="10" spans="1:256" s="145" customFormat="1" ht="21" customHeight="1">
      <c r="A10" s="1687" t="s">
        <v>913</v>
      </c>
      <c r="B10" s="1687"/>
      <c r="C10" s="1687"/>
      <c r="D10" s="1687"/>
      <c r="E10" s="1687"/>
      <c r="F10" s="1687"/>
      <c r="G10" s="1687"/>
      <c r="H10" s="1687"/>
      <c r="I10" s="1687"/>
      <c r="J10" s="1687"/>
      <c r="K10" s="1687"/>
      <c r="L10" s="5"/>
      <c r="IF10" s="357"/>
      <c r="IG10" s="357"/>
      <c r="IH10" s="357"/>
      <c r="II10" s="357"/>
      <c r="IJ10" s="357"/>
      <c r="IK10" s="357"/>
      <c r="IL10" s="357"/>
      <c r="IM10" s="357"/>
      <c r="IN10" s="357"/>
      <c r="IO10" s="357"/>
      <c r="IP10" s="357"/>
      <c r="IQ10" s="357"/>
      <c r="IR10" s="357"/>
      <c r="IS10" s="357"/>
      <c r="IT10" s="357"/>
      <c r="IU10" s="357"/>
      <c r="IV10" s="357"/>
    </row>
    <row r="11" spans="1:256" ht="30" customHeight="1">
      <c r="A11" s="128" t="s">
        <v>914</v>
      </c>
      <c r="L11" s="583"/>
      <c r="IF11" s="101"/>
      <c r="IG11" s="101"/>
      <c r="IH11" s="101"/>
      <c r="II11" s="101"/>
      <c r="IJ11" s="101"/>
      <c r="IK11" s="101"/>
      <c r="IL11" s="101"/>
      <c r="IM11" s="101"/>
      <c r="IN11" s="101"/>
      <c r="IO11" s="101"/>
      <c r="IP11" s="101"/>
      <c r="IQ11" s="101"/>
      <c r="IR11" s="101"/>
      <c r="IS11" s="101"/>
      <c r="IT11" s="101"/>
      <c r="IU11" s="101"/>
      <c r="IV11" s="101"/>
    </row>
    <row r="12" spans="1:256" s="145" customFormat="1" ht="93.75" customHeight="1">
      <c r="A12" s="1910"/>
      <c r="B12" s="1910"/>
      <c r="C12" s="822" t="s">
        <v>915</v>
      </c>
      <c r="D12" s="822" t="s">
        <v>916</v>
      </c>
      <c r="E12" s="822" t="s">
        <v>548</v>
      </c>
      <c r="F12" s="1911" t="s">
        <v>917</v>
      </c>
      <c r="G12" s="1911"/>
      <c r="H12" s="822" t="s">
        <v>918</v>
      </c>
      <c r="I12" s="822" t="s">
        <v>919</v>
      </c>
      <c r="J12" s="822" t="s">
        <v>548</v>
      </c>
      <c r="K12" s="823" t="s">
        <v>917</v>
      </c>
      <c r="L12" s="157"/>
      <c r="N12" s="1910" t="str">
        <f>IF('PR_Programmatic Progress_1A'!P10="Select","Please select currency on Page
 'PR_Programmatic Achievement (1)'","All amounts are in: "&amp;'PR_Programmatic Progress_1A'!P10)</f>
        <v>All amounts are in: </v>
      </c>
      <c r="O12" s="1910"/>
      <c r="P12" s="822" t="s">
        <v>915</v>
      </c>
      <c r="Q12" s="822" t="s">
        <v>916</v>
      </c>
      <c r="R12" s="822" t="s">
        <v>548</v>
      </c>
      <c r="S12" s="1911" t="s">
        <v>917</v>
      </c>
      <c r="T12" s="1911"/>
      <c r="U12" s="822" t="s">
        <v>918</v>
      </c>
      <c r="V12" s="822" t="s">
        <v>919</v>
      </c>
      <c r="W12" s="822" t="s">
        <v>548</v>
      </c>
      <c r="X12" s="824" t="s">
        <v>917</v>
      </c>
      <c r="IF12" s="357"/>
      <c r="IG12" s="357"/>
      <c r="IH12" s="357"/>
      <c r="II12" s="357"/>
      <c r="IJ12" s="357"/>
      <c r="IK12" s="357"/>
      <c r="IL12" s="357"/>
      <c r="IM12" s="357"/>
      <c r="IN12" s="357"/>
      <c r="IO12" s="357"/>
      <c r="IP12" s="357"/>
      <c r="IQ12" s="357"/>
      <c r="IR12" s="357"/>
      <c r="IS12" s="357"/>
      <c r="IT12" s="357"/>
      <c r="IU12" s="357"/>
      <c r="IV12" s="357"/>
    </row>
    <row r="13" spans="1:256" s="145" customFormat="1" ht="21" customHeight="1">
      <c r="A13" s="1912" t="s">
        <v>920</v>
      </c>
      <c r="B13" s="1912"/>
      <c r="C13" s="825">
        <f>C14+C15</f>
        <v>144882</v>
      </c>
      <c r="D13" s="825">
        <f>D14+D15</f>
        <v>58430.34</v>
      </c>
      <c r="E13" s="825">
        <f>IF(C13="",IF(D13="","",C13-D13),C13-D13)</f>
        <v>86451.66</v>
      </c>
      <c r="F13" s="1913"/>
      <c r="G13" s="1913"/>
      <c r="H13" s="825">
        <f>H14+H15</f>
        <v>4607116.54</v>
      </c>
      <c r="I13" s="825">
        <f>I14+I15</f>
        <v>4306678.44</v>
      </c>
      <c r="J13" s="825">
        <f>IF(H13="",IF(I13="","",H13-I13),H13-I13)</f>
        <v>300438.0999999996</v>
      </c>
      <c r="K13" s="826"/>
      <c r="L13" s="157"/>
      <c r="N13" s="1912" t="s">
        <v>920</v>
      </c>
      <c r="O13" s="1912"/>
      <c r="P13" s="825">
        <f>P14+P15</f>
        <v>144882</v>
      </c>
      <c r="Q13" s="825">
        <f>Q14+Q15</f>
        <v>58430.34</v>
      </c>
      <c r="R13" s="825">
        <f>IF(P13="",IF(Q13="","",P13-Q13),P13-Q13)</f>
        <v>86451.66</v>
      </c>
      <c r="S13" s="1913"/>
      <c r="T13" s="1913"/>
      <c r="U13" s="825">
        <f>U14+U15</f>
        <v>4607116.54</v>
      </c>
      <c r="V13" s="825">
        <f>V14+V15</f>
        <v>4306678.44</v>
      </c>
      <c r="W13" s="825">
        <f>IF(U13="",IF(V13="","",U13-V13),U13-V13)</f>
        <v>300438.0999999996</v>
      </c>
      <c r="X13" s="827"/>
      <c r="IF13" s="357"/>
      <c r="IG13" s="357"/>
      <c r="IH13" s="357"/>
      <c r="II13" s="357"/>
      <c r="IJ13" s="357"/>
      <c r="IK13" s="357"/>
      <c r="IL13" s="357"/>
      <c r="IM13" s="357"/>
      <c r="IN13" s="357"/>
      <c r="IO13" s="357"/>
      <c r="IP13" s="357"/>
      <c r="IQ13" s="357"/>
      <c r="IR13" s="357"/>
      <c r="IS13" s="357"/>
      <c r="IT13" s="357"/>
      <c r="IU13" s="357"/>
      <c r="IV13" s="357"/>
    </row>
    <row r="14" spans="1:256" s="145" customFormat="1" ht="107.25" customHeight="1">
      <c r="A14" s="1914" t="s">
        <v>561</v>
      </c>
      <c r="B14" s="1914"/>
      <c r="C14" s="828">
        <f>P14</f>
        <v>144882</v>
      </c>
      <c r="D14" s="828">
        <f>Q14</f>
        <v>58430.34</v>
      </c>
      <c r="E14" s="829">
        <f>IF(C14="",IF(D14="",0,C14-D14),C14-D14)</f>
        <v>86451.66</v>
      </c>
      <c r="F14" s="1873"/>
      <c r="G14" s="1873"/>
      <c r="H14" s="828">
        <f>U14</f>
        <v>4607116.54</v>
      </c>
      <c r="I14" s="828">
        <f>V14</f>
        <v>4306678.44</v>
      </c>
      <c r="J14" s="829">
        <f>IF(H14="",IF(I14="",0,H14-I14),H14-I14)</f>
        <v>300438.0999999996</v>
      </c>
      <c r="K14" s="830"/>
      <c r="L14" s="157"/>
      <c r="N14" s="1914" t="s">
        <v>561</v>
      </c>
      <c r="O14" s="1914"/>
      <c r="P14" s="828">
        <f>'PR_Total PR Cash Outflow_3A'!C13</f>
        <v>144882</v>
      </c>
      <c r="Q14" s="828">
        <f>'PR_Total PR Cash Outflow_3A'!D13</f>
        <v>58430.34</v>
      </c>
      <c r="R14" s="829">
        <f>IF(P14="",IF(Q14="",0,P14-Q14),P14-Q14)</f>
        <v>86451.66</v>
      </c>
      <c r="S14" s="1873"/>
      <c r="T14" s="1873"/>
      <c r="U14" s="828">
        <f>'PR_Total PR Cash Outflow_3A'!H13</f>
        <v>4607116.54</v>
      </c>
      <c r="V14" s="828">
        <f>'PR_Total PR Cash Outflow_3A'!I13</f>
        <v>4306678.44</v>
      </c>
      <c r="W14" s="829">
        <f>IF(U14="",IF(V14="",0,U14-V14),U14-V14)</f>
        <v>300438.0999999996</v>
      </c>
      <c r="X14" s="831"/>
      <c r="IF14" s="357"/>
      <c r="IG14" s="357"/>
      <c r="IH14" s="357"/>
      <c r="II14" s="357"/>
      <c r="IJ14" s="357"/>
      <c r="IK14" s="357"/>
      <c r="IL14" s="357"/>
      <c r="IM14" s="357"/>
      <c r="IN14" s="357"/>
      <c r="IO14" s="357"/>
      <c r="IP14" s="357"/>
      <c r="IQ14" s="357"/>
      <c r="IR14" s="357"/>
      <c r="IS14" s="357"/>
      <c r="IT14" s="357"/>
      <c r="IU14" s="357"/>
      <c r="IV14" s="357"/>
    </row>
    <row r="15" spans="1:256" s="145" customFormat="1" ht="167.25" customHeight="1">
      <c r="A15" s="1915" t="s">
        <v>563</v>
      </c>
      <c r="B15" s="1915"/>
      <c r="C15" s="832">
        <f>P15</f>
        <v>0</v>
      </c>
      <c r="D15" s="832">
        <f>Q15</f>
        <v>0</v>
      </c>
      <c r="E15" s="199">
        <f>IF(C15="",IF(D15="",0,C15-D15),C15-D15)</f>
        <v>0</v>
      </c>
      <c r="F15" s="1916"/>
      <c r="G15" s="1916"/>
      <c r="H15" s="832">
        <f>U15</f>
        <v>0</v>
      </c>
      <c r="I15" s="832">
        <f>V15</f>
        <v>0</v>
      </c>
      <c r="J15" s="199">
        <f>IF(H15="",IF(I15="",0,H15-I15),H15-I15)</f>
        <v>0</v>
      </c>
      <c r="K15" s="833"/>
      <c r="L15" s="157"/>
      <c r="N15" s="1915" t="s">
        <v>563</v>
      </c>
      <c r="O15" s="1915"/>
      <c r="P15" s="832">
        <f>'PR_Total PR Cash Outflow_3A'!C14</f>
        <v>0</v>
      </c>
      <c r="Q15" s="832">
        <f>'PR_Total PR Cash Outflow_3A'!D14</f>
        <v>0</v>
      </c>
      <c r="R15" s="199">
        <f>IF(P15="",IF(Q15="",0,P15-Q15),P15-Q15)</f>
        <v>0</v>
      </c>
      <c r="S15" s="1916"/>
      <c r="T15" s="1916"/>
      <c r="U15" s="832">
        <f>'PR_Total PR Cash Outflow_3A'!H14</f>
        <v>0</v>
      </c>
      <c r="V15" s="832">
        <f>'PR_Total PR Cash Outflow_3A'!I14</f>
        <v>0</v>
      </c>
      <c r="W15" s="199">
        <f>IF(U15="",IF(V15="",0,U15-V15),U15-V15)</f>
        <v>0</v>
      </c>
      <c r="X15" s="834"/>
      <c r="IF15" s="357"/>
      <c r="IG15" s="357"/>
      <c r="IH15" s="357"/>
      <c r="II15" s="357"/>
      <c r="IJ15" s="357"/>
      <c r="IK15" s="357"/>
      <c r="IL15" s="357"/>
      <c r="IM15" s="357"/>
      <c r="IN15" s="357"/>
      <c r="IO15" s="357"/>
      <c r="IP15" s="357"/>
      <c r="IQ15" s="357"/>
      <c r="IR15" s="357"/>
      <c r="IS15" s="357"/>
      <c r="IT15" s="357"/>
      <c r="IU15" s="357"/>
      <c r="IV15" s="357"/>
    </row>
    <row r="16" spans="1:256" s="145" customFormat="1" ht="22.5" customHeight="1">
      <c r="A16" s="835"/>
      <c r="B16" s="835"/>
      <c r="C16" s="836"/>
      <c r="D16" s="836"/>
      <c r="E16" s="836"/>
      <c r="F16" s="696"/>
      <c r="G16" s="696"/>
      <c r="H16" s="836"/>
      <c r="I16" s="836"/>
      <c r="J16" s="836"/>
      <c r="K16" s="696"/>
      <c r="L16" s="836"/>
      <c r="N16" s="837"/>
      <c r="O16" s="835"/>
      <c r="P16" s="836"/>
      <c r="Q16" s="836"/>
      <c r="R16" s="836"/>
      <c r="S16" s="696"/>
      <c r="T16" s="696"/>
      <c r="U16" s="836"/>
      <c r="V16" s="836"/>
      <c r="W16" s="836"/>
      <c r="X16" s="838"/>
      <c r="IF16" s="357"/>
      <c r="IG16" s="357"/>
      <c r="IH16" s="357"/>
      <c r="II16" s="357"/>
      <c r="IJ16" s="357"/>
      <c r="IK16" s="357"/>
      <c r="IL16" s="357"/>
      <c r="IM16" s="357"/>
      <c r="IN16" s="357"/>
      <c r="IO16" s="357"/>
      <c r="IP16" s="357"/>
      <c r="IQ16" s="357"/>
      <c r="IR16" s="357"/>
      <c r="IS16" s="357"/>
      <c r="IT16" s="357"/>
      <c r="IU16" s="357"/>
      <c r="IV16" s="357"/>
    </row>
    <row r="17" spans="1:256" s="145" customFormat="1" ht="100.5" customHeight="1">
      <c r="A17" s="1917"/>
      <c r="B17" s="1917"/>
      <c r="C17" s="822" t="s">
        <v>915</v>
      </c>
      <c r="D17" s="822" t="s">
        <v>916</v>
      </c>
      <c r="E17" s="839" t="s">
        <v>548</v>
      </c>
      <c r="F17" s="1911" t="s">
        <v>917</v>
      </c>
      <c r="G17" s="1911"/>
      <c r="H17" s="822" t="s">
        <v>918</v>
      </c>
      <c r="I17" s="822" t="s">
        <v>919</v>
      </c>
      <c r="J17" s="822" t="s">
        <v>548</v>
      </c>
      <c r="K17" s="823" t="s">
        <v>917</v>
      </c>
      <c r="L17" s="157"/>
      <c r="N17" s="1917"/>
      <c r="O17" s="1917"/>
      <c r="P17" s="822" t="s">
        <v>915</v>
      </c>
      <c r="Q17" s="822" t="s">
        <v>916</v>
      </c>
      <c r="R17" s="839" t="s">
        <v>548</v>
      </c>
      <c r="S17" s="1911" t="s">
        <v>917</v>
      </c>
      <c r="T17" s="1911"/>
      <c r="U17" s="822" t="s">
        <v>918</v>
      </c>
      <c r="V17" s="822" t="s">
        <v>919</v>
      </c>
      <c r="W17" s="822" t="s">
        <v>548</v>
      </c>
      <c r="X17" s="824" t="s">
        <v>917</v>
      </c>
      <c r="IF17" s="357"/>
      <c r="IG17" s="357"/>
      <c r="IH17" s="357"/>
      <c r="II17" s="357"/>
      <c r="IJ17" s="357"/>
      <c r="IK17" s="357"/>
      <c r="IL17" s="357"/>
      <c r="IM17" s="357"/>
      <c r="IN17" s="357"/>
      <c r="IO17" s="357"/>
      <c r="IP17" s="357"/>
      <c r="IQ17" s="357"/>
      <c r="IR17" s="357"/>
      <c r="IS17" s="357"/>
      <c r="IT17" s="357"/>
      <c r="IU17" s="357"/>
      <c r="IV17" s="357"/>
    </row>
    <row r="18" spans="1:256" s="145" customFormat="1" ht="37.5" customHeight="1">
      <c r="A18" s="1921" t="s">
        <v>921</v>
      </c>
      <c r="B18" s="1921"/>
      <c r="C18" s="825">
        <f>C19+C20</f>
        <v>0</v>
      </c>
      <c r="D18" s="825">
        <f>D19+D20</f>
        <v>0</v>
      </c>
      <c r="E18" s="825">
        <f>IF(C18="",IF(D18="","",C18-D18),C18-D18)</f>
        <v>0</v>
      </c>
      <c r="F18" s="1920"/>
      <c r="G18" s="1920"/>
      <c r="H18" s="825">
        <f>H19+H20</f>
        <v>740335.2000000001</v>
      </c>
      <c r="I18" s="825">
        <f>I19+I20</f>
        <v>745434.06</v>
      </c>
      <c r="J18" s="825">
        <f>IF(H18="",IF(I18="","",H18-I18),H18-I18)</f>
        <v>-5098.859999999986</v>
      </c>
      <c r="K18" s="840"/>
      <c r="L18" s="157"/>
      <c r="N18" s="1919" t="s">
        <v>921</v>
      </c>
      <c r="O18" s="1919"/>
      <c r="P18" s="841">
        <f>P19+P20</f>
        <v>0</v>
      </c>
      <c r="Q18" s="825">
        <f>Q19+Q20</f>
        <v>0</v>
      </c>
      <c r="R18" s="825">
        <f>IF(P18="",IF(Q18="","",P18-Q18),P18-Q18)</f>
        <v>0</v>
      </c>
      <c r="S18" s="1920"/>
      <c r="T18" s="1920"/>
      <c r="U18" s="825">
        <f>U19+U20</f>
        <v>740335.2000000001</v>
      </c>
      <c r="V18" s="825">
        <f>V19+V20</f>
        <v>745434.06</v>
      </c>
      <c r="W18" s="825">
        <f>IF(U18="",IF(V18="","",U18-V18),U18-V18)</f>
        <v>-5098.859999999986</v>
      </c>
      <c r="X18" s="840"/>
      <c r="IF18" s="357"/>
      <c r="IG18" s="357"/>
      <c r="IH18" s="357"/>
      <c r="II18" s="357"/>
      <c r="IJ18" s="357"/>
      <c r="IK18" s="357"/>
      <c r="IL18" s="357"/>
      <c r="IM18" s="357"/>
      <c r="IN18" s="357"/>
      <c r="IO18" s="357"/>
      <c r="IP18" s="357"/>
      <c r="IQ18" s="357"/>
      <c r="IR18" s="357"/>
      <c r="IS18" s="357"/>
      <c r="IT18" s="357"/>
      <c r="IU18" s="357"/>
      <c r="IV18" s="357"/>
    </row>
    <row r="19" spans="1:256" s="145" customFormat="1" ht="42" customHeight="1">
      <c r="A19" s="1725" t="s">
        <v>570</v>
      </c>
      <c r="B19" s="1725"/>
      <c r="C19" s="828">
        <f>P19</f>
        <v>0</v>
      </c>
      <c r="D19" s="828">
        <f>Q19</f>
        <v>0</v>
      </c>
      <c r="E19" s="190">
        <f>IF(C19="",IF(D19="",0,C19-D19),C19-D19)</f>
        <v>0</v>
      </c>
      <c r="F19" s="1873"/>
      <c r="G19" s="1873"/>
      <c r="H19" s="828">
        <f>U19</f>
        <v>10926.1</v>
      </c>
      <c r="I19" s="828">
        <f>V19</f>
        <v>24842.96</v>
      </c>
      <c r="J19" s="190">
        <f>IF(H19="",IF(I19="",0,H19-I19),H19-I19)</f>
        <v>-13916.859999999999</v>
      </c>
      <c r="K19" s="842"/>
      <c r="L19" s="157"/>
      <c r="N19" s="1918" t="s">
        <v>570</v>
      </c>
      <c r="O19" s="1918"/>
      <c r="P19" s="843">
        <f>'PR_Total PR Cash Outflow_3A'!C18</f>
        <v>0</v>
      </c>
      <c r="Q19" s="844">
        <f>'PR_Total PR Cash Outflow_3A'!D18</f>
        <v>0</v>
      </c>
      <c r="R19" s="190">
        <f>IF(P19="",IF(Q19="",0,P19-Q19),P19-Q19)</f>
        <v>0</v>
      </c>
      <c r="S19" s="1873"/>
      <c r="T19" s="1873"/>
      <c r="U19" s="844">
        <f>'PR_Total PR Cash Outflow_3A'!H18</f>
        <v>10926.1</v>
      </c>
      <c r="V19" s="844">
        <f>'PR_Total PR Cash Outflow_3A'!I18</f>
        <v>24842.96</v>
      </c>
      <c r="W19" s="190">
        <f>IF(U19="",IF(V19="",0,U19-V19),U19-V19)</f>
        <v>-13916.859999999999</v>
      </c>
      <c r="X19" s="842"/>
      <c r="IF19" s="357"/>
      <c r="IG19" s="357"/>
      <c r="IH19" s="357"/>
      <c r="II19" s="357"/>
      <c r="IJ19" s="357"/>
      <c r="IK19" s="357"/>
      <c r="IL19" s="357"/>
      <c r="IM19" s="357"/>
      <c r="IN19" s="357"/>
      <c r="IO19" s="357"/>
      <c r="IP19" s="357"/>
      <c r="IQ19" s="357"/>
      <c r="IR19" s="357"/>
      <c r="IS19" s="357"/>
      <c r="IT19" s="357"/>
      <c r="IU19" s="357"/>
      <c r="IV19" s="357"/>
    </row>
    <row r="20" spans="1:256" s="145" customFormat="1" ht="57.75" customHeight="1">
      <c r="A20" s="1924" t="s">
        <v>572</v>
      </c>
      <c r="B20" s="1924"/>
      <c r="C20" s="832">
        <f>P20</f>
        <v>0</v>
      </c>
      <c r="D20" s="832">
        <f>Q20</f>
        <v>0</v>
      </c>
      <c r="E20" s="199">
        <f>IF(C20="",IF(D20="",0,C20-D20),C20-D20)</f>
        <v>0</v>
      </c>
      <c r="F20" s="1916"/>
      <c r="G20" s="1916"/>
      <c r="H20" s="832">
        <f>U20</f>
        <v>729409.1000000001</v>
      </c>
      <c r="I20" s="832">
        <f>V20</f>
        <v>720591.1000000001</v>
      </c>
      <c r="J20" s="199">
        <f>IF(H20="",IF(I20="",0,H20-I20),H20-I20)</f>
        <v>8818</v>
      </c>
      <c r="K20" s="834"/>
      <c r="L20" s="157"/>
      <c r="N20" s="1898" t="s">
        <v>572</v>
      </c>
      <c r="O20" s="1898"/>
      <c r="P20" s="845">
        <f>'PR_Total PR Cash Outflow_3A'!C19</f>
        <v>0</v>
      </c>
      <c r="Q20" s="832">
        <f>'PR_Total PR Cash Outflow_3A'!D19</f>
        <v>0</v>
      </c>
      <c r="R20" s="199">
        <f>IF(P20="",IF(Q20="",0,P20-Q20),P20-Q20)</f>
        <v>0</v>
      </c>
      <c r="S20" s="1916"/>
      <c r="T20" s="1916"/>
      <c r="U20" s="832">
        <f>'PR_Total PR Cash Outflow_3A'!H19</f>
        <v>729409.1000000001</v>
      </c>
      <c r="V20" s="832">
        <f>'PR_Total PR Cash Outflow_3A'!I19</f>
        <v>720591.1000000001</v>
      </c>
      <c r="W20" s="199">
        <f>IF(U20="",IF(V20="",0,U20-V20),U20-V20)</f>
        <v>8818</v>
      </c>
      <c r="X20" s="834"/>
      <c r="IF20" s="357"/>
      <c r="IG20" s="357"/>
      <c r="IH20" s="357"/>
      <c r="II20" s="357"/>
      <c r="IJ20" s="357"/>
      <c r="IK20" s="357"/>
      <c r="IL20" s="357"/>
      <c r="IM20" s="357"/>
      <c r="IN20" s="357"/>
      <c r="IO20" s="357"/>
      <c r="IP20" s="357"/>
      <c r="IQ20" s="357"/>
      <c r="IR20" s="357"/>
      <c r="IS20" s="357"/>
      <c r="IT20" s="357"/>
      <c r="IU20" s="357"/>
      <c r="IV20" s="357"/>
    </row>
    <row r="21" spans="1:256" s="145" customFormat="1" ht="9.75" customHeight="1">
      <c r="A21" s="846"/>
      <c r="B21" s="846"/>
      <c r="C21" s="847"/>
      <c r="D21" s="848"/>
      <c r="E21" s="848"/>
      <c r="F21" s="848"/>
      <c r="G21" s="848"/>
      <c r="H21" s="848"/>
      <c r="I21" s="848"/>
      <c r="J21" s="848"/>
      <c r="K21" s="849"/>
      <c r="L21" s="157"/>
      <c r="IF21" s="357"/>
      <c r="IG21" s="357"/>
      <c r="IH21" s="357"/>
      <c r="II21" s="357"/>
      <c r="IJ21" s="357"/>
      <c r="IK21" s="357"/>
      <c r="IL21" s="357"/>
      <c r="IM21" s="357"/>
      <c r="IN21" s="357"/>
      <c r="IO21" s="357"/>
      <c r="IP21" s="357"/>
      <c r="IQ21" s="357"/>
      <c r="IR21" s="357"/>
      <c r="IS21" s="357"/>
      <c r="IT21" s="357"/>
      <c r="IU21" s="357"/>
      <c r="IV21" s="357"/>
    </row>
    <row r="22" spans="1:256" s="145" customFormat="1" ht="20.25" customHeight="1">
      <c r="A22" s="295" t="s">
        <v>922</v>
      </c>
      <c r="B22" s="850"/>
      <c r="C22" s="850"/>
      <c r="D22" s="851"/>
      <c r="E22" s="852"/>
      <c r="F22" s="852"/>
      <c r="G22" s="852"/>
      <c r="H22" s="852"/>
      <c r="I22" s="852"/>
      <c r="J22" s="852"/>
      <c r="K22" s="853"/>
      <c r="L22" s="836"/>
      <c r="M22" s="664"/>
      <c r="N22" s="664"/>
      <c r="O22" s="664"/>
      <c r="P22" s="664"/>
      <c r="Q22" s="664"/>
      <c r="R22" s="664"/>
      <c r="S22" s="664"/>
      <c r="T22" s="664"/>
      <c r="U22" s="664"/>
      <c r="V22" s="664"/>
      <c r="W22" s="664"/>
      <c r="X22" s="664"/>
      <c r="Y22" s="664"/>
      <c r="Z22" s="664"/>
      <c r="AA22" s="664"/>
      <c r="AB22" s="664"/>
      <c r="AC22" s="664"/>
      <c r="IF22" s="107"/>
      <c r="IG22" s="107"/>
      <c r="IH22" s="107"/>
      <c r="II22" s="107"/>
      <c r="IJ22" s="107"/>
      <c r="IK22" s="107"/>
      <c r="IL22" s="107"/>
      <c r="IM22" s="107"/>
      <c r="IN22" s="107"/>
      <c r="IO22" s="107"/>
      <c r="IP22" s="107"/>
      <c r="IQ22" s="107"/>
      <c r="IR22" s="107"/>
      <c r="IS22" s="107"/>
      <c r="IT22" s="107"/>
      <c r="IU22" s="107"/>
      <c r="IV22" s="107"/>
    </row>
    <row r="23" spans="1:256" s="145" customFormat="1" ht="20.25" customHeight="1">
      <c r="A23" s="113"/>
      <c r="B23" s="113"/>
      <c r="C23" s="836"/>
      <c r="D23" s="854"/>
      <c r="E23" s="852"/>
      <c r="F23" s="852"/>
      <c r="G23" s="852"/>
      <c r="H23" s="852"/>
      <c r="I23" s="852"/>
      <c r="J23" s="852"/>
      <c r="K23" s="855"/>
      <c r="L23" s="836"/>
      <c r="M23" s="664"/>
      <c r="N23" s="664"/>
      <c r="O23" s="664"/>
      <c r="P23" s="664"/>
      <c r="Q23" s="664"/>
      <c r="R23" s="664"/>
      <c r="S23" s="664"/>
      <c r="T23" s="664"/>
      <c r="U23" s="664"/>
      <c r="V23" s="664"/>
      <c r="W23" s="664"/>
      <c r="X23" s="664"/>
      <c r="Y23" s="664"/>
      <c r="Z23" s="664"/>
      <c r="AA23" s="664"/>
      <c r="AB23" s="664"/>
      <c r="AC23" s="664"/>
      <c r="IF23" s="107"/>
      <c r="IG23" s="107"/>
      <c r="IH23" s="107"/>
      <c r="II23" s="107"/>
      <c r="IJ23" s="107"/>
      <c r="IK23" s="107"/>
      <c r="IL23" s="107"/>
      <c r="IM23" s="107"/>
      <c r="IN23" s="107"/>
      <c r="IO23" s="107"/>
      <c r="IP23" s="107"/>
      <c r="IQ23" s="107"/>
      <c r="IR23" s="107"/>
      <c r="IS23" s="107"/>
      <c r="IT23" s="107"/>
      <c r="IU23" s="107"/>
      <c r="IV23" s="107"/>
    </row>
    <row r="24" spans="1:256" ht="24.75" customHeight="1">
      <c r="A24" s="1922" t="s">
        <v>923</v>
      </c>
      <c r="B24" s="1922"/>
      <c r="C24" s="1922"/>
      <c r="D24" s="1922"/>
      <c r="E24" s="1922"/>
      <c r="F24" s="1922"/>
      <c r="G24" s="1922"/>
      <c r="H24" s="1922"/>
      <c r="I24" s="1922"/>
      <c r="J24" s="1922"/>
      <c r="K24" s="1922"/>
      <c r="L24" s="856"/>
      <c r="M24" s="664"/>
      <c r="N24" s="664"/>
      <c r="O24" s="664"/>
      <c r="P24" s="664"/>
      <c r="Q24" s="664"/>
      <c r="R24" s="664"/>
      <c r="S24" s="664"/>
      <c r="T24" s="664"/>
      <c r="U24" s="664"/>
      <c r="V24" s="664"/>
      <c r="W24" s="664"/>
      <c r="X24" s="664"/>
      <c r="Y24" s="664"/>
      <c r="Z24" s="664"/>
      <c r="AA24" s="664"/>
      <c r="AB24" s="664"/>
      <c r="AC24" s="664"/>
      <c r="IF24" s="101"/>
      <c r="IG24" s="101"/>
      <c r="IH24" s="101"/>
      <c r="II24" s="101"/>
      <c r="IJ24" s="101"/>
      <c r="IK24" s="101"/>
      <c r="IL24" s="101"/>
      <c r="IM24" s="101"/>
      <c r="IN24" s="101"/>
      <c r="IO24" s="101"/>
      <c r="IP24" s="101"/>
      <c r="IQ24" s="101"/>
      <c r="IR24" s="101"/>
      <c r="IS24" s="101"/>
      <c r="IT24" s="101"/>
      <c r="IU24" s="101"/>
      <c r="IV24" s="101"/>
    </row>
    <row r="25" spans="1:256" ht="53.25" customHeight="1">
      <c r="A25" s="1923"/>
      <c r="B25" s="1923"/>
      <c r="C25" s="1923"/>
      <c r="D25" s="1923"/>
      <c r="E25" s="1923"/>
      <c r="F25" s="1923"/>
      <c r="G25" s="1923"/>
      <c r="H25" s="1923"/>
      <c r="I25" s="1923"/>
      <c r="J25" s="1923"/>
      <c r="K25" s="1923"/>
      <c r="L25" s="856"/>
      <c r="M25" s="664"/>
      <c r="N25" s="664"/>
      <c r="O25" s="664"/>
      <c r="P25" s="664"/>
      <c r="Q25" s="664"/>
      <c r="R25" s="664"/>
      <c r="S25" s="664"/>
      <c r="T25" s="664"/>
      <c r="U25" s="664"/>
      <c r="V25" s="664"/>
      <c r="W25" s="664"/>
      <c r="X25" s="664"/>
      <c r="Y25" s="664"/>
      <c r="Z25" s="664"/>
      <c r="AA25" s="664"/>
      <c r="AB25" s="664"/>
      <c r="AC25" s="664"/>
      <c r="IF25" s="101"/>
      <c r="IG25" s="101"/>
      <c r="IH25" s="101"/>
      <c r="II25" s="101"/>
      <c r="IJ25" s="101"/>
      <c r="IK25" s="101"/>
      <c r="IL25" s="101"/>
      <c r="IM25" s="101"/>
      <c r="IN25" s="101"/>
      <c r="IO25" s="101"/>
      <c r="IP25" s="101"/>
      <c r="IQ25" s="101"/>
      <c r="IR25" s="101"/>
      <c r="IS25" s="101"/>
      <c r="IT25" s="101"/>
      <c r="IU25" s="101"/>
      <c r="IV25" s="101"/>
    </row>
    <row r="26" spans="1:29" s="145" customFormat="1" ht="13.5" customHeight="1">
      <c r="A26" s="113"/>
      <c r="B26" s="113"/>
      <c r="C26" s="836"/>
      <c r="D26" s="836"/>
      <c r="E26" s="836"/>
      <c r="F26" s="836"/>
      <c r="G26" s="836"/>
      <c r="H26" s="836"/>
      <c r="I26" s="836"/>
      <c r="J26" s="836"/>
      <c r="K26" s="836"/>
      <c r="L26" s="836"/>
      <c r="M26" s="664"/>
      <c r="N26" s="664"/>
      <c r="O26" s="664"/>
      <c r="P26" s="664"/>
      <c r="Q26" s="664"/>
      <c r="R26" s="664"/>
      <c r="S26" s="664"/>
      <c r="T26" s="664"/>
      <c r="U26" s="664"/>
      <c r="V26" s="664"/>
      <c r="W26" s="664"/>
      <c r="X26" s="664"/>
      <c r="Y26" s="664"/>
      <c r="Z26" s="664"/>
      <c r="AA26" s="664"/>
      <c r="AB26" s="664"/>
      <c r="AC26" s="664"/>
    </row>
    <row r="27" s="664" customFormat="1" ht="14.25">
      <c r="L27" s="857"/>
    </row>
    <row r="28" s="664" customFormat="1" ht="14.25">
      <c r="L28" s="857"/>
    </row>
    <row r="29" s="664" customFormat="1" ht="14.25">
      <c r="L29" s="857"/>
    </row>
    <row r="30" s="664" customFormat="1" ht="14.25">
      <c r="L30" s="857"/>
    </row>
    <row r="31" s="664" customFormat="1" ht="14.25">
      <c r="L31" s="857"/>
    </row>
    <row r="32" s="664" customFormat="1" ht="14.25">
      <c r="L32" s="857"/>
    </row>
    <row r="33" s="664" customFormat="1" ht="14.25">
      <c r="L33" s="857"/>
    </row>
    <row r="34" s="664" customFormat="1" ht="14.25">
      <c r="L34" s="857"/>
    </row>
    <row r="35" s="664" customFormat="1" ht="14.25">
      <c r="L35" s="857"/>
    </row>
    <row r="36" s="664" customFormat="1" ht="14.25">
      <c r="L36" s="857"/>
    </row>
    <row r="37" s="664" customFormat="1" ht="14.25">
      <c r="L37" s="857"/>
    </row>
    <row r="38" s="664" customFormat="1" ht="14.25">
      <c r="L38" s="857"/>
    </row>
    <row r="39" s="664" customFormat="1" ht="14.25">
      <c r="L39" s="857"/>
    </row>
    <row r="40" s="664" customFormat="1" ht="14.25">
      <c r="L40" s="857"/>
    </row>
    <row r="41" s="664" customFormat="1" ht="14.25">
      <c r="L41" s="857"/>
    </row>
    <row r="42" s="664" customFormat="1" ht="14.25">
      <c r="L42" s="857"/>
    </row>
    <row r="43" s="664" customFormat="1" ht="14.25">
      <c r="L43" s="857"/>
    </row>
    <row r="44" s="664" customFormat="1" ht="14.25">
      <c r="L44" s="857"/>
    </row>
    <row r="45" s="664" customFormat="1" ht="14.25">
      <c r="L45" s="857"/>
    </row>
    <row r="46" s="664" customFormat="1" ht="14.25">
      <c r="L46" s="857"/>
    </row>
    <row r="47" s="664" customFormat="1" ht="14.25">
      <c r="L47" s="857"/>
    </row>
    <row r="48" s="664" customFormat="1" ht="14.25">
      <c r="L48" s="857"/>
    </row>
    <row r="49" s="664" customFormat="1" ht="14.25">
      <c r="L49" s="857"/>
    </row>
    <row r="50" s="664" customFormat="1" ht="14.25">
      <c r="L50" s="857"/>
    </row>
    <row r="51" s="664" customFormat="1" ht="14.25">
      <c r="L51" s="857"/>
    </row>
    <row r="52" s="664" customFormat="1" ht="14.25">
      <c r="L52" s="857"/>
    </row>
    <row r="53" s="664" customFormat="1" ht="14.25">
      <c r="L53" s="857"/>
    </row>
    <row r="54" s="664" customFormat="1" ht="14.25">
      <c r="L54" s="857"/>
    </row>
    <row r="55" s="664" customFormat="1" ht="14.25">
      <c r="L55" s="857"/>
    </row>
    <row r="56" s="664" customFormat="1" ht="14.25">
      <c r="L56" s="857"/>
    </row>
    <row r="57" s="664" customFormat="1" ht="14.25">
      <c r="L57" s="857"/>
    </row>
    <row r="58" s="664" customFormat="1" ht="14.25">
      <c r="L58" s="857"/>
    </row>
    <row r="59" s="664" customFormat="1" ht="14.25">
      <c r="L59" s="857"/>
    </row>
    <row r="60" s="664" customFormat="1" ht="14.25">
      <c r="L60" s="857"/>
    </row>
    <row r="61" s="664" customFormat="1" ht="14.25">
      <c r="L61" s="857"/>
    </row>
    <row r="62" s="664" customFormat="1" ht="14.25">
      <c r="L62" s="857"/>
    </row>
    <row r="63" s="664" customFormat="1" ht="14.25">
      <c r="L63" s="857"/>
    </row>
    <row r="64" s="664" customFormat="1" ht="14.25">
      <c r="L64" s="857"/>
    </row>
    <row r="65" s="664" customFormat="1" ht="14.25">
      <c r="L65" s="857"/>
    </row>
    <row r="66" s="664" customFormat="1" ht="14.25">
      <c r="L66" s="857"/>
    </row>
    <row r="67" s="664" customFormat="1" ht="14.25">
      <c r="L67" s="857"/>
    </row>
    <row r="68" s="664" customFormat="1" ht="14.25">
      <c r="L68" s="857"/>
    </row>
    <row r="69" s="664" customFormat="1" ht="14.25">
      <c r="L69" s="857"/>
    </row>
    <row r="70" s="664" customFormat="1" ht="14.25">
      <c r="L70" s="857"/>
    </row>
    <row r="71" s="664" customFormat="1" ht="14.25">
      <c r="L71" s="857"/>
    </row>
    <row r="72" spans="12:29" s="664" customFormat="1" ht="14.25">
      <c r="L72" s="857"/>
      <c r="M72" s="5"/>
      <c r="N72" s="5"/>
      <c r="O72" s="5"/>
      <c r="P72" s="5"/>
      <c r="Q72" s="5"/>
      <c r="R72" s="5"/>
      <c r="S72" s="5"/>
      <c r="T72" s="5"/>
      <c r="U72" s="5"/>
      <c r="V72" s="5"/>
      <c r="W72" s="5"/>
      <c r="X72" s="5"/>
      <c r="Y72" s="5"/>
      <c r="Z72" s="5"/>
      <c r="AA72" s="5"/>
      <c r="AB72" s="5"/>
      <c r="AC72" s="5"/>
    </row>
    <row r="73" spans="12:29" s="664" customFormat="1" ht="14.25">
      <c r="L73" s="857"/>
      <c r="M73" s="5"/>
      <c r="N73" s="5"/>
      <c r="O73" s="5"/>
      <c r="P73" s="5"/>
      <c r="Q73" s="5"/>
      <c r="R73" s="5"/>
      <c r="S73" s="5"/>
      <c r="T73" s="5"/>
      <c r="U73" s="5"/>
      <c r="V73" s="5"/>
      <c r="W73" s="5"/>
      <c r="X73" s="5"/>
      <c r="Y73" s="5"/>
      <c r="Z73" s="5"/>
      <c r="AA73" s="5"/>
      <c r="AB73" s="5"/>
      <c r="AC73" s="5"/>
    </row>
    <row r="74" spans="12:29" s="664" customFormat="1" ht="14.25">
      <c r="L74" s="857"/>
      <c r="M74" s="5"/>
      <c r="N74" s="5"/>
      <c r="O74" s="5"/>
      <c r="P74" s="5"/>
      <c r="Q74" s="5"/>
      <c r="R74" s="5"/>
      <c r="S74" s="5"/>
      <c r="T74" s="5"/>
      <c r="U74" s="5"/>
      <c r="V74" s="5"/>
      <c r="W74" s="5"/>
      <c r="X74" s="5"/>
      <c r="Y74" s="5"/>
      <c r="Z74" s="5"/>
      <c r="AA74" s="5"/>
      <c r="AB74" s="5"/>
      <c r="AC74" s="5"/>
    </row>
    <row r="75" spans="12:29" s="664" customFormat="1" ht="14.25">
      <c r="L75" s="857"/>
      <c r="M75" s="5"/>
      <c r="N75" s="5"/>
      <c r="O75" s="5"/>
      <c r="P75" s="5"/>
      <c r="Q75" s="5"/>
      <c r="R75" s="5"/>
      <c r="S75" s="5"/>
      <c r="T75" s="5"/>
      <c r="U75" s="5"/>
      <c r="V75" s="5"/>
      <c r="W75" s="5"/>
      <c r="X75" s="5"/>
      <c r="Y75" s="5"/>
      <c r="Z75" s="5"/>
      <c r="AA75" s="5"/>
      <c r="AB75" s="5"/>
      <c r="AC75" s="5"/>
    </row>
    <row r="76" spans="12:29" s="664" customFormat="1" ht="14.25">
      <c r="L76" s="857"/>
      <c r="M76" s="5"/>
      <c r="N76" s="5"/>
      <c r="O76" s="5"/>
      <c r="P76" s="5"/>
      <c r="Q76" s="5"/>
      <c r="R76" s="5"/>
      <c r="S76" s="5"/>
      <c r="T76" s="5"/>
      <c r="U76" s="5"/>
      <c r="V76" s="5"/>
      <c r="W76" s="5"/>
      <c r="X76" s="5"/>
      <c r="Y76" s="5"/>
      <c r="Z76" s="5"/>
      <c r="AA76" s="5"/>
      <c r="AB76" s="5"/>
      <c r="AC76" s="5"/>
    </row>
  </sheetData>
  <sheetProtection password="92D1" sheet="1" formatCells="0" formatColumns="0" formatRows="0"/>
  <mergeCells count="42">
    <mergeCell ref="A18:B18"/>
    <mergeCell ref="F18:G18"/>
    <mergeCell ref="A24:K24"/>
    <mergeCell ref="A25:K25"/>
    <mergeCell ref="A20:B20"/>
    <mergeCell ref="F20:G20"/>
    <mergeCell ref="A19:B19"/>
    <mergeCell ref="F19:G19"/>
    <mergeCell ref="N20:O20"/>
    <mergeCell ref="S20:T20"/>
    <mergeCell ref="A17:B17"/>
    <mergeCell ref="F17:G17"/>
    <mergeCell ref="N17:O17"/>
    <mergeCell ref="S17:T17"/>
    <mergeCell ref="N19:O19"/>
    <mergeCell ref="S19:T19"/>
    <mergeCell ref="N18:O18"/>
    <mergeCell ref="S18:T18"/>
    <mergeCell ref="A14:B14"/>
    <mergeCell ref="F14:G14"/>
    <mergeCell ref="N14:O14"/>
    <mergeCell ref="S14:T14"/>
    <mergeCell ref="A15:B15"/>
    <mergeCell ref="F15:G15"/>
    <mergeCell ref="N15:O15"/>
    <mergeCell ref="S15:T15"/>
    <mergeCell ref="A12:B12"/>
    <mergeCell ref="F12:G12"/>
    <mergeCell ref="N12:O12"/>
    <mergeCell ref="S12:T12"/>
    <mergeCell ref="A13:B13"/>
    <mergeCell ref="F13:G13"/>
    <mergeCell ref="N13:O13"/>
    <mergeCell ref="S13:T13"/>
    <mergeCell ref="C7:G7"/>
    <mergeCell ref="A10:K10"/>
    <mergeCell ref="A1:K1"/>
    <mergeCell ref="A3:B3"/>
    <mergeCell ref="C3:G3"/>
    <mergeCell ref="D4:E4"/>
    <mergeCell ref="D5:E5"/>
    <mergeCell ref="C6:G6"/>
  </mergeCells>
  <conditionalFormatting sqref="C26:L26 C23:D23 E21:E23 E12 L12:L23 G19:G23 H12 C21:D21 F12:G15 F16:F23 C16:E17 K17:K23 G16:J17 H21:J23">
    <cfRule type="cellIs" priority="1" dxfId="14" operator="lessThan" stopIfTrue="1">
      <formula>0</formula>
    </cfRule>
  </conditionalFormatting>
  <conditionalFormatting sqref="H26:L26 C26:E26 C23:D23 H12 E21:E23 F13:G17 C21:D21 E12 L12:L23 C16:E17 K17:K23 H16:J17 H21:J23">
    <cfRule type="cellIs" priority="2" dxfId="0" operator="lessThan" stopIfTrue="1">
      <formula>0</formula>
    </cfRule>
  </conditionalFormatting>
  <conditionalFormatting sqref="R12 T19:T20 U12 S12:T15 S16:S20 P16:R17 X17:X20 T16:W17">
    <cfRule type="cellIs" priority="3" dxfId="14" operator="lessThan" stopIfTrue="1">
      <formula>0</formula>
    </cfRule>
  </conditionalFormatting>
  <conditionalFormatting sqref="U12 S13:T17 R12 P16:R17 X17:X20 U16:W17">
    <cfRule type="cellIs" priority="4" dxfId="0" operator="lessThan" stopIfTrue="1">
      <formula>0</formula>
    </cfRule>
  </conditionalFormatting>
  <conditionalFormatting sqref="C13:E15 H13:J15 C18:E20 H18:J20">
    <cfRule type="cellIs" priority="5" dxfId="1" operator="notEqual" stopIfTrue="1">
      <formula>P13</formula>
    </cfRule>
  </conditionalFormatting>
  <printOptions horizontalCentered="1"/>
  <pageMargins left="0.7479166666666667" right="0.7479166666666667" top="0.39375" bottom="0.5902777777777777" header="0.5118055555555555" footer="0.5118055555555555"/>
  <pageSetup cellComments="atEnd" fitToHeight="0" fitToWidth="1" horizontalDpi="300" verticalDpi="300" orientation="landscape" paperSize="9" scale="41" r:id="rId1"/>
  <headerFooter alignWithMargins="0">
    <oddFooter>&amp;L&amp;9&amp;F&amp;C&amp;A&amp;R&amp;9Page &amp;P of &amp;N</oddFooter>
  </headerFooter>
</worksheet>
</file>

<file path=xl/worksheets/sheet19.xml><?xml version="1.0" encoding="utf-8"?>
<worksheet xmlns="http://schemas.openxmlformats.org/spreadsheetml/2006/main" xmlns:r="http://schemas.openxmlformats.org/officeDocument/2006/relationships">
  <sheetPr>
    <tabColor indexed="40"/>
    <pageSetUpPr fitToPage="1"/>
  </sheetPr>
  <dimension ref="A1:IV64"/>
  <sheetViews>
    <sheetView showGridLines="0" view="pageBreakPreview" zoomScale="70" zoomScaleNormal="75" zoomScaleSheetLayoutView="70" zoomScalePageLayoutView="0" workbookViewId="0" topLeftCell="A1">
      <selection activeCell="J74" sqref="J74"/>
    </sheetView>
  </sheetViews>
  <sheetFormatPr defaultColWidth="0" defaultRowHeight="12.75"/>
  <cols>
    <col min="1" max="1" width="3.8515625" style="858" customWidth="1"/>
    <col min="2" max="2" width="14.7109375" style="858" customWidth="1"/>
    <col min="3" max="3" width="33.140625" style="858" customWidth="1"/>
    <col min="4" max="4" width="27.57421875" style="858" customWidth="1"/>
    <col min="5" max="5" width="20.8515625" style="858" customWidth="1"/>
    <col min="6" max="6" width="18.57421875" style="858" customWidth="1"/>
    <col min="7" max="7" width="30.140625" style="859" customWidth="1"/>
    <col min="8" max="8" width="19.140625" style="163" customWidth="1"/>
    <col min="9" max="9" width="7.00390625" style="163" customWidth="1"/>
    <col min="10" max="10" width="86.57421875" style="163" customWidth="1"/>
    <col min="11" max="11" width="6.57421875" style="163" customWidth="1"/>
    <col min="12" max="22" width="9.140625" style="163" customWidth="1"/>
    <col min="23" max="255" width="9.140625" style="858" customWidth="1"/>
    <col min="256" max="16384" width="0" style="858" hidden="1" customWidth="1"/>
  </cols>
  <sheetData>
    <row r="1" spans="1:256" s="861" customFormat="1" ht="25.5" customHeight="1">
      <c r="A1" s="1829" t="s">
        <v>924</v>
      </c>
      <c r="B1" s="1829"/>
      <c r="C1" s="1829"/>
      <c r="D1" s="1829"/>
      <c r="E1" s="1829"/>
      <c r="F1" s="1829"/>
      <c r="G1" s="1829"/>
      <c r="H1" s="1829"/>
      <c r="I1" s="1829"/>
      <c r="J1" s="1829"/>
      <c r="K1" s="860"/>
      <c r="L1" s="860"/>
      <c r="M1" s="860"/>
      <c r="N1" s="163"/>
      <c r="O1" s="163"/>
      <c r="P1" s="163"/>
      <c r="Q1" s="163"/>
      <c r="IU1" s="163"/>
      <c r="IV1" s="163"/>
    </row>
    <row r="2" spans="1:256" s="861" customFormat="1" ht="14.25" customHeight="1">
      <c r="A2" s="5"/>
      <c r="B2" s="5"/>
      <c r="C2" s="5"/>
      <c r="D2" s="5"/>
      <c r="E2" s="5"/>
      <c r="F2" s="5"/>
      <c r="G2" s="5"/>
      <c r="H2" s="628"/>
      <c r="I2" s="862"/>
      <c r="J2" s="5"/>
      <c r="K2" s="860"/>
      <c r="L2" s="860"/>
      <c r="M2" s="860"/>
      <c r="N2" s="163"/>
      <c r="O2" s="163"/>
      <c r="P2" s="163"/>
      <c r="Q2" s="163"/>
      <c r="IU2" s="163"/>
      <c r="IV2" s="163"/>
    </row>
    <row r="3" spans="1:256" s="861" customFormat="1" ht="15" customHeight="1">
      <c r="A3" s="1837" t="s">
        <v>847</v>
      </c>
      <c r="B3" s="1837"/>
      <c r="C3" s="1837"/>
      <c r="D3" s="1926">
        <f>IF('LFA_Programmatic Progress_1A'!C3=0,"",'LFA_Programmatic Progress_1A'!C3)</f>
      </c>
      <c r="E3" s="1926"/>
      <c r="F3" s="1926"/>
      <c r="G3" s="1926"/>
      <c r="H3" s="696"/>
      <c r="I3" s="16"/>
      <c r="J3" s="16"/>
      <c r="K3" s="863"/>
      <c r="L3" s="864"/>
      <c r="M3" s="864"/>
      <c r="N3" s="864"/>
      <c r="O3" s="864"/>
      <c r="P3" s="864"/>
      <c r="Q3" s="864"/>
      <c r="IU3" s="865"/>
      <c r="IV3" s="865"/>
    </row>
    <row r="4" spans="1:256" s="163" customFormat="1" ht="27.75" customHeight="1">
      <c r="A4" s="20" t="s">
        <v>848</v>
      </c>
      <c r="B4" s="160"/>
      <c r="C4" s="160"/>
      <c r="D4" s="866"/>
      <c r="E4" s="866"/>
      <c r="F4" s="866"/>
      <c r="G4" s="866"/>
      <c r="H4" s="160"/>
      <c r="I4" s="160"/>
      <c r="J4" s="160"/>
      <c r="IS4" s="865"/>
      <c r="IT4" s="865"/>
      <c r="IU4" s="865"/>
      <c r="IV4" s="865"/>
    </row>
    <row r="5" spans="1:256" s="861" customFormat="1" ht="15" customHeight="1">
      <c r="A5" s="1672" t="s">
        <v>849</v>
      </c>
      <c r="B5" s="1672"/>
      <c r="C5" s="1672"/>
      <c r="D5" s="1927" t="str">
        <f>IF('PR_Programmatic Progress_1A'!C5="","",'PR_Programmatic Progress_1A'!C5)</f>
        <v>El Salvador</v>
      </c>
      <c r="E5" s="1927"/>
      <c r="F5" s="1927"/>
      <c r="G5" s="1927"/>
      <c r="H5" s="696"/>
      <c r="I5" s="16"/>
      <c r="J5" s="16"/>
      <c r="K5" s="863"/>
      <c r="L5" s="864"/>
      <c r="M5" s="864"/>
      <c r="N5" s="864"/>
      <c r="O5" s="864"/>
      <c r="P5" s="864"/>
      <c r="Q5" s="864"/>
      <c r="IU5" s="865"/>
      <c r="IV5" s="865"/>
    </row>
    <row r="6" spans="1:256" s="861" customFormat="1" ht="15" customHeight="1">
      <c r="A6" s="1807" t="s">
        <v>850</v>
      </c>
      <c r="B6" s="1807"/>
      <c r="C6" s="1807"/>
      <c r="D6" s="1925" t="str">
        <f>IF('PR_Programmatic Progress_1A'!C6="","",'PR_Programmatic Progress_1A'!C6)</f>
        <v>Tuberculosis</v>
      </c>
      <c r="E6" s="1925"/>
      <c r="F6" s="1925"/>
      <c r="G6" s="1925"/>
      <c r="H6" s="696"/>
      <c r="I6" s="16"/>
      <c r="J6" s="16"/>
      <c r="K6" s="864"/>
      <c r="L6" s="864"/>
      <c r="M6" s="864"/>
      <c r="N6" s="864"/>
      <c r="O6" s="864"/>
      <c r="P6" s="864"/>
      <c r="Q6" s="864"/>
      <c r="IU6" s="865"/>
      <c r="IV6" s="865"/>
    </row>
    <row r="7" spans="1:256" s="861" customFormat="1" ht="15" customHeight="1">
      <c r="A7" s="1807" t="s">
        <v>851</v>
      </c>
      <c r="B7" s="1807"/>
      <c r="C7" s="1807"/>
      <c r="D7" s="1928" t="str">
        <f>IF('PR_Programmatic Progress_1A'!C7="","",'PR_Programmatic Progress_1A'!C7)</f>
        <v>SLV-910-G08-T</v>
      </c>
      <c r="E7" s="1928"/>
      <c r="F7" s="1928"/>
      <c r="G7" s="1928"/>
      <c r="H7" s="698"/>
      <c r="I7" s="16"/>
      <c r="J7" s="54"/>
      <c r="K7" s="864"/>
      <c r="L7" s="864"/>
      <c r="M7" s="864"/>
      <c r="N7" s="864"/>
      <c r="O7" s="864"/>
      <c r="P7" s="864"/>
      <c r="Q7" s="864"/>
      <c r="IU7" s="865"/>
      <c r="IV7" s="865"/>
    </row>
    <row r="8" spans="1:256" s="861" customFormat="1" ht="15" customHeight="1">
      <c r="A8" s="1807" t="s">
        <v>852</v>
      </c>
      <c r="B8" s="1807"/>
      <c r="C8" s="1807"/>
      <c r="D8" s="1925" t="str">
        <f>IF('PR_Programmatic Progress_1A'!C8="","",'PR_Programmatic Progress_1A'!C8)</f>
        <v>Ministerio de Salud </v>
      </c>
      <c r="E8" s="1925"/>
      <c r="F8" s="1925"/>
      <c r="G8" s="1925"/>
      <c r="H8" s="696"/>
      <c r="I8" s="16"/>
      <c r="J8" s="16"/>
      <c r="K8" s="864"/>
      <c r="L8" s="864"/>
      <c r="M8" s="864"/>
      <c r="N8" s="864"/>
      <c r="O8" s="864"/>
      <c r="P8" s="864"/>
      <c r="Q8" s="864"/>
      <c r="IU8" s="865"/>
      <c r="IV8" s="865"/>
    </row>
    <row r="9" spans="1:256" s="861" customFormat="1" ht="15" customHeight="1">
      <c r="A9" s="1807" t="s">
        <v>853</v>
      </c>
      <c r="B9" s="1807"/>
      <c r="C9" s="1807"/>
      <c r="D9" s="1842">
        <f>IF('PR_Programmatic Progress_1A'!C9="","",'PR_Programmatic Progress_1A'!C9)</f>
        <v>40360</v>
      </c>
      <c r="E9" s="1842"/>
      <c r="F9" s="1842"/>
      <c r="G9" s="1842"/>
      <c r="H9" s="700"/>
      <c r="I9" s="16"/>
      <c r="J9" s="16"/>
      <c r="K9" s="864"/>
      <c r="L9" s="864"/>
      <c r="M9" s="864"/>
      <c r="N9" s="864"/>
      <c r="O9" s="864"/>
      <c r="P9" s="864"/>
      <c r="Q9" s="864"/>
      <c r="IU9" s="865"/>
      <c r="IV9" s="865"/>
    </row>
    <row r="10" spans="1:256" s="861" customFormat="1" ht="15" customHeight="1">
      <c r="A10" s="1710" t="s">
        <v>854</v>
      </c>
      <c r="B10" s="1710"/>
      <c r="C10" s="1710"/>
      <c r="D10" s="1763" t="str">
        <f>IF('PR_Programmatic Progress_1A'!C10="","",'PR_Programmatic Progress_1A'!C10)</f>
        <v>USD</v>
      </c>
      <c r="E10" s="1763"/>
      <c r="F10" s="1763"/>
      <c r="G10" s="1763"/>
      <c r="H10" s="160"/>
      <c r="I10" s="16"/>
      <c r="J10" s="16"/>
      <c r="K10" s="867"/>
      <c r="L10" s="864"/>
      <c r="M10" s="864"/>
      <c r="N10" s="864"/>
      <c r="O10" s="864"/>
      <c r="P10" s="864"/>
      <c r="Q10" s="864"/>
      <c r="IU10" s="865"/>
      <c r="IV10" s="865"/>
    </row>
    <row r="11" spans="1:256" s="861" customFormat="1" ht="21.75" customHeight="1">
      <c r="A11" s="868"/>
      <c r="B11" s="868"/>
      <c r="C11" s="868"/>
      <c r="D11" s="28"/>
      <c r="E11" s="28"/>
      <c r="F11" s="28"/>
      <c r="G11" s="28"/>
      <c r="H11" s="160"/>
      <c r="I11" s="16"/>
      <c r="J11" s="16"/>
      <c r="K11" s="864"/>
      <c r="L11" s="864"/>
      <c r="M11" s="864"/>
      <c r="N11" s="864"/>
      <c r="O11" s="864"/>
      <c r="P11" s="864"/>
      <c r="Q11" s="864"/>
      <c r="IU11" s="865"/>
      <c r="IV11" s="865"/>
    </row>
    <row r="12" spans="1:256" s="163" customFormat="1" ht="18" customHeight="1">
      <c r="A12" s="72" t="s">
        <v>925</v>
      </c>
      <c r="B12" s="160"/>
      <c r="C12" s="160"/>
      <c r="D12" s="160"/>
      <c r="E12" s="160"/>
      <c r="F12" s="160"/>
      <c r="G12" s="160"/>
      <c r="H12" s="160"/>
      <c r="I12" s="160"/>
      <c r="J12" s="160"/>
      <c r="IS12" s="865"/>
      <c r="IT12" s="865"/>
      <c r="IU12" s="865"/>
      <c r="IV12" s="865"/>
    </row>
    <row r="13" spans="1:256" s="861" customFormat="1" ht="15" customHeight="1">
      <c r="A13" s="1929" t="s">
        <v>926</v>
      </c>
      <c r="B13" s="1929"/>
      <c r="C13" s="1929"/>
      <c r="D13" s="96" t="s">
        <v>860</v>
      </c>
      <c r="E13" s="869"/>
      <c r="F13" s="93" t="s">
        <v>542</v>
      </c>
      <c r="G13" s="870"/>
      <c r="H13" s="700"/>
      <c r="I13" s="16"/>
      <c r="J13" s="16"/>
      <c r="K13" s="864"/>
      <c r="L13" s="864"/>
      <c r="M13" s="864"/>
      <c r="N13" s="864"/>
      <c r="O13" s="864"/>
      <c r="P13" s="864"/>
      <c r="Q13" s="864"/>
      <c r="IU13" s="865"/>
      <c r="IV13" s="865"/>
    </row>
    <row r="14" spans="1:256" s="861" customFormat="1" ht="15" customHeight="1">
      <c r="A14" s="1930" t="s">
        <v>927</v>
      </c>
      <c r="B14" s="1930"/>
      <c r="C14" s="1930"/>
      <c r="D14" s="96" t="s">
        <v>860</v>
      </c>
      <c r="E14" s="869"/>
      <c r="F14" s="93" t="s">
        <v>542</v>
      </c>
      <c r="G14" s="870"/>
      <c r="H14" s="696"/>
      <c r="I14" s="16"/>
      <c r="J14" s="16"/>
      <c r="K14" s="864"/>
      <c r="L14" s="864"/>
      <c r="M14" s="864"/>
      <c r="N14" s="864"/>
      <c r="O14" s="864"/>
      <c r="P14" s="864"/>
      <c r="Q14" s="864"/>
      <c r="IU14" s="865"/>
      <c r="IV14" s="865"/>
    </row>
    <row r="15" spans="1:256" s="861" customFormat="1" ht="21" customHeight="1">
      <c r="A15" s="2"/>
      <c r="B15" s="2"/>
      <c r="C15" s="2"/>
      <c r="D15" s="2"/>
      <c r="E15" s="2"/>
      <c r="F15" s="2"/>
      <c r="G15" s="2"/>
      <c r="H15" s="2"/>
      <c r="I15" s="2"/>
      <c r="J15" s="2"/>
      <c r="K15" s="163"/>
      <c r="L15" s="163"/>
      <c r="M15" s="163"/>
      <c r="N15" s="163"/>
      <c r="O15" s="163"/>
      <c r="P15" s="163"/>
      <c r="Q15" s="163"/>
      <c r="IU15" s="858"/>
      <c r="IV15" s="858"/>
    </row>
    <row r="16" spans="1:256" s="861" customFormat="1" ht="18" customHeight="1">
      <c r="A16" s="1812" t="s">
        <v>928</v>
      </c>
      <c r="B16" s="1812"/>
      <c r="C16" s="1812"/>
      <c r="D16" s="1812"/>
      <c r="E16" s="1812"/>
      <c r="F16" s="1812"/>
      <c r="G16" s="1812"/>
      <c r="H16" s="1812"/>
      <c r="I16" s="1812"/>
      <c r="J16" s="1812"/>
      <c r="IU16" s="871"/>
      <c r="IV16" s="871"/>
    </row>
    <row r="17" spans="1:10" s="229" customFormat="1" ht="22.5" customHeight="1">
      <c r="A17" s="666" t="s">
        <v>929</v>
      </c>
      <c r="B17" s="666"/>
      <c r="C17" s="666"/>
      <c r="D17" s="666"/>
      <c r="E17" s="666"/>
      <c r="F17" s="666"/>
      <c r="G17" s="666"/>
      <c r="H17" s="666"/>
      <c r="I17" s="666"/>
      <c r="J17" s="872" t="s">
        <v>930</v>
      </c>
    </row>
    <row r="18" spans="1:10" s="229" customFormat="1" ht="22.5" customHeight="1">
      <c r="A18" s="666"/>
      <c r="B18" s="666"/>
      <c r="C18" s="666"/>
      <c r="D18" s="666"/>
      <c r="E18" s="666"/>
      <c r="F18" s="666"/>
      <c r="G18" s="666"/>
      <c r="H18" s="666"/>
      <c r="I18" s="666"/>
      <c r="J18" s="872"/>
    </row>
    <row r="19" spans="1:10" s="229" customFormat="1" ht="14.25">
      <c r="A19" s="666"/>
      <c r="B19" s="1931" t="s">
        <v>198</v>
      </c>
      <c r="C19" s="1932" t="s">
        <v>931</v>
      </c>
      <c r="D19" s="1932"/>
      <c r="E19" s="1932"/>
      <c r="F19" s="1932"/>
      <c r="G19" s="1932"/>
      <c r="H19" s="1932"/>
      <c r="I19" s="1932"/>
      <c r="J19" s="1933"/>
    </row>
    <row r="20" spans="1:10" s="229" customFormat="1" ht="14.25">
      <c r="A20" s="873">
        <v>1</v>
      </c>
      <c r="B20" s="1931"/>
      <c r="C20" s="1932"/>
      <c r="D20" s="1932"/>
      <c r="E20" s="1932"/>
      <c r="F20" s="1932"/>
      <c r="G20" s="1932"/>
      <c r="H20" s="1932"/>
      <c r="I20" s="1932"/>
      <c r="J20" s="1933"/>
    </row>
    <row r="21" spans="1:10" s="229" customFormat="1" ht="14.25">
      <c r="A21" s="873"/>
      <c r="B21" s="1934" t="s">
        <v>198</v>
      </c>
      <c r="C21" s="1932" t="s">
        <v>932</v>
      </c>
      <c r="D21" s="1932"/>
      <c r="E21" s="1932"/>
      <c r="F21" s="1932"/>
      <c r="G21" s="1932"/>
      <c r="H21" s="1932"/>
      <c r="I21" s="1932"/>
      <c r="J21" s="1935"/>
    </row>
    <row r="22" spans="1:10" s="229" customFormat="1" ht="14.25">
      <c r="A22" s="873">
        <v>2</v>
      </c>
      <c r="B22" s="1934"/>
      <c r="C22" s="1932"/>
      <c r="D22" s="1932"/>
      <c r="E22" s="1932"/>
      <c r="F22" s="1932"/>
      <c r="G22" s="1932"/>
      <c r="H22" s="1932"/>
      <c r="I22" s="1932"/>
      <c r="J22" s="1935"/>
    </row>
    <row r="23" spans="1:10" s="229" customFormat="1" ht="14.25" customHeight="1">
      <c r="A23" s="873"/>
      <c r="B23" s="1934" t="s">
        <v>198</v>
      </c>
      <c r="C23" s="1936" t="s">
        <v>933</v>
      </c>
      <c r="D23" s="1936"/>
      <c r="E23" s="1936"/>
      <c r="F23" s="1936"/>
      <c r="G23" s="1936"/>
      <c r="H23" s="1936"/>
      <c r="I23" s="874"/>
      <c r="J23" s="1935"/>
    </row>
    <row r="24" spans="1:10" s="229" customFormat="1" ht="14.25">
      <c r="A24" s="873">
        <v>3</v>
      </c>
      <c r="B24" s="1934"/>
      <c r="C24" s="1936"/>
      <c r="D24" s="1936"/>
      <c r="E24" s="1936"/>
      <c r="F24" s="1936"/>
      <c r="G24" s="1936"/>
      <c r="H24" s="1936"/>
      <c r="I24" s="874"/>
      <c r="J24" s="1935"/>
    </row>
    <row r="25" spans="1:10" s="229" customFormat="1" ht="14.25" customHeight="1">
      <c r="A25" s="873"/>
      <c r="B25" s="1934" t="s">
        <v>198</v>
      </c>
      <c r="C25" s="1936" t="s">
        <v>934</v>
      </c>
      <c r="D25" s="1936"/>
      <c r="E25" s="1936"/>
      <c r="F25" s="1936"/>
      <c r="G25" s="1936"/>
      <c r="H25" s="1936"/>
      <c r="I25" s="874"/>
      <c r="J25" s="1935"/>
    </row>
    <row r="26" spans="1:10" s="229" customFormat="1" ht="14.25">
      <c r="A26" s="873">
        <v>4</v>
      </c>
      <c r="B26" s="1934"/>
      <c r="C26" s="1936"/>
      <c r="D26" s="1936"/>
      <c r="E26" s="1936"/>
      <c r="F26" s="1936"/>
      <c r="G26" s="1936"/>
      <c r="H26" s="1936"/>
      <c r="I26" s="75"/>
      <c r="J26" s="1935"/>
    </row>
    <row r="27" spans="1:10" s="229" customFormat="1" ht="14.25" customHeight="1">
      <c r="A27" s="873"/>
      <c r="B27" s="1934" t="s">
        <v>198</v>
      </c>
      <c r="C27" s="1936" t="s">
        <v>935</v>
      </c>
      <c r="D27" s="1936"/>
      <c r="E27" s="1936"/>
      <c r="F27" s="1936"/>
      <c r="G27" s="1936"/>
      <c r="H27" s="1936"/>
      <c r="I27" s="75"/>
      <c r="J27" s="1935"/>
    </row>
    <row r="28" spans="1:10" s="229" customFormat="1" ht="14.25">
      <c r="A28" s="873">
        <v>5</v>
      </c>
      <c r="B28" s="1934"/>
      <c r="C28" s="1936"/>
      <c r="D28" s="1936"/>
      <c r="E28" s="1936"/>
      <c r="F28" s="1936"/>
      <c r="G28" s="1936"/>
      <c r="H28" s="1936"/>
      <c r="I28" s="874"/>
      <c r="J28" s="1935"/>
    </row>
    <row r="29" spans="1:10" s="229" customFormat="1" ht="14.25" customHeight="1">
      <c r="A29" s="873"/>
      <c r="B29" s="1934" t="s">
        <v>198</v>
      </c>
      <c r="C29" s="1936" t="s">
        <v>936</v>
      </c>
      <c r="D29" s="1936"/>
      <c r="E29" s="1936"/>
      <c r="F29" s="1936"/>
      <c r="G29" s="1936"/>
      <c r="H29" s="1936"/>
      <c r="I29" s="1936"/>
      <c r="J29" s="1935"/>
    </row>
    <row r="30" spans="1:10" s="229" customFormat="1" ht="14.25">
      <c r="A30" s="873">
        <v>6</v>
      </c>
      <c r="B30" s="1934"/>
      <c r="C30" s="1936"/>
      <c r="D30" s="1936"/>
      <c r="E30" s="1936"/>
      <c r="F30" s="1936"/>
      <c r="G30" s="1936"/>
      <c r="H30" s="1936"/>
      <c r="I30" s="1936"/>
      <c r="J30" s="1935"/>
    </row>
    <row r="31" spans="1:10" s="229" customFormat="1" ht="27" customHeight="1">
      <c r="A31" s="666"/>
      <c r="B31" s="115"/>
      <c r="C31" s="875"/>
      <c r="D31" s="666"/>
      <c r="E31" s="666"/>
      <c r="F31" s="666"/>
      <c r="G31" s="666"/>
      <c r="H31" s="666"/>
      <c r="I31" s="876"/>
      <c r="J31" s="877"/>
    </row>
    <row r="32" spans="1:10" s="229" customFormat="1" ht="7.5" customHeight="1" hidden="1">
      <c r="A32" s="666"/>
      <c r="B32" s="878"/>
      <c r="C32" s="875"/>
      <c r="D32" s="666"/>
      <c r="E32" s="666"/>
      <c r="F32" s="666"/>
      <c r="G32" s="666"/>
      <c r="H32" s="666"/>
      <c r="I32" s="876"/>
      <c r="J32" s="877"/>
    </row>
    <row r="33" spans="1:256" s="861" customFormat="1" ht="18">
      <c r="A33" s="1937" t="s">
        <v>937</v>
      </c>
      <c r="B33" s="1937"/>
      <c r="C33" s="1937"/>
      <c r="D33" s="1937"/>
      <c r="E33" s="1937"/>
      <c r="F33" s="1937"/>
      <c r="G33" s="1937"/>
      <c r="H33" s="1937"/>
      <c r="I33" s="1937"/>
      <c r="J33" s="1937"/>
      <c r="IU33" s="871"/>
      <c r="IV33" s="871"/>
    </row>
    <row r="34" spans="1:256" s="861" customFormat="1" ht="8.25" customHeight="1">
      <c r="A34" s="115"/>
      <c r="B34" s="115"/>
      <c r="C34" s="115"/>
      <c r="D34" s="115"/>
      <c r="E34" s="115"/>
      <c r="F34" s="115"/>
      <c r="G34" s="115"/>
      <c r="H34" s="115"/>
      <c r="I34" s="115"/>
      <c r="J34" s="115"/>
      <c r="IU34" s="871"/>
      <c r="IV34" s="871"/>
    </row>
    <row r="35" spans="1:256" s="861" customFormat="1" ht="24" customHeight="1">
      <c r="A35" s="875" t="s">
        <v>938</v>
      </c>
      <c r="B35" s="115"/>
      <c r="C35" s="115"/>
      <c r="D35" s="115"/>
      <c r="E35" s="115"/>
      <c r="F35" s="115"/>
      <c r="G35" s="115"/>
      <c r="H35" s="115"/>
      <c r="I35" s="115"/>
      <c r="J35" s="115"/>
      <c r="IU35" s="871"/>
      <c r="IV35" s="871"/>
    </row>
    <row r="36" spans="1:256" s="861" customFormat="1" ht="4.5" customHeight="1">
      <c r="A36" s="115"/>
      <c r="B36" s="115"/>
      <c r="C36" s="115"/>
      <c r="D36" s="115"/>
      <c r="E36" s="115"/>
      <c r="F36" s="115"/>
      <c r="G36" s="115"/>
      <c r="H36" s="115"/>
      <c r="I36" s="115"/>
      <c r="J36" s="115"/>
      <c r="IU36" s="871"/>
      <c r="IV36" s="871"/>
    </row>
    <row r="37" spans="1:256" s="861" customFormat="1" ht="19.5" customHeight="1">
      <c r="A37" s="1940"/>
      <c r="B37" s="1940"/>
      <c r="C37" s="1940"/>
      <c r="D37" s="1940"/>
      <c r="E37" s="1940"/>
      <c r="F37" s="1940"/>
      <c r="G37" s="1940"/>
      <c r="H37" s="1940"/>
      <c r="I37" s="1940"/>
      <c r="J37" s="1940"/>
      <c r="K37" s="163"/>
      <c r="L37" s="163"/>
      <c r="M37" s="163"/>
      <c r="N37" s="163"/>
      <c r="O37" s="163"/>
      <c r="P37" s="163"/>
      <c r="Q37" s="163"/>
      <c r="IU37" s="163"/>
      <c r="IV37" s="163"/>
    </row>
    <row r="38" spans="1:256" s="861" customFormat="1" ht="19.5" customHeight="1">
      <c r="A38" s="1940"/>
      <c r="B38" s="1940"/>
      <c r="C38" s="1940"/>
      <c r="D38" s="1940"/>
      <c r="E38" s="1940"/>
      <c r="F38" s="1940"/>
      <c r="G38" s="1940"/>
      <c r="H38" s="1940"/>
      <c r="I38" s="1940"/>
      <c r="J38" s="1940"/>
      <c r="K38" s="163"/>
      <c r="L38" s="163"/>
      <c r="M38" s="163"/>
      <c r="N38" s="163"/>
      <c r="O38" s="163"/>
      <c r="P38" s="163"/>
      <c r="Q38" s="163"/>
      <c r="IU38" s="163"/>
      <c r="IV38" s="163"/>
    </row>
    <row r="39" spans="1:256" s="861" customFormat="1" ht="19.5" customHeight="1">
      <c r="A39" s="1940"/>
      <c r="B39" s="1940"/>
      <c r="C39" s="1940"/>
      <c r="D39" s="1940"/>
      <c r="E39" s="1940"/>
      <c r="F39" s="1940"/>
      <c r="G39" s="1940"/>
      <c r="H39" s="1940"/>
      <c r="I39" s="1940"/>
      <c r="J39" s="1940"/>
      <c r="K39" s="163"/>
      <c r="L39" s="163"/>
      <c r="M39" s="163"/>
      <c r="N39" s="163"/>
      <c r="O39" s="163"/>
      <c r="P39" s="163"/>
      <c r="Q39" s="163"/>
      <c r="IU39" s="163"/>
      <c r="IV39" s="163"/>
    </row>
    <row r="40" spans="1:256" s="861" customFormat="1" ht="19.5" customHeight="1">
      <c r="A40" s="1940"/>
      <c r="B40" s="1940"/>
      <c r="C40" s="1940"/>
      <c r="D40" s="1940"/>
      <c r="E40" s="1940"/>
      <c r="F40" s="1940"/>
      <c r="G40" s="1940"/>
      <c r="H40" s="1940"/>
      <c r="I40" s="1940"/>
      <c r="J40" s="1940"/>
      <c r="K40" s="163"/>
      <c r="L40" s="163"/>
      <c r="M40" s="163"/>
      <c r="N40" s="163"/>
      <c r="O40" s="163"/>
      <c r="P40" s="163"/>
      <c r="Q40" s="163"/>
      <c r="IU40" s="163"/>
      <c r="IV40" s="163"/>
    </row>
    <row r="41" spans="1:256" s="861" customFormat="1" ht="26.25" customHeight="1">
      <c r="A41" s="2"/>
      <c r="B41" s="2"/>
      <c r="C41" s="2"/>
      <c r="D41" s="2"/>
      <c r="E41" s="2"/>
      <c r="F41" s="2"/>
      <c r="G41" s="2"/>
      <c r="H41" s="2"/>
      <c r="I41" s="2"/>
      <c r="J41" s="2"/>
      <c r="K41" s="163"/>
      <c r="L41" s="163"/>
      <c r="M41" s="163"/>
      <c r="N41" s="163"/>
      <c r="O41" s="163"/>
      <c r="P41" s="163"/>
      <c r="Q41" s="163"/>
      <c r="IU41" s="163"/>
      <c r="IV41" s="163"/>
    </row>
    <row r="42" spans="1:256" s="861" customFormat="1" ht="18">
      <c r="A42" s="1812" t="s">
        <v>939</v>
      </c>
      <c r="B42" s="1812"/>
      <c r="C42" s="1812"/>
      <c r="D42" s="1812"/>
      <c r="E42" s="1812"/>
      <c r="F42" s="1812"/>
      <c r="G42" s="1812"/>
      <c r="H42" s="1812"/>
      <c r="I42" s="1812"/>
      <c r="J42" s="1812"/>
      <c r="IU42" s="871"/>
      <c r="IV42" s="871"/>
    </row>
    <row r="43" spans="1:256" s="861" customFormat="1" ht="12.75">
      <c r="A43" s="2"/>
      <c r="B43" s="2"/>
      <c r="C43" s="2"/>
      <c r="D43" s="2"/>
      <c r="E43" s="2"/>
      <c r="F43" s="2"/>
      <c r="G43" s="2"/>
      <c r="H43" s="2"/>
      <c r="I43" s="2"/>
      <c r="J43" s="2"/>
      <c r="K43" s="163"/>
      <c r="L43" s="163"/>
      <c r="M43" s="163"/>
      <c r="N43" s="163"/>
      <c r="O43" s="163"/>
      <c r="P43" s="163"/>
      <c r="Q43" s="163"/>
      <c r="IU43" s="858"/>
      <c r="IV43" s="858"/>
    </row>
    <row r="44" spans="1:256" s="861" customFormat="1" ht="13.5" customHeight="1">
      <c r="A44" s="875" t="s">
        <v>940</v>
      </c>
      <c r="B44" s="115"/>
      <c r="C44" s="115"/>
      <c r="D44" s="115"/>
      <c r="E44" s="115"/>
      <c r="F44" s="115"/>
      <c r="G44" s="115"/>
      <c r="H44" s="115"/>
      <c r="I44" s="115"/>
      <c r="J44" s="115"/>
      <c r="IU44" s="871"/>
      <c r="IV44" s="871"/>
    </row>
    <row r="45" spans="1:256" s="861" customFormat="1" ht="80.25" customHeight="1">
      <c r="A45" s="1941"/>
      <c r="B45" s="1941"/>
      <c r="C45" s="1941"/>
      <c r="D45" s="1941"/>
      <c r="E45" s="1941"/>
      <c r="F45" s="1941"/>
      <c r="G45" s="1941"/>
      <c r="H45" s="1941"/>
      <c r="I45" s="1941"/>
      <c r="J45" s="1941"/>
      <c r="IU45" s="871"/>
      <c r="IV45" s="871"/>
    </row>
    <row r="46" spans="1:10" s="229" customFormat="1" ht="47.25" customHeight="1">
      <c r="A46" s="664" t="s">
        <v>941</v>
      </c>
      <c r="B46" s="664"/>
      <c r="C46" s="664"/>
      <c r="D46" s="1939"/>
      <c r="E46" s="1939"/>
      <c r="F46" s="1939"/>
      <c r="G46" s="466"/>
      <c r="H46" s="466"/>
      <c r="I46" s="466"/>
      <c r="J46" s="666"/>
    </row>
    <row r="47" spans="1:10" s="229" customFormat="1" ht="27" customHeight="1">
      <c r="A47" s="664" t="s">
        <v>942</v>
      </c>
      <c r="B47" s="664"/>
      <c r="C47" s="664"/>
      <c r="D47" s="1938"/>
      <c r="E47" s="1938"/>
      <c r="F47" s="1938"/>
      <c r="G47" s="466"/>
      <c r="H47" s="466"/>
      <c r="I47" s="466"/>
      <c r="J47" s="666"/>
    </row>
    <row r="48" spans="1:10" s="229" customFormat="1" ht="27" customHeight="1">
      <c r="A48" s="664" t="s">
        <v>943</v>
      </c>
      <c r="B48" s="664"/>
      <c r="C48" s="664"/>
      <c r="D48" s="1938"/>
      <c r="E48" s="1938"/>
      <c r="F48" s="1938"/>
      <c r="G48" s="466"/>
      <c r="H48" s="466"/>
      <c r="I48" s="466"/>
      <c r="J48" s="666"/>
    </row>
    <row r="49" spans="1:10" s="229" customFormat="1" ht="27" customHeight="1">
      <c r="A49" s="664" t="s">
        <v>944</v>
      </c>
      <c r="B49" s="664"/>
      <c r="C49" s="664"/>
      <c r="D49" s="1939"/>
      <c r="E49" s="1939"/>
      <c r="F49" s="1939"/>
      <c r="G49" s="466"/>
      <c r="H49" s="466"/>
      <c r="I49" s="466"/>
      <c r="J49" s="666"/>
    </row>
    <row r="50" spans="1:256" ht="12.75">
      <c r="A50" s="163"/>
      <c r="B50" s="163"/>
      <c r="C50" s="163"/>
      <c r="D50" s="163"/>
      <c r="E50" s="163"/>
      <c r="F50" s="163"/>
      <c r="G50" s="163"/>
      <c r="IU50" s="163"/>
      <c r="IV50" s="163"/>
    </row>
    <row r="51" spans="1:256" ht="12.75">
      <c r="A51" s="163"/>
      <c r="B51" s="163"/>
      <c r="C51" s="163"/>
      <c r="D51" s="163"/>
      <c r="E51" s="163"/>
      <c r="F51" s="163"/>
      <c r="G51" s="163"/>
      <c r="IU51" s="163"/>
      <c r="IV51" s="163"/>
    </row>
    <row r="52" spans="1:256" ht="12.75">
      <c r="A52" s="163"/>
      <c r="B52" s="163"/>
      <c r="C52" s="163"/>
      <c r="D52" s="163"/>
      <c r="E52" s="163"/>
      <c r="F52" s="163"/>
      <c r="G52" s="163"/>
      <c r="IU52" s="163"/>
      <c r="IV52" s="163"/>
    </row>
    <row r="53" spans="1:256" ht="12.75">
      <c r="A53" s="163"/>
      <c r="B53" s="163"/>
      <c r="C53" s="163"/>
      <c r="D53" s="163"/>
      <c r="E53" s="163"/>
      <c r="F53" s="163"/>
      <c r="G53" s="163"/>
      <c r="IU53" s="163"/>
      <c r="IV53" s="163"/>
    </row>
    <row r="54" spans="1:256" ht="12.75">
      <c r="A54" s="163"/>
      <c r="B54" s="163"/>
      <c r="C54" s="163"/>
      <c r="D54" s="163"/>
      <c r="E54" s="163"/>
      <c r="F54" s="163"/>
      <c r="G54" s="163"/>
      <c r="IU54" s="163"/>
      <c r="IV54" s="163"/>
    </row>
    <row r="55" spans="1:256" ht="12.75">
      <c r="A55" s="163"/>
      <c r="B55" s="163"/>
      <c r="C55" s="163"/>
      <c r="D55" s="163"/>
      <c r="E55" s="163"/>
      <c r="F55" s="163"/>
      <c r="G55" s="163"/>
      <c r="IU55" s="163"/>
      <c r="IV55" s="163"/>
    </row>
    <row r="56" spans="1:256" ht="12.75">
      <c r="A56" s="163"/>
      <c r="B56" s="163"/>
      <c r="C56" s="163"/>
      <c r="D56" s="163"/>
      <c r="E56" s="163"/>
      <c r="F56" s="163"/>
      <c r="G56" s="163"/>
      <c r="IU56" s="163"/>
      <c r="IV56" s="163"/>
    </row>
    <row r="57" spans="1:256" ht="12.75">
      <c r="A57" s="163"/>
      <c r="B57" s="163"/>
      <c r="C57" s="163"/>
      <c r="D57" s="163"/>
      <c r="E57" s="163"/>
      <c r="F57" s="163"/>
      <c r="G57" s="163"/>
      <c r="IU57" s="163"/>
      <c r="IV57" s="163"/>
    </row>
    <row r="58" spans="1:256" ht="12.75">
      <c r="A58" s="163"/>
      <c r="B58" s="163"/>
      <c r="C58" s="163"/>
      <c r="D58" s="163"/>
      <c r="E58" s="163"/>
      <c r="F58" s="163"/>
      <c r="G58" s="163"/>
      <c r="IU58" s="163"/>
      <c r="IV58" s="163"/>
    </row>
    <row r="59" spans="1:256" ht="12.75">
      <c r="A59" s="163"/>
      <c r="B59" s="163"/>
      <c r="C59" s="163"/>
      <c r="D59" s="163"/>
      <c r="E59" s="163"/>
      <c r="F59" s="163"/>
      <c r="G59" s="163"/>
      <c r="IU59" s="163"/>
      <c r="IV59" s="163"/>
    </row>
    <row r="60" spans="1:256" ht="12.75">
      <c r="A60" s="163"/>
      <c r="B60" s="163"/>
      <c r="C60" s="163"/>
      <c r="D60" s="163"/>
      <c r="E60" s="163"/>
      <c r="F60" s="163"/>
      <c r="G60" s="163"/>
      <c r="IU60" s="163"/>
      <c r="IV60" s="163"/>
    </row>
    <row r="61" spans="1:256" ht="12.75">
      <c r="A61" s="163"/>
      <c r="B61" s="163"/>
      <c r="C61" s="163"/>
      <c r="D61" s="163"/>
      <c r="E61" s="163"/>
      <c r="F61" s="163"/>
      <c r="G61" s="163"/>
      <c r="IU61" s="163"/>
      <c r="IV61" s="163"/>
    </row>
    <row r="62" spans="1:256" ht="12.75">
      <c r="A62" s="163"/>
      <c r="B62" s="163"/>
      <c r="C62" s="163"/>
      <c r="D62" s="163"/>
      <c r="E62" s="163"/>
      <c r="F62" s="163"/>
      <c r="G62" s="163"/>
      <c r="IU62" s="163"/>
      <c r="IV62" s="163"/>
    </row>
    <row r="63" spans="1:256" ht="12.75">
      <c r="A63" s="163"/>
      <c r="B63" s="163"/>
      <c r="C63" s="163"/>
      <c r="D63" s="163"/>
      <c r="E63" s="163"/>
      <c r="F63" s="163"/>
      <c r="G63" s="163"/>
      <c r="IU63" s="163"/>
      <c r="IV63" s="163"/>
    </row>
    <row r="64" spans="1:256" ht="12.75">
      <c r="A64" s="163"/>
      <c r="B64" s="163"/>
      <c r="C64" s="163"/>
      <c r="D64" s="163"/>
      <c r="E64" s="163"/>
      <c r="F64" s="163"/>
      <c r="G64" s="163"/>
      <c r="IU64" s="163"/>
      <c r="IV64" s="163"/>
    </row>
    <row r="65" s="163" customFormat="1" ht="12.75"/>
    <row r="66" s="163" customFormat="1" ht="12.75"/>
    <row r="67" s="163" customFormat="1" ht="12.75"/>
    <row r="68" s="163" customFormat="1" ht="12.75"/>
    <row r="69" s="163" customFormat="1" ht="12.75"/>
    <row r="70" s="163" customFormat="1" ht="12.75"/>
    <row r="71" s="163" customFormat="1" ht="12.75"/>
    <row r="72" s="163" customFormat="1" ht="12.75"/>
    <row r="73" s="163" customFormat="1" ht="12.75"/>
    <row r="74" s="163" customFormat="1" ht="12.75"/>
    <row r="75" s="163" customFormat="1" ht="12.75"/>
    <row r="76" s="163" customFormat="1" ht="12.75"/>
  </sheetData>
  <sheetProtection password="92D1" sheet="1" formatCells="0" formatColumns="0" formatRows="0" selectLockedCells="1"/>
  <mergeCells count="44">
    <mergeCell ref="A33:J33"/>
    <mergeCell ref="D47:F47"/>
    <mergeCell ref="D49:F49"/>
    <mergeCell ref="A37:J40"/>
    <mergeCell ref="A42:J42"/>
    <mergeCell ref="A45:J45"/>
    <mergeCell ref="D46:F46"/>
    <mergeCell ref="D48:F48"/>
    <mergeCell ref="B29:B30"/>
    <mergeCell ref="C29:I30"/>
    <mergeCell ref="J29:J30"/>
    <mergeCell ref="B25:B26"/>
    <mergeCell ref="C25:H26"/>
    <mergeCell ref="J25:J26"/>
    <mergeCell ref="B27:B28"/>
    <mergeCell ref="C27:H28"/>
    <mergeCell ref="J27:J28"/>
    <mergeCell ref="B21:B22"/>
    <mergeCell ref="C21:I22"/>
    <mergeCell ref="J21:J22"/>
    <mergeCell ref="B23:B24"/>
    <mergeCell ref="C23:H24"/>
    <mergeCell ref="J23:J24"/>
    <mergeCell ref="A13:C13"/>
    <mergeCell ref="A14:C14"/>
    <mergeCell ref="A16:J16"/>
    <mergeCell ref="B19:B20"/>
    <mergeCell ref="C19:I20"/>
    <mergeCell ref="J19:J20"/>
    <mergeCell ref="A8:C8"/>
    <mergeCell ref="D8:G8"/>
    <mergeCell ref="A10:C10"/>
    <mergeCell ref="D10:G10"/>
    <mergeCell ref="A9:C9"/>
    <mergeCell ref="D9:G9"/>
    <mergeCell ref="A6:C6"/>
    <mergeCell ref="D6:G6"/>
    <mergeCell ref="A7:C7"/>
    <mergeCell ref="A1:J1"/>
    <mergeCell ref="A3:C3"/>
    <mergeCell ref="D3:G3"/>
    <mergeCell ref="A5:C5"/>
    <mergeCell ref="D5:G5"/>
    <mergeCell ref="D7:G7"/>
  </mergeCells>
  <dataValidations count="4">
    <dataValidation type="list" allowBlank="1" showErrorMessage="1" sqref="B19 B25 B29 B32">
      <formula1>"Select,Yes,No,Partially"</formula1>
      <formula2>0</formula2>
    </dataValidation>
    <dataValidation type="list" allowBlank="1" showErrorMessage="1" sqref="B21 B23 B27">
      <formula1>"Select,Yes,No"</formula1>
      <formula2>0</formula2>
    </dataValidation>
    <dataValidation type="list" allowBlank="1" showErrorMessage="1" sqref="H14">
      <formula1>"Select,N/A,1,2,3,4,5,6,7,8,9,10,11,12,13,14,15,16,17,18,19,20"</formula1>
      <formula2>0</formula2>
    </dataValidation>
    <dataValidation type="list" allowBlank="1" showErrorMessage="1" sqref="H6">
      <formula1>"Select,Health Systems Strengthening,HIV/AIDS,HIV/TB,Integrated,Malaria,Tuberculosis"</formula1>
      <formula2>0</formula2>
    </dataValidation>
  </dataValidations>
  <printOptions horizontalCentered="1"/>
  <pageMargins left="0.43333333333333335" right="0.3541666666666667" top="0.43333333333333335" bottom="0.5506944444444445" header="0.5118055555555555" footer="0.3541666666666667"/>
  <pageSetup fitToHeight="0" fitToWidth="1" horizontalDpi="300" verticalDpi="300" orientation="landscape" paperSize="9" scale="52" r:id="rId2"/>
  <headerFooter alignWithMargins="0">
    <oddFooter>&amp;R&amp;9Page &amp;P of &amp;N</oddFooter>
  </headerFooter>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R41"/>
  <sheetViews>
    <sheetView showGridLines="0" zoomScale="50" zoomScaleNormal="50" zoomScaleSheetLayoutView="80" zoomScalePageLayoutView="0" workbookViewId="0" topLeftCell="A1">
      <selection activeCell="A29" sqref="A29"/>
    </sheetView>
  </sheetViews>
  <sheetFormatPr defaultColWidth="9.140625" defaultRowHeight="12.75" outlineLevelRow="1"/>
  <cols>
    <col min="1" max="1" width="24.00390625" style="13" customWidth="1"/>
    <col min="2" max="2" width="52.140625" style="13" customWidth="1"/>
    <col min="3" max="3" width="28.57421875" style="13" customWidth="1"/>
    <col min="4" max="4" width="21.8515625" style="14" customWidth="1"/>
    <col min="5" max="5" width="31.28125" style="13" customWidth="1"/>
    <col min="6" max="6" width="25.421875" style="13" customWidth="1"/>
    <col min="7" max="7" width="23.7109375" style="13" customWidth="1"/>
    <col min="8" max="8" width="13.421875" style="15" customWidth="1"/>
    <col min="9" max="9" width="13.57421875" style="13" customWidth="1"/>
    <col min="10" max="10" width="28.00390625" style="13" customWidth="1"/>
    <col min="11" max="11" width="21.7109375" style="13" customWidth="1"/>
    <col min="12" max="12" width="43.57421875" style="13" customWidth="1"/>
    <col min="13" max="13" width="35.00390625" style="13" customWidth="1"/>
    <col min="14" max="14" width="84.421875" style="13" customWidth="1"/>
    <col min="15" max="15" width="58.421875" style="13" customWidth="1"/>
    <col min="16" max="16" width="23.00390625" style="13" customWidth="1"/>
    <col min="17" max="17" width="82.7109375" style="16" hidden="1" customWidth="1"/>
    <col min="18" max="20" width="0" style="16" hidden="1" customWidth="1"/>
    <col min="21" max="16384" width="9.140625" style="16" customWidth="1"/>
  </cols>
  <sheetData>
    <row r="1" spans="1:18" ht="25.5" customHeight="1">
      <c r="A1" s="1614" t="s">
        <v>62</v>
      </c>
      <c r="B1" s="1614"/>
      <c r="C1" s="1614"/>
      <c r="D1" s="1614"/>
      <c r="E1" s="1614"/>
      <c r="F1" s="1614"/>
      <c r="G1" s="17"/>
      <c r="H1" s="18"/>
      <c r="I1" s="18"/>
      <c r="J1" s="19"/>
      <c r="K1" s="19"/>
      <c r="L1" s="19"/>
      <c r="M1" s="19"/>
      <c r="N1" s="19"/>
      <c r="O1" s="19"/>
      <c r="R1" s="16" t="s">
        <v>63</v>
      </c>
    </row>
    <row r="2" spans="1:18" ht="25.5" customHeight="1" hidden="1">
      <c r="A2" s="17"/>
      <c r="B2" s="17"/>
      <c r="C2" s="17"/>
      <c r="D2" s="17"/>
      <c r="E2" s="17"/>
      <c r="F2" s="17"/>
      <c r="G2" s="17"/>
      <c r="H2" s="18"/>
      <c r="I2" s="18"/>
      <c r="J2" s="19"/>
      <c r="K2" s="19"/>
      <c r="L2" s="19"/>
      <c r="M2" s="19"/>
      <c r="N2" s="19"/>
      <c r="O2" s="19"/>
      <c r="R2" s="13" t="s">
        <v>64</v>
      </c>
    </row>
    <row r="3" spans="1:18" ht="25.5" customHeight="1" hidden="1">
      <c r="A3" s="17"/>
      <c r="B3" s="17"/>
      <c r="C3" s="17"/>
      <c r="D3" s="17"/>
      <c r="E3" s="17"/>
      <c r="F3" s="17"/>
      <c r="G3" s="17"/>
      <c r="H3" s="18"/>
      <c r="I3" s="18"/>
      <c r="J3" s="19"/>
      <c r="K3" s="19"/>
      <c r="L3" s="19"/>
      <c r="M3" s="19"/>
      <c r="N3" s="19"/>
      <c r="O3" s="19"/>
      <c r="R3" s="13" t="s">
        <v>65</v>
      </c>
    </row>
    <row r="4" spans="1:18" ht="27.75" customHeight="1" thickBot="1">
      <c r="A4" s="20" t="s">
        <v>66</v>
      </c>
      <c r="R4" s="21" t="s">
        <v>67</v>
      </c>
    </row>
    <row r="5" spans="1:18" ht="22.5" customHeight="1">
      <c r="A5" s="1615" t="s">
        <v>68</v>
      </c>
      <c r="B5" s="1615"/>
      <c r="C5" s="1616" t="s">
        <v>69</v>
      </c>
      <c r="D5" s="1616"/>
      <c r="E5" s="1616"/>
      <c r="F5" s="1616"/>
      <c r="G5" s="23"/>
      <c r="H5" s="24"/>
      <c r="I5" s="25"/>
      <c r="O5" s="26"/>
      <c r="R5" s="16" t="s">
        <v>70</v>
      </c>
    </row>
    <row r="6" spans="1:18" ht="19.5" customHeight="1">
      <c r="A6" s="1612" t="s">
        <v>71</v>
      </c>
      <c r="B6" s="1612"/>
      <c r="C6" s="1617" t="s">
        <v>72</v>
      </c>
      <c r="D6" s="1617"/>
      <c r="E6" s="1617"/>
      <c r="F6" s="1617"/>
      <c r="G6" s="23"/>
      <c r="H6" s="13"/>
      <c r="R6" s="16" t="s">
        <v>73</v>
      </c>
    </row>
    <row r="7" spans="1:18" ht="27" customHeight="1">
      <c r="A7" s="1612" t="s">
        <v>74</v>
      </c>
      <c r="B7" s="1612"/>
      <c r="C7" s="1613" t="s">
        <v>75</v>
      </c>
      <c r="D7" s="1613"/>
      <c r="E7" s="1613"/>
      <c r="F7" s="1613"/>
      <c r="G7" s="27"/>
      <c r="H7" s="13"/>
      <c r="R7" s="16" t="s">
        <v>76</v>
      </c>
    </row>
    <row r="8" spans="1:18" ht="20.25" customHeight="1">
      <c r="A8" s="1612" t="s">
        <v>77</v>
      </c>
      <c r="B8" s="1612"/>
      <c r="C8" s="1617" t="s">
        <v>78</v>
      </c>
      <c r="D8" s="1617"/>
      <c r="E8" s="1617"/>
      <c r="F8" s="1617"/>
      <c r="G8" s="23"/>
      <c r="H8" s="13"/>
      <c r="R8" s="16" t="s">
        <v>79</v>
      </c>
    </row>
    <row r="9" spans="1:18" ht="19.5" customHeight="1">
      <c r="A9" s="1612" t="s">
        <v>80</v>
      </c>
      <c r="B9" s="1612"/>
      <c r="C9" s="1618">
        <v>40360</v>
      </c>
      <c r="D9" s="1618"/>
      <c r="E9" s="1618"/>
      <c r="F9" s="1618"/>
      <c r="G9" s="1546"/>
      <c r="H9" s="13"/>
      <c r="R9" s="13" t="s">
        <v>81</v>
      </c>
    </row>
    <row r="10" spans="1:18" ht="19.5" customHeight="1" thickBot="1">
      <c r="A10" s="1619" t="s">
        <v>82</v>
      </c>
      <c r="B10" s="1619"/>
      <c r="C10" s="1620" t="s">
        <v>83</v>
      </c>
      <c r="D10" s="1620"/>
      <c r="E10" s="1620"/>
      <c r="F10" s="1620"/>
      <c r="G10" s="28"/>
      <c r="H10" s="13"/>
      <c r="R10" s="16" t="s">
        <v>84</v>
      </c>
    </row>
    <row r="11" spans="1:18" ht="27" customHeight="1" thickBot="1">
      <c r="A11" s="29" t="s">
        <v>85</v>
      </c>
      <c r="B11" s="30"/>
      <c r="C11" s="30"/>
      <c r="D11" s="31"/>
      <c r="E11" s="30"/>
      <c r="F11" s="30"/>
      <c r="G11" s="32"/>
      <c r="H11" s="33"/>
      <c r="I11" s="32"/>
      <c r="J11" s="19"/>
      <c r="K11" s="19"/>
      <c r="L11" s="19"/>
      <c r="M11" s="19"/>
      <c r="N11" s="19"/>
      <c r="R11" s="16" t="s">
        <v>86</v>
      </c>
    </row>
    <row r="12" spans="1:8" ht="24" customHeight="1">
      <c r="A12" s="34" t="s">
        <v>87</v>
      </c>
      <c r="B12" s="35"/>
      <c r="C12" s="36" t="s">
        <v>88</v>
      </c>
      <c r="D12" s="1547" t="s">
        <v>89</v>
      </c>
      <c r="E12" s="38" t="s">
        <v>90</v>
      </c>
      <c r="F12" s="1548">
        <v>10</v>
      </c>
      <c r="G12" s="23"/>
      <c r="H12" s="13"/>
    </row>
    <row r="13" spans="1:8" ht="21" customHeight="1">
      <c r="A13" s="39" t="s">
        <v>91</v>
      </c>
      <c r="B13" s="40"/>
      <c r="C13" s="41" t="s">
        <v>92</v>
      </c>
      <c r="D13" s="1549">
        <v>42005</v>
      </c>
      <c r="E13" s="42" t="s">
        <v>93</v>
      </c>
      <c r="F13" s="1550">
        <v>42185</v>
      </c>
      <c r="G13" s="1551"/>
      <c r="H13" s="13"/>
    </row>
    <row r="14" spans="1:8" ht="21" customHeight="1" thickBot="1">
      <c r="A14" s="43" t="s">
        <v>94</v>
      </c>
      <c r="B14" s="44"/>
      <c r="C14" s="1621">
        <v>10</v>
      </c>
      <c r="D14" s="1621"/>
      <c r="E14" s="1621"/>
      <c r="F14" s="1621"/>
      <c r="G14" s="28"/>
      <c r="H14" s="13"/>
    </row>
    <row r="15" spans="1:14" ht="27" customHeight="1" thickBot="1">
      <c r="A15" s="29" t="s">
        <v>95</v>
      </c>
      <c r="B15" s="30"/>
      <c r="C15" s="30"/>
      <c r="D15" s="31"/>
      <c r="E15" s="30"/>
      <c r="F15" s="30"/>
      <c r="G15" s="32"/>
      <c r="H15" s="33"/>
      <c r="I15" s="32"/>
      <c r="J15" s="19"/>
      <c r="K15" s="19"/>
      <c r="L15" s="19"/>
      <c r="M15" s="19"/>
      <c r="N15" s="19"/>
    </row>
    <row r="16" spans="1:8" ht="15" customHeight="1">
      <c r="A16" s="34" t="s">
        <v>96</v>
      </c>
      <c r="B16" s="35"/>
      <c r="C16" s="36" t="s">
        <v>88</v>
      </c>
      <c r="D16" s="37" t="s">
        <v>63</v>
      </c>
      <c r="E16" s="38" t="s">
        <v>90</v>
      </c>
      <c r="F16" s="22"/>
      <c r="G16" s="23"/>
      <c r="H16" s="13"/>
    </row>
    <row r="17" spans="1:8" ht="15" customHeight="1">
      <c r="A17" s="39" t="s">
        <v>97</v>
      </c>
      <c r="B17" s="40"/>
      <c r="C17" s="41" t="s">
        <v>92</v>
      </c>
      <c r="D17" s="1552"/>
      <c r="E17" s="42" t="s">
        <v>93</v>
      </c>
      <c r="F17" s="1545"/>
      <c r="G17" s="1551"/>
      <c r="H17" s="13"/>
    </row>
    <row r="18" spans="1:8" ht="15" customHeight="1" thickBot="1">
      <c r="A18" s="43" t="s">
        <v>98</v>
      </c>
      <c r="B18" s="45"/>
      <c r="C18" s="1622"/>
      <c r="D18" s="1622"/>
      <c r="E18" s="1622"/>
      <c r="F18" s="1622"/>
      <c r="G18" s="28"/>
      <c r="H18" s="13"/>
    </row>
    <row r="19" spans="1:14" ht="15">
      <c r="A19" s="32"/>
      <c r="B19" s="32"/>
      <c r="C19" s="32"/>
      <c r="D19" s="46"/>
      <c r="E19" s="32"/>
      <c r="F19" s="32"/>
      <c r="G19" s="32"/>
      <c r="H19" s="33"/>
      <c r="I19" s="32"/>
      <c r="J19" s="19"/>
      <c r="K19" s="19"/>
      <c r="L19" s="19"/>
      <c r="M19" s="19"/>
      <c r="N19" s="19"/>
    </row>
    <row r="20" spans="1:16" ht="12.75" customHeight="1">
      <c r="A20" s="1624"/>
      <c r="B20" s="1624"/>
      <c r="C20" s="1624"/>
      <c r="D20" s="1624"/>
      <c r="E20" s="1624"/>
      <c r="F20" s="1624"/>
      <c r="G20" s="1624"/>
      <c r="H20" s="1624"/>
      <c r="I20" s="1624"/>
      <c r="J20" s="1624"/>
      <c r="K20" s="1624"/>
      <c r="L20" s="1624"/>
      <c r="M20" s="1624"/>
      <c r="N20" s="1624"/>
      <c r="O20" s="1624"/>
      <c r="P20" s="1624"/>
    </row>
    <row r="21" spans="1:14" ht="12.75" customHeight="1">
      <c r="A21" s="32"/>
      <c r="B21" s="32"/>
      <c r="C21" s="32"/>
      <c r="D21" s="46"/>
      <c r="E21" s="32"/>
      <c r="F21" s="32"/>
      <c r="G21" s="32"/>
      <c r="H21" s="33"/>
      <c r="I21" s="32"/>
      <c r="J21" s="19"/>
      <c r="K21" s="19"/>
      <c r="L21" s="19"/>
      <c r="M21" s="19"/>
      <c r="N21" s="19"/>
    </row>
    <row r="22" spans="1:14" ht="54.75" customHeight="1">
      <c r="A22" s="47" t="s">
        <v>99</v>
      </c>
      <c r="B22" s="47"/>
      <c r="C22" s="32"/>
      <c r="D22" s="46"/>
      <c r="E22" s="32"/>
      <c r="F22" s="32"/>
      <c r="G22" s="32"/>
      <c r="H22" s="33"/>
      <c r="I22" s="32"/>
      <c r="J22" s="19"/>
      <c r="K22" s="19"/>
      <c r="L22" s="19"/>
      <c r="M22" s="19"/>
      <c r="N22" s="19"/>
    </row>
    <row r="23" spans="1:18" s="50" customFormat="1" ht="34.5" customHeight="1" thickBot="1">
      <c r="A23" s="1553" t="s">
        <v>100</v>
      </c>
      <c r="B23" s="48"/>
      <c r="C23" s="48"/>
      <c r="D23" s="48"/>
      <c r="E23" s="48"/>
      <c r="F23" s="48"/>
      <c r="G23" s="48"/>
      <c r="H23" s="48"/>
      <c r="I23" s="48"/>
      <c r="J23" s="48"/>
      <c r="K23" s="48"/>
      <c r="L23" s="48"/>
      <c r="M23" s="48"/>
      <c r="N23" s="48"/>
      <c r="O23" s="48"/>
      <c r="P23" s="49"/>
      <c r="R23" s="16"/>
    </row>
    <row r="24" spans="1:18" s="54" customFormat="1" ht="20.25" customHeight="1">
      <c r="A24" s="51" t="s">
        <v>101</v>
      </c>
      <c r="B24" s="52"/>
      <c r="C24" s="52"/>
      <c r="D24" s="52"/>
      <c r="E24" s="52"/>
      <c r="F24" s="52"/>
      <c r="G24" s="52"/>
      <c r="H24" s="52"/>
      <c r="I24" s="52"/>
      <c r="J24" s="52"/>
      <c r="K24" s="52"/>
      <c r="L24" s="52"/>
      <c r="M24" s="52"/>
      <c r="N24" s="52"/>
      <c r="O24" s="1625"/>
      <c r="P24" s="1626"/>
      <c r="Q24" s="1609" t="s">
        <v>1155</v>
      </c>
      <c r="R24" s="50"/>
    </row>
    <row r="25" spans="1:18" ht="31.5" customHeight="1" thickBot="1">
      <c r="A25" s="1628" t="s">
        <v>102</v>
      </c>
      <c r="B25" s="1623" t="s">
        <v>103</v>
      </c>
      <c r="C25" s="1623"/>
      <c r="D25" s="1623"/>
      <c r="E25" s="1623"/>
      <c r="F25" s="1623"/>
      <c r="G25" s="1629" t="s">
        <v>104</v>
      </c>
      <c r="H25" s="1629"/>
      <c r="I25" s="1623" t="s">
        <v>105</v>
      </c>
      <c r="J25" s="1623" t="s">
        <v>106</v>
      </c>
      <c r="K25" s="1623" t="s">
        <v>107</v>
      </c>
      <c r="L25" s="1623" t="s">
        <v>1156</v>
      </c>
      <c r="M25" s="1623" t="s">
        <v>108</v>
      </c>
      <c r="N25" s="1623" t="s">
        <v>109</v>
      </c>
      <c r="O25" s="1623"/>
      <c r="P25" s="1632"/>
      <c r="Q25" s="1610"/>
      <c r="R25" s="54"/>
    </row>
    <row r="26" spans="1:17" ht="22.5" customHeight="1" thickBot="1">
      <c r="A26" s="1628"/>
      <c r="B26" s="1623"/>
      <c r="C26" s="1623"/>
      <c r="D26" s="1623"/>
      <c r="E26" s="1623"/>
      <c r="F26" s="1623"/>
      <c r="G26" s="55" t="s">
        <v>110</v>
      </c>
      <c r="H26" s="55" t="s">
        <v>111</v>
      </c>
      <c r="I26" s="1623"/>
      <c r="J26" s="1623"/>
      <c r="K26" s="1623"/>
      <c r="L26" s="1623"/>
      <c r="M26" s="1623"/>
      <c r="N26" s="1633"/>
      <c r="O26" s="1633"/>
      <c r="P26" s="1634"/>
      <c r="Q26" s="1611"/>
    </row>
    <row r="27" spans="1:17" ht="115.5" customHeight="1">
      <c r="A27" s="1554" t="s">
        <v>112</v>
      </c>
      <c r="B27" s="1630" t="s">
        <v>113</v>
      </c>
      <c r="C27" s="1630"/>
      <c r="D27" s="1630"/>
      <c r="E27" s="1630"/>
      <c r="F27" s="1630"/>
      <c r="G27" s="1555">
        <v>0.185</v>
      </c>
      <c r="H27" s="1556" t="s">
        <v>114</v>
      </c>
      <c r="I27" s="1556" t="s">
        <v>115</v>
      </c>
      <c r="J27" s="1557">
        <v>0.1</v>
      </c>
      <c r="K27" s="1558">
        <v>42278</v>
      </c>
      <c r="L27" s="1559"/>
      <c r="M27" s="1560" t="s">
        <v>116</v>
      </c>
      <c r="N27" s="1631" t="s">
        <v>1157</v>
      </c>
      <c r="O27" s="1631"/>
      <c r="P27" s="1631"/>
      <c r="Q27" s="1561" t="s">
        <v>1158</v>
      </c>
    </row>
    <row r="28" spans="1:17" ht="118.5" customHeight="1">
      <c r="A28" s="1554" t="s">
        <v>112</v>
      </c>
      <c r="B28" s="1627" t="s">
        <v>117</v>
      </c>
      <c r="C28" s="1627"/>
      <c r="D28" s="1627"/>
      <c r="E28" s="1627"/>
      <c r="F28" s="1627"/>
      <c r="G28" s="1562" t="s">
        <v>118</v>
      </c>
      <c r="H28" s="1556" t="s">
        <v>114</v>
      </c>
      <c r="I28" s="1556" t="s">
        <v>1159</v>
      </c>
      <c r="J28" s="1563" t="s">
        <v>1160</v>
      </c>
      <c r="K28" s="1564">
        <v>42064</v>
      </c>
      <c r="L28" s="1559"/>
      <c r="M28" s="1560" t="s">
        <v>119</v>
      </c>
      <c r="N28" s="1631" t="s">
        <v>1161</v>
      </c>
      <c r="O28" s="1631"/>
      <c r="P28" s="1631"/>
      <c r="Q28" s="1565" t="s">
        <v>1162</v>
      </c>
    </row>
    <row r="29" spans="1:17" ht="127.5" customHeight="1">
      <c r="A29" s="1554" t="s">
        <v>112</v>
      </c>
      <c r="B29" s="1627" t="s">
        <v>120</v>
      </c>
      <c r="C29" s="1627"/>
      <c r="D29" s="1627"/>
      <c r="E29" s="1627"/>
      <c r="F29" s="1627"/>
      <c r="G29" s="1562" t="s">
        <v>121</v>
      </c>
      <c r="H29" s="1556" t="s">
        <v>122</v>
      </c>
      <c r="I29" s="1556" t="s">
        <v>1159</v>
      </c>
      <c r="J29" s="1563" t="s">
        <v>1163</v>
      </c>
      <c r="K29" s="1564">
        <v>42064</v>
      </c>
      <c r="L29" s="1559"/>
      <c r="M29" s="1560" t="s">
        <v>123</v>
      </c>
      <c r="N29" s="1631" t="s">
        <v>1157</v>
      </c>
      <c r="O29" s="1631"/>
      <c r="P29" s="1631"/>
      <c r="Q29" s="1565" t="s">
        <v>1164</v>
      </c>
    </row>
    <row r="30" spans="1:17" ht="91.5" customHeight="1">
      <c r="A30" s="1554" t="s">
        <v>112</v>
      </c>
      <c r="B30" s="1630" t="s">
        <v>1165</v>
      </c>
      <c r="C30" s="1630"/>
      <c r="D30" s="1630"/>
      <c r="E30" s="1630"/>
      <c r="F30" s="1630"/>
      <c r="G30" s="1566">
        <v>0.01</v>
      </c>
      <c r="H30" s="1556" t="s">
        <v>114</v>
      </c>
      <c r="I30" s="1556" t="s">
        <v>124</v>
      </c>
      <c r="J30" s="1563" t="s">
        <v>125</v>
      </c>
      <c r="K30" s="1564">
        <v>42278</v>
      </c>
      <c r="L30" s="1559"/>
      <c r="M30" s="1560" t="s">
        <v>126</v>
      </c>
      <c r="N30" s="1631" t="s">
        <v>1157</v>
      </c>
      <c r="O30" s="1631"/>
      <c r="P30" s="1631"/>
      <c r="Q30" s="1565" t="s">
        <v>1166</v>
      </c>
    </row>
    <row r="31" spans="1:17" ht="128.25" customHeight="1">
      <c r="A31" s="1554" t="s">
        <v>112</v>
      </c>
      <c r="B31" s="1630" t="s">
        <v>127</v>
      </c>
      <c r="C31" s="1630"/>
      <c r="D31" s="1630"/>
      <c r="E31" s="1630"/>
      <c r="F31" s="1630"/>
      <c r="G31" s="1555">
        <v>0.899</v>
      </c>
      <c r="H31" s="1556" t="s">
        <v>114</v>
      </c>
      <c r="I31" s="1556" t="s">
        <v>115</v>
      </c>
      <c r="J31" s="1567">
        <v>0.91</v>
      </c>
      <c r="K31" s="1564">
        <v>42339</v>
      </c>
      <c r="L31" s="1559"/>
      <c r="M31" s="1560" t="s">
        <v>116</v>
      </c>
      <c r="N31" s="1631" t="s">
        <v>1157</v>
      </c>
      <c r="O31" s="1631"/>
      <c r="P31" s="1631"/>
      <c r="Q31" s="1565" t="s">
        <v>1167</v>
      </c>
    </row>
    <row r="32" spans="1:17" ht="125.25" customHeight="1">
      <c r="A32" s="1568" t="s">
        <v>112</v>
      </c>
      <c r="B32" s="1630" t="s">
        <v>128</v>
      </c>
      <c r="C32" s="1630"/>
      <c r="D32" s="1630"/>
      <c r="E32" s="1630"/>
      <c r="F32" s="1630"/>
      <c r="G32" s="1555">
        <v>0.5</v>
      </c>
      <c r="H32" s="1556" t="s">
        <v>122</v>
      </c>
      <c r="I32" s="1556" t="s">
        <v>115</v>
      </c>
      <c r="J32" s="1567">
        <v>0.83</v>
      </c>
      <c r="K32" s="1564">
        <v>42339</v>
      </c>
      <c r="L32" s="1559"/>
      <c r="M32" s="1560" t="s">
        <v>116</v>
      </c>
      <c r="N32" s="1631" t="s">
        <v>1157</v>
      </c>
      <c r="O32" s="1631"/>
      <c r="P32" s="1631"/>
      <c r="Q32" s="1565" t="s">
        <v>1168</v>
      </c>
    </row>
    <row r="33" spans="1:16" ht="59.25" customHeight="1" hidden="1" outlineLevel="1">
      <c r="A33" s="56" t="s">
        <v>112</v>
      </c>
      <c r="B33" s="57"/>
      <c r="C33" s="1635"/>
      <c r="D33" s="1635"/>
      <c r="E33" s="1635"/>
      <c r="F33" s="1635"/>
      <c r="G33" s="58"/>
      <c r="H33" s="59"/>
      <c r="I33" s="58"/>
      <c r="J33" s="60"/>
      <c r="K33" s="61"/>
      <c r="L33" s="60"/>
      <c r="M33" s="62"/>
      <c r="N33" s="63"/>
      <c r="O33" s="1636"/>
      <c r="P33" s="1636"/>
    </row>
    <row r="34" spans="1:16" ht="59.25" customHeight="1" hidden="1" outlineLevel="1">
      <c r="A34" s="56" t="s">
        <v>112</v>
      </c>
      <c r="B34" s="57"/>
      <c r="C34" s="1635"/>
      <c r="D34" s="1635"/>
      <c r="E34" s="1635"/>
      <c r="F34" s="1635"/>
      <c r="G34" s="58"/>
      <c r="H34" s="59"/>
      <c r="I34" s="58"/>
      <c r="J34" s="64"/>
      <c r="K34" s="61"/>
      <c r="L34" s="65"/>
      <c r="M34" s="66"/>
      <c r="N34" s="67"/>
      <c r="O34" s="1636"/>
      <c r="P34" s="1636"/>
    </row>
    <row r="35" spans="1:16" ht="59.25" customHeight="1" hidden="1" outlineLevel="1">
      <c r="A35" s="56" t="s">
        <v>112</v>
      </c>
      <c r="B35" s="57"/>
      <c r="C35" s="1635"/>
      <c r="D35" s="1635"/>
      <c r="E35" s="1635"/>
      <c r="F35" s="1635"/>
      <c r="G35" s="58"/>
      <c r="H35" s="59"/>
      <c r="I35" s="58"/>
      <c r="J35" s="64"/>
      <c r="K35" s="61"/>
      <c r="L35" s="68"/>
      <c r="M35" s="66"/>
      <c r="N35" s="67"/>
      <c r="O35" s="1636"/>
      <c r="P35" s="1636"/>
    </row>
    <row r="36" spans="1:16" ht="59.25" customHeight="1" hidden="1" outlineLevel="1">
      <c r="A36" s="56" t="s">
        <v>112</v>
      </c>
      <c r="B36" s="57"/>
      <c r="C36" s="1635"/>
      <c r="D36" s="1635"/>
      <c r="E36" s="1635"/>
      <c r="F36" s="1635"/>
      <c r="G36" s="58"/>
      <c r="H36" s="59"/>
      <c r="I36" s="58"/>
      <c r="J36" s="60"/>
      <c r="K36" s="61"/>
      <c r="L36" s="60"/>
      <c r="M36" s="62"/>
      <c r="N36" s="67"/>
      <c r="O36" s="1636"/>
      <c r="P36" s="1636"/>
    </row>
    <row r="37" spans="1:18" s="50" customFormat="1" ht="13.5" customHeight="1" hidden="1">
      <c r="A37" s="57"/>
      <c r="B37" s="57"/>
      <c r="C37" s="1635"/>
      <c r="D37" s="1635"/>
      <c r="E37" s="1635"/>
      <c r="F37" s="1635"/>
      <c r="G37" s="58"/>
      <c r="H37" s="59"/>
      <c r="I37" s="58"/>
      <c r="J37" s="68"/>
      <c r="K37" s="61"/>
      <c r="L37" s="60"/>
      <c r="M37" s="62"/>
      <c r="N37" s="63"/>
      <c r="O37" s="1636"/>
      <c r="P37" s="1636"/>
      <c r="R37" s="16"/>
    </row>
    <row r="38" spans="1:16" s="50" customFormat="1" ht="13.5" customHeight="1">
      <c r="A38" s="57"/>
      <c r="B38" s="57"/>
      <c r="C38" s="1635"/>
      <c r="D38" s="1635"/>
      <c r="E38" s="1635"/>
      <c r="F38" s="1635"/>
      <c r="G38" s="58"/>
      <c r="H38" s="59"/>
      <c r="I38" s="58"/>
      <c r="J38" s="68"/>
      <c r="K38" s="61"/>
      <c r="L38" s="68"/>
      <c r="M38" s="66"/>
      <c r="N38" s="63"/>
      <c r="O38" s="1636"/>
      <c r="P38" s="1636"/>
    </row>
    <row r="39" spans="1:18" ht="14.25">
      <c r="A39" s="57"/>
      <c r="B39" s="57"/>
      <c r="C39" s="1635"/>
      <c r="D39" s="1635"/>
      <c r="E39" s="1635"/>
      <c r="F39" s="1635"/>
      <c r="G39" s="58"/>
      <c r="H39" s="59"/>
      <c r="I39" s="58"/>
      <c r="J39" s="69"/>
      <c r="K39" s="61"/>
      <c r="L39" s="64"/>
      <c r="M39" s="62"/>
      <c r="N39" s="63"/>
      <c r="O39" s="1636"/>
      <c r="P39" s="1636"/>
      <c r="R39" s="50"/>
    </row>
    <row r="40" spans="1:16" ht="12.75" customHeight="1">
      <c r="A40" s="58"/>
      <c r="B40" s="57"/>
      <c r="C40" s="1637"/>
      <c r="D40" s="1637"/>
      <c r="E40" s="1637"/>
      <c r="F40" s="1637"/>
      <c r="G40" s="58"/>
      <c r="H40" s="59"/>
      <c r="I40" s="58"/>
      <c r="J40" s="70"/>
      <c r="K40" s="71"/>
      <c r="L40" s="62"/>
      <c r="M40" s="62"/>
      <c r="N40" s="63"/>
      <c r="O40" s="1636"/>
      <c r="P40" s="1636"/>
    </row>
    <row r="41" spans="1:16" ht="14.25">
      <c r="A41" s="58"/>
      <c r="B41" s="57"/>
      <c r="C41" s="1637"/>
      <c r="D41" s="1637"/>
      <c r="E41" s="1637"/>
      <c r="F41" s="1637"/>
      <c r="G41" s="58"/>
      <c r="H41" s="59"/>
      <c r="I41" s="58"/>
      <c r="J41" s="70"/>
      <c r="K41" s="71"/>
      <c r="L41" s="62"/>
      <c r="M41" s="62"/>
      <c r="N41" s="63"/>
      <c r="O41" s="1638"/>
      <c r="P41" s="1639"/>
    </row>
  </sheetData>
  <sheetProtection selectLockedCells="1" selectUnlockedCells="1"/>
  <mergeCells count="57">
    <mergeCell ref="C41:F41"/>
    <mergeCell ref="O41:P41"/>
    <mergeCell ref="C40:F40"/>
    <mergeCell ref="O40:P40"/>
    <mergeCell ref="C39:F39"/>
    <mergeCell ref="O39:P39"/>
    <mergeCell ref="C35:F35"/>
    <mergeCell ref="O35:P35"/>
    <mergeCell ref="B30:F30"/>
    <mergeCell ref="N30:P30"/>
    <mergeCell ref="B31:F31"/>
    <mergeCell ref="N31:P31"/>
    <mergeCell ref="C34:F34"/>
    <mergeCell ref="O34:P34"/>
    <mergeCell ref="C33:F33"/>
    <mergeCell ref="O33:P33"/>
    <mergeCell ref="C38:F38"/>
    <mergeCell ref="O38:P38"/>
    <mergeCell ref="C36:F36"/>
    <mergeCell ref="O36:P36"/>
    <mergeCell ref="C37:F37"/>
    <mergeCell ref="O37:P37"/>
    <mergeCell ref="B32:F32"/>
    <mergeCell ref="N32:P32"/>
    <mergeCell ref="N25:P26"/>
    <mergeCell ref="N28:P28"/>
    <mergeCell ref="B27:F27"/>
    <mergeCell ref="N27:P27"/>
    <mergeCell ref="J25:J26"/>
    <mergeCell ref="K25:K26"/>
    <mergeCell ref="B29:F29"/>
    <mergeCell ref="N29:P29"/>
    <mergeCell ref="L25:L26"/>
    <mergeCell ref="M25:M26"/>
    <mergeCell ref="A20:P20"/>
    <mergeCell ref="O24:P24"/>
    <mergeCell ref="B28:F28"/>
    <mergeCell ref="A25:A26"/>
    <mergeCell ref="B25:F26"/>
    <mergeCell ref="G25:H25"/>
    <mergeCell ref="I25:I26"/>
    <mergeCell ref="C9:F9"/>
    <mergeCell ref="A10:B10"/>
    <mergeCell ref="C10:F10"/>
    <mergeCell ref="C8:F8"/>
    <mergeCell ref="C14:F14"/>
    <mergeCell ref="C18:F18"/>
    <mergeCell ref="Q24:Q26"/>
    <mergeCell ref="A7:B7"/>
    <mergeCell ref="C7:F7"/>
    <mergeCell ref="A1:F1"/>
    <mergeCell ref="A5:B5"/>
    <mergeCell ref="C5:F5"/>
    <mergeCell ref="A6:B6"/>
    <mergeCell ref="C6:F6"/>
    <mergeCell ref="A8:B8"/>
    <mergeCell ref="A9:B9"/>
  </mergeCells>
  <dataValidations count="10">
    <dataValidation type="list" allowBlank="1" showErrorMessage="1" sqref="I33:I41">
      <formula1>"Seleccionar,Sí - 10 más importantes ,Equivalentes 10 más importantes,No "</formula1>
      <formula2>0</formula2>
    </dataValidation>
    <dataValidation type="list" allowBlank="1" showErrorMessage="1" sqref="G33:G41">
      <formula1>"Seleccionar,Programa Nacional,Subvención actual,FM,FM y otros donantes"</formula1>
      <formula2>0</formula2>
    </dataValidation>
    <dataValidation type="list" allowBlank="1" showErrorMessage="1" sqref="H33:H41">
      <formula1>"Seleccionar,Sí - en el curso del programa,Sí acumuladas anualmente,No -no acumuladas,Sí -en período del RCC"</formula1>
      <formula2>0</formula2>
    </dataValidation>
    <dataValidation type="list" allowBlank="1" showErrorMessage="1" sqref="A27:A36">
      <formula1>"Seleccionar,Repercusión,Efectos"</formula1>
      <formula2>0</formula2>
    </dataValidation>
    <dataValidation type="list" allowBlank="1" sqref="D12">
      <formula1>"Seleccionar,Trimestral,Semestral,Anual,Otros"</formula1>
      <formula2>0</formula2>
    </dataValidation>
    <dataValidation type="list" allowBlank="1" showErrorMessage="1" sqref="D16">
      <formula1>"Seleccionar,Trimestral,Semestral,Anual,Otros"</formula1>
      <formula2>0</formula2>
    </dataValidation>
    <dataValidation type="list" allowBlank="1" showErrorMessage="1" sqref="C6:F6">
      <formula1>"Seleccionar,Fortalecimiento de los sistemas de salud,VIH/SIDA,VIH/TB,Integrado,Malaria,Tuberculosis"</formula1>
      <formula2>0</formula2>
    </dataValidation>
    <dataValidation type="list" allowBlank="1" showErrorMessage="1" sqref="C10:F10">
      <formula1>"Select,USD,EUR"</formula1>
      <formula2>0</formula2>
    </dataValidation>
    <dataValidation type="list" allowBlank="1" showErrorMessage="1" sqref="G18">
      <formula1>"Select,N/A,1,2,3,4,5,6,7,8,9,10,11,12,13,14,15,16,17,18,19,20"</formula1>
      <formula2>0</formula2>
    </dataValidation>
    <dataValidation errorStyle="information" type="list" allowBlank="1" showInputMessage="1" prompt="Seleccione la fuente de datos de la siguiente lista. También puede escribir su propio texto." sqref="M27:M32">
      <formula1>$R$1:$R$11</formula1>
      <formula2>0</formula2>
    </dataValidation>
  </dataValidations>
  <printOptions horizontalCentered="1" verticalCentered="1"/>
  <pageMargins left="0.7480314960629921" right="0.7480314960629921" top="0.5905511811023623" bottom="0.5905511811023623" header="0.5118110236220472" footer="0.5118110236220472"/>
  <pageSetup cellComments="atEnd" fitToHeight="1" fitToWidth="1" horizontalDpi="300" verticalDpi="300" orientation="landscape" paperSize="119" scale="38" r:id="rId1"/>
  <headerFooter alignWithMargins="0">
    <oddFooter>&amp;L&amp;9&amp;F&amp;C&amp;A&amp;R&amp;9Page &amp;P of &amp;N</oddFooter>
  </headerFooter>
</worksheet>
</file>

<file path=xl/worksheets/sheet20.xml><?xml version="1.0" encoding="utf-8"?>
<worksheet xmlns="http://schemas.openxmlformats.org/spreadsheetml/2006/main" xmlns:r="http://schemas.openxmlformats.org/officeDocument/2006/relationships">
  <sheetPr>
    <tabColor indexed="40"/>
    <pageSetUpPr fitToPage="1"/>
  </sheetPr>
  <dimension ref="A1:N37"/>
  <sheetViews>
    <sheetView view="pageBreakPreview" zoomScale="70" zoomScaleNormal="40" zoomScaleSheetLayoutView="70" zoomScalePageLayoutView="0" workbookViewId="0" topLeftCell="A31">
      <selection activeCell="D12" sqref="D12"/>
    </sheetView>
  </sheetViews>
  <sheetFormatPr defaultColWidth="0" defaultRowHeight="12.75"/>
  <cols>
    <col min="1" max="1" width="23.140625" style="2" customWidth="1"/>
    <col min="2" max="2" width="32.28125" style="2" customWidth="1"/>
    <col min="3" max="3" width="18.7109375" style="2" customWidth="1"/>
    <col min="4" max="4" width="23.140625" style="2" customWidth="1"/>
    <col min="5" max="8" width="18.7109375" style="2" customWidth="1"/>
    <col min="9" max="9" width="23.7109375" style="2" customWidth="1"/>
    <col min="10" max="10" width="12.8515625" style="2" customWidth="1"/>
    <col min="11" max="11" width="30.28125" style="2" customWidth="1"/>
    <col min="12" max="12" width="4.8515625" style="119" customWidth="1"/>
    <col min="13" max="14" width="18.57421875" style="5" customWidth="1"/>
    <col min="15" max="16384" width="0" style="2" hidden="1" customWidth="1"/>
  </cols>
  <sheetData>
    <row r="1" spans="1:14" s="101" customFormat="1" ht="25.5" customHeight="1">
      <c r="A1" s="1829" t="s">
        <v>846</v>
      </c>
      <c r="B1" s="1829"/>
      <c r="C1" s="1829"/>
      <c r="D1" s="1829"/>
      <c r="E1" s="1829"/>
      <c r="F1" s="1829"/>
      <c r="G1" s="1829"/>
      <c r="H1" s="1829"/>
      <c r="I1" s="1829"/>
      <c r="J1" s="1829"/>
      <c r="K1" s="1829"/>
      <c r="L1" s="626"/>
      <c r="M1" s="626"/>
      <c r="N1" s="626"/>
    </row>
    <row r="2" spans="1:14" s="13" customFormat="1" ht="27" customHeight="1">
      <c r="A2" s="72" t="s">
        <v>855</v>
      </c>
      <c r="B2" s="2"/>
      <c r="C2" s="2"/>
      <c r="D2" s="2"/>
      <c r="E2" s="2"/>
      <c r="F2" s="2"/>
      <c r="G2" s="2"/>
      <c r="H2" s="2"/>
      <c r="I2" s="2"/>
      <c r="J2" s="2"/>
      <c r="K2" s="2"/>
      <c r="L2" s="5"/>
      <c r="M2" s="5"/>
      <c r="N2" s="5"/>
    </row>
    <row r="3" spans="1:14" s="25" customFormat="1" ht="18" customHeight="1">
      <c r="A3" s="1672" t="s">
        <v>879</v>
      </c>
      <c r="B3" s="1672"/>
      <c r="C3" s="1673" t="str">
        <f>IF('LFA_Programmatic Progress_1A'!C7="","",'LFA_Programmatic Progress_1A'!C7)</f>
        <v>SLV-910-G08-T</v>
      </c>
      <c r="D3" s="1673"/>
      <c r="E3" s="1673"/>
      <c r="F3" s="1673"/>
      <c r="G3" s="1673"/>
      <c r="H3" s="1673"/>
      <c r="I3" s="1673"/>
      <c r="J3" s="75"/>
      <c r="K3" s="75"/>
      <c r="L3" s="295"/>
      <c r="M3" s="295"/>
      <c r="N3" s="295"/>
    </row>
    <row r="4" spans="1:14" s="25" customFormat="1" ht="15" customHeight="1">
      <c r="A4" s="90" t="s">
        <v>856</v>
      </c>
      <c r="B4" s="91"/>
      <c r="C4" s="92" t="s">
        <v>857</v>
      </c>
      <c r="D4" s="1907" t="str">
        <f>IF('LFA_Programmatic Progress_1A'!D12="Select","",'LFA_Programmatic Progress_1A'!D12)</f>
        <v>Semestral</v>
      </c>
      <c r="E4" s="1907"/>
      <c r="F4" s="93" t="s">
        <v>858</v>
      </c>
      <c r="G4" s="634"/>
      <c r="H4" s="634"/>
      <c r="I4" s="123">
        <f>IF('LFA_Programmatic Progress_1A'!F12="Select","",'LFA_Programmatic Progress_1A'!F12)</f>
        <v>10</v>
      </c>
      <c r="J4" s="75"/>
      <c r="K4" s="295"/>
      <c r="L4" s="295"/>
      <c r="M4" s="295"/>
      <c r="N4" s="295"/>
    </row>
    <row r="5" spans="1:14" s="25" customFormat="1" ht="15" customHeight="1">
      <c r="A5" s="94" t="s">
        <v>859</v>
      </c>
      <c r="B5" s="95"/>
      <c r="C5" s="96" t="s">
        <v>860</v>
      </c>
      <c r="D5" s="1908">
        <f>IF('LFA_Programmatic Progress_1A'!D13="","",'LFA_Programmatic Progress_1A'!D13)</f>
        <v>42005</v>
      </c>
      <c r="E5" s="1908"/>
      <c r="F5" s="93" t="s">
        <v>542</v>
      </c>
      <c r="G5" s="879"/>
      <c r="H5" s="879"/>
      <c r="I5" s="125">
        <f>IF('LFA_Programmatic Progress_1A'!F13="","",'LFA_Programmatic Progress_1A'!F13)</f>
        <v>42185</v>
      </c>
      <c r="J5" s="75"/>
      <c r="K5" s="880"/>
      <c r="L5" s="295"/>
      <c r="M5" s="295"/>
      <c r="N5" s="295"/>
    </row>
    <row r="6" spans="1:14" s="25" customFormat="1" ht="15" customHeight="1">
      <c r="A6" s="97" t="s">
        <v>861</v>
      </c>
      <c r="B6" s="99"/>
      <c r="C6" s="1763">
        <f>IF('LFA_Programmatic Progress_1A'!C14="Select","",'LFA_Programmatic Progress_1A'!C14)</f>
        <v>10</v>
      </c>
      <c r="D6" s="1763"/>
      <c r="E6" s="1763"/>
      <c r="F6" s="1763"/>
      <c r="G6" s="1763"/>
      <c r="H6" s="1763"/>
      <c r="I6" s="1763"/>
      <c r="J6" s="75"/>
      <c r="K6" s="75"/>
      <c r="L6" s="295"/>
      <c r="M6" s="295"/>
      <c r="N6" s="295"/>
    </row>
    <row r="7" spans="1:14" s="101" customFormat="1" ht="16.5" customHeight="1">
      <c r="A7" s="816"/>
      <c r="B7" s="816"/>
      <c r="C7" s="816"/>
      <c r="D7" s="816"/>
      <c r="E7" s="816"/>
      <c r="F7" s="816"/>
      <c r="G7" s="816"/>
      <c r="H7" s="816"/>
      <c r="I7" s="816"/>
      <c r="J7" s="817"/>
      <c r="K7" s="5"/>
      <c r="L7" s="5"/>
      <c r="M7" s="5"/>
      <c r="N7" s="5"/>
    </row>
    <row r="8" spans="1:14" s="357" customFormat="1" ht="20.25" customHeight="1">
      <c r="A8" s="881" t="s">
        <v>945</v>
      </c>
      <c r="B8" s="882"/>
      <c r="C8" s="882"/>
      <c r="D8" s="883"/>
      <c r="E8" s="115"/>
      <c r="F8" s="115"/>
      <c r="G8" s="115"/>
      <c r="H8" s="115"/>
      <c r="I8" s="115"/>
      <c r="J8" s="115"/>
      <c r="K8" s="115"/>
      <c r="L8" s="115"/>
      <c r="M8" s="115"/>
      <c r="N8" s="115"/>
    </row>
    <row r="9" spans="1:14" s="107" customFormat="1" ht="15" customHeight="1">
      <c r="A9" s="884"/>
      <c r="B9" s="885"/>
      <c r="C9" s="885"/>
      <c r="D9" s="885"/>
      <c r="E9" s="886"/>
      <c r="F9" s="886"/>
      <c r="G9" s="886"/>
      <c r="H9" s="886"/>
      <c r="I9" s="886"/>
      <c r="J9" s="886"/>
      <c r="K9" s="887"/>
      <c r="L9" s="115"/>
      <c r="M9" s="115"/>
      <c r="N9" s="115"/>
    </row>
    <row r="10" spans="1:14" s="107" customFormat="1" ht="13.5" customHeight="1">
      <c r="A10" s="888"/>
      <c r="B10" s="888"/>
      <c r="C10" s="852"/>
      <c r="D10" s="852"/>
      <c r="E10" s="852"/>
      <c r="F10" s="852"/>
      <c r="G10" s="852"/>
      <c r="H10" s="852"/>
      <c r="I10" s="852"/>
      <c r="J10" s="852"/>
      <c r="K10" s="853"/>
      <c r="L10" s="836"/>
      <c r="M10" s="50"/>
      <c r="N10" s="696"/>
    </row>
    <row r="11" spans="1:14" s="13" customFormat="1" ht="22.5" customHeight="1">
      <c r="A11" s="889"/>
      <c r="B11" s="890"/>
      <c r="C11" s="891" t="s">
        <v>946</v>
      </c>
      <c r="D11" s="892" t="s">
        <v>947</v>
      </c>
      <c r="E11" s="1945" t="s">
        <v>948</v>
      </c>
      <c r="F11" s="1945"/>
      <c r="G11" s="1945"/>
      <c r="H11" s="1945"/>
      <c r="I11" s="1945"/>
      <c r="J11" s="1945"/>
      <c r="K11" s="1945"/>
      <c r="L11" s="50"/>
      <c r="M11" s="50"/>
      <c r="N11" s="50"/>
    </row>
    <row r="12" spans="1:14" s="13" customFormat="1" ht="135" customHeight="1">
      <c r="A12" s="1946" t="s">
        <v>949</v>
      </c>
      <c r="B12" s="1946"/>
      <c r="C12" s="893" t="str">
        <f>'PR_Procurement Info_4'!F10</f>
        <v>Sí</v>
      </c>
      <c r="D12" s="894" t="s">
        <v>198</v>
      </c>
      <c r="E12" s="1947"/>
      <c r="F12" s="1947"/>
      <c r="G12" s="1947"/>
      <c r="H12" s="1947"/>
      <c r="I12" s="1947"/>
      <c r="J12" s="1947"/>
      <c r="K12" s="1947"/>
      <c r="L12" s="50"/>
      <c r="M12" s="50"/>
      <c r="N12" s="50"/>
    </row>
    <row r="13" spans="1:14" s="804" customFormat="1" ht="12" customHeight="1">
      <c r="A13" s="895"/>
      <c r="B13" s="896"/>
      <c r="C13" s="897"/>
      <c r="D13" s="898"/>
      <c r="E13" s="899"/>
      <c r="F13" s="899"/>
      <c r="G13" s="900"/>
      <c r="H13" s="901"/>
      <c r="I13" s="902"/>
      <c r="J13" s="902"/>
      <c r="K13" s="903"/>
      <c r="L13" s="780"/>
      <c r="M13" s="780"/>
      <c r="N13" s="780"/>
    </row>
    <row r="14" spans="1:14" s="778" customFormat="1" ht="22.5" customHeight="1">
      <c r="A14" s="1942" t="s">
        <v>950</v>
      </c>
      <c r="B14" s="1942"/>
      <c r="C14" s="1942"/>
      <c r="D14" s="1942"/>
      <c r="E14" s="904"/>
      <c r="F14" s="905"/>
      <c r="G14" s="905"/>
      <c r="H14" s="906"/>
      <c r="I14" s="907"/>
      <c r="J14" s="906"/>
      <c r="K14" s="908"/>
      <c r="L14" s="170"/>
      <c r="M14" s="780"/>
      <c r="N14" s="780"/>
    </row>
    <row r="15" spans="1:14" s="778" customFormat="1" ht="44.25" customHeight="1">
      <c r="A15" s="1943" t="s">
        <v>951</v>
      </c>
      <c r="B15" s="1943"/>
      <c r="C15" s="1943"/>
      <c r="D15" s="1943"/>
      <c r="E15" s="1943"/>
      <c r="F15" s="1943"/>
      <c r="G15" s="1943"/>
      <c r="H15" s="1943"/>
      <c r="I15" s="1943"/>
      <c r="J15" s="1943"/>
      <c r="K15" s="1943"/>
      <c r="L15" s="170"/>
      <c r="M15" s="780"/>
      <c r="N15" s="780"/>
    </row>
    <row r="16" spans="1:14" s="106" customFormat="1" ht="22.5" customHeight="1">
      <c r="A16" s="1944" t="s">
        <v>952</v>
      </c>
      <c r="B16" s="1944"/>
      <c r="C16" s="909"/>
      <c r="D16" s="53"/>
      <c r="E16" s="53"/>
      <c r="F16" s="53"/>
      <c r="G16" s="53"/>
      <c r="H16" s="50"/>
      <c r="I16" s="281"/>
      <c r="J16" s="50"/>
      <c r="K16" s="170"/>
      <c r="L16" s="170"/>
      <c r="M16" s="780"/>
      <c r="N16" s="780"/>
    </row>
    <row r="17" spans="1:14" s="14" customFormat="1" ht="113.25" customHeight="1">
      <c r="A17" s="1865" t="s">
        <v>953</v>
      </c>
      <c r="B17" s="1865"/>
      <c r="C17" s="742" t="s">
        <v>954</v>
      </c>
      <c r="D17" s="742" t="s">
        <v>955</v>
      </c>
      <c r="E17" s="910" t="s">
        <v>548</v>
      </c>
      <c r="F17" s="1860" t="s">
        <v>549</v>
      </c>
      <c r="G17" s="1860"/>
      <c r="H17" s="742" t="s">
        <v>956</v>
      </c>
      <c r="I17" s="742" t="s">
        <v>957</v>
      </c>
      <c r="J17" s="742" t="s">
        <v>548</v>
      </c>
      <c r="K17" s="743" t="s">
        <v>549</v>
      </c>
      <c r="L17" s="50"/>
      <c r="M17" s="50"/>
      <c r="N17" s="50"/>
    </row>
    <row r="18" spans="1:14" s="915" customFormat="1" ht="47.25" customHeight="1">
      <c r="A18" s="1949" t="s">
        <v>958</v>
      </c>
      <c r="B18" s="1949"/>
      <c r="C18" s="911"/>
      <c r="D18" s="911"/>
      <c r="E18" s="912">
        <f aca="true" t="shared" si="0" ref="E18:E23">IF(C18="",IF(D18="","",C18-D18),C18-D18)</f>
      </c>
      <c r="F18" s="1950"/>
      <c r="G18" s="1950"/>
      <c r="H18" s="911"/>
      <c r="I18" s="911"/>
      <c r="J18" s="912">
        <f aca="true" t="shared" si="1" ref="J18:J23">IF(H18="",IF(I18="","",H18-I18),H18-I18)</f>
      </c>
      <c r="K18" s="913"/>
      <c r="L18" s="914"/>
      <c r="M18" s="914"/>
      <c r="N18" s="914"/>
    </row>
    <row r="19" spans="1:14" s="101" customFormat="1" ht="47.25" customHeight="1">
      <c r="A19" s="1720" t="s">
        <v>959</v>
      </c>
      <c r="B19" s="1720"/>
      <c r="C19" s="916"/>
      <c r="D19" s="916"/>
      <c r="E19" s="917">
        <f t="shared" si="0"/>
      </c>
      <c r="F19" s="1948"/>
      <c r="G19" s="1948"/>
      <c r="H19" s="916"/>
      <c r="I19" s="916"/>
      <c r="J19" s="917">
        <f t="shared" si="1"/>
      </c>
      <c r="K19" s="918"/>
      <c r="L19" s="119"/>
      <c r="M19" s="5"/>
      <c r="N19" s="5"/>
    </row>
    <row r="20" spans="1:14" s="666" customFormat="1" ht="47.25" customHeight="1">
      <c r="A20" s="1720" t="s">
        <v>960</v>
      </c>
      <c r="B20" s="1720"/>
      <c r="C20" s="916"/>
      <c r="D20" s="916"/>
      <c r="E20" s="917">
        <f t="shared" si="0"/>
      </c>
      <c r="F20" s="1948"/>
      <c r="G20" s="1948"/>
      <c r="H20" s="916"/>
      <c r="I20" s="916"/>
      <c r="J20" s="917">
        <f t="shared" si="1"/>
      </c>
      <c r="K20" s="919"/>
      <c r="L20" s="857"/>
      <c r="M20" s="664"/>
      <c r="N20" s="664"/>
    </row>
    <row r="21" spans="1:14" s="666" customFormat="1" ht="47.25" customHeight="1">
      <c r="A21" s="1720" t="s">
        <v>961</v>
      </c>
      <c r="B21" s="1720"/>
      <c r="C21" s="916"/>
      <c r="D21" s="916"/>
      <c r="E21" s="917">
        <f t="shared" si="0"/>
      </c>
      <c r="F21" s="1948"/>
      <c r="G21" s="1948"/>
      <c r="H21" s="916"/>
      <c r="I21" s="916"/>
      <c r="J21" s="917">
        <f t="shared" si="1"/>
      </c>
      <c r="K21" s="919"/>
      <c r="L21" s="857"/>
      <c r="M21" s="664"/>
      <c r="N21" s="664"/>
    </row>
    <row r="22" spans="1:14" s="666" customFormat="1" ht="47.25" customHeight="1">
      <c r="A22" s="1720" t="s">
        <v>962</v>
      </c>
      <c r="B22" s="1720"/>
      <c r="C22" s="916"/>
      <c r="D22" s="916"/>
      <c r="E22" s="917">
        <f t="shared" si="0"/>
      </c>
      <c r="F22" s="1948"/>
      <c r="G22" s="1948"/>
      <c r="H22" s="916"/>
      <c r="I22" s="916"/>
      <c r="J22" s="917">
        <f t="shared" si="1"/>
      </c>
      <c r="K22" s="919"/>
      <c r="L22" s="857"/>
      <c r="M22" s="664"/>
      <c r="N22" s="664"/>
    </row>
    <row r="23" spans="1:14" s="666" customFormat="1" ht="47.25" customHeight="1">
      <c r="A23" s="1953" t="s">
        <v>963</v>
      </c>
      <c r="B23" s="1953"/>
      <c r="C23" s="920"/>
      <c r="D23" s="920"/>
      <c r="E23" s="921">
        <f t="shared" si="0"/>
      </c>
      <c r="F23" s="1954"/>
      <c r="G23" s="1954"/>
      <c r="H23" s="920"/>
      <c r="I23" s="920"/>
      <c r="J23" s="921">
        <f t="shared" si="1"/>
      </c>
      <c r="K23" s="922"/>
      <c r="L23" s="857"/>
      <c r="M23" s="664"/>
      <c r="N23" s="664"/>
    </row>
    <row r="24" spans="1:14" s="666" customFormat="1" ht="47.25" customHeight="1">
      <c r="A24" s="1955" t="s">
        <v>779</v>
      </c>
      <c r="B24" s="1955"/>
      <c r="C24" s="923">
        <f>SUM(C18:C23)</f>
        <v>0</v>
      </c>
      <c r="D24" s="923">
        <f>SUM(D18:D23)</f>
        <v>0</v>
      </c>
      <c r="E24" s="924">
        <f>SUM(E18:E23)</f>
        <v>0</v>
      </c>
      <c r="F24" s="1956"/>
      <c r="G24" s="1956"/>
      <c r="H24" s="923">
        <f>SUM(H18:H23)</f>
        <v>0</v>
      </c>
      <c r="I24" s="923">
        <f>SUM(I18:I23)</f>
        <v>0</v>
      </c>
      <c r="J24" s="924">
        <f>SUM(J18:J23)</f>
        <v>0</v>
      </c>
      <c r="K24" s="925"/>
      <c r="L24" s="857"/>
      <c r="M24" s="664"/>
      <c r="N24" s="664"/>
    </row>
    <row r="25" spans="1:14" s="666" customFormat="1" ht="32.25" customHeight="1">
      <c r="A25" s="926"/>
      <c r="B25" s="926"/>
      <c r="C25" s="836"/>
      <c r="D25" s="836"/>
      <c r="E25" s="836"/>
      <c r="F25" s="927"/>
      <c r="G25" s="928"/>
      <c r="H25" s="836"/>
      <c r="I25" s="836"/>
      <c r="J25" s="836"/>
      <c r="K25" s="927"/>
      <c r="L25" s="857"/>
      <c r="M25" s="664"/>
      <c r="N25" s="664"/>
    </row>
    <row r="26" spans="1:14" s="666" customFormat="1" ht="28.5" customHeight="1">
      <c r="A26" s="835"/>
      <c r="B26" s="835"/>
      <c r="C26" s="836"/>
      <c r="D26" s="836"/>
      <c r="E26" s="836"/>
      <c r="F26" s="927"/>
      <c r="G26" s="929"/>
      <c r="H26" s="836"/>
      <c r="I26" s="836"/>
      <c r="J26" s="836"/>
      <c r="K26" s="927"/>
      <c r="L26" s="857"/>
      <c r="M26" s="664"/>
      <c r="N26" s="664"/>
    </row>
    <row r="27" spans="1:14" s="778" customFormat="1" ht="171.75" customHeight="1">
      <c r="A27" s="1957" t="s">
        <v>964</v>
      </c>
      <c r="B27" s="1957"/>
      <c r="C27" s="930" t="str">
        <f>'PR_Procurement Info_4'!F11</f>
        <v>Sí</v>
      </c>
      <c r="D27" s="931" t="s">
        <v>198</v>
      </c>
      <c r="E27" s="1958"/>
      <c r="F27" s="1958"/>
      <c r="G27" s="1958"/>
      <c r="H27" s="1958"/>
      <c r="I27" s="1958"/>
      <c r="J27" s="1958"/>
      <c r="K27" s="1958"/>
      <c r="L27" s="780"/>
      <c r="M27" s="780"/>
      <c r="N27" s="780"/>
    </row>
    <row r="28" spans="1:14" s="666" customFormat="1" ht="24.75" customHeight="1">
      <c r="A28" s="895"/>
      <c r="B28" s="932"/>
      <c r="C28" s="932"/>
      <c r="D28" s="932"/>
      <c r="E28" s="932"/>
      <c r="F28" s="897"/>
      <c r="G28" s="933"/>
      <c r="H28" s="934"/>
      <c r="I28" s="935"/>
      <c r="J28" s="935"/>
      <c r="K28" s="936"/>
      <c r="L28" s="857"/>
      <c r="M28" s="664"/>
      <c r="N28" s="664"/>
    </row>
    <row r="29" spans="1:14" s="666" customFormat="1" ht="38.25" customHeight="1">
      <c r="A29" s="1707" t="s">
        <v>965</v>
      </c>
      <c r="B29" s="1707"/>
      <c r="C29" s="1707"/>
      <c r="D29" s="1707"/>
      <c r="E29" s="1707"/>
      <c r="F29" s="1708" t="s">
        <v>966</v>
      </c>
      <c r="G29" s="1708"/>
      <c r="H29" s="1708"/>
      <c r="I29" s="1708"/>
      <c r="J29" s="1708"/>
      <c r="K29" s="1708"/>
      <c r="L29" s="857"/>
      <c r="M29" s="664"/>
      <c r="N29" s="664"/>
    </row>
    <row r="30" spans="1:14" s="666" customFormat="1" ht="159.75" customHeight="1">
      <c r="A30" s="1951" t="str">
        <f>IF('PR_Procurement Info_4'!A14:J14="","",'PR_Procurement Info_4'!A14:J14)</f>
        <v>El RP (MINSAL)  realiza la adquisición de Medicamentos de Segunda Linea a traves del fondo estrategico de OPS.</v>
      </c>
      <c r="B30" s="1951"/>
      <c r="C30" s="1951"/>
      <c r="D30" s="1951"/>
      <c r="E30" s="1951"/>
      <c r="F30" s="1952"/>
      <c r="G30" s="1952"/>
      <c r="H30" s="1952"/>
      <c r="I30" s="1952"/>
      <c r="J30" s="1952"/>
      <c r="K30" s="1952"/>
      <c r="L30" s="857"/>
      <c r="M30" s="664"/>
      <c r="N30" s="664"/>
    </row>
    <row r="31" spans="1:12" s="664" customFormat="1" ht="14.25">
      <c r="A31" s="5"/>
      <c r="B31" s="5"/>
      <c r="C31" s="5"/>
      <c r="D31" s="5"/>
      <c r="E31" s="5"/>
      <c r="F31" s="5"/>
      <c r="G31" s="5"/>
      <c r="H31" s="5"/>
      <c r="I31" s="5"/>
      <c r="J31" s="5"/>
      <c r="K31" s="5"/>
      <c r="L31" s="857"/>
    </row>
    <row r="32" s="664" customFormat="1" ht="14.25">
      <c r="L32" s="857"/>
    </row>
    <row r="33" s="664" customFormat="1" ht="14.25">
      <c r="L33" s="857"/>
    </row>
    <row r="34" s="664" customFormat="1" ht="14.25">
      <c r="L34" s="857"/>
    </row>
    <row r="35" s="664" customFormat="1" ht="14.25">
      <c r="L35" s="857"/>
    </row>
    <row r="36" s="5" customFormat="1" ht="12.75">
      <c r="L36" s="119"/>
    </row>
    <row r="37" s="5" customFormat="1" ht="12.75">
      <c r="L37" s="119"/>
    </row>
  </sheetData>
  <sheetProtection password="92D1" sheet="1" formatCells="0" formatColumns="0" formatRows="0" selectLockedCells="1"/>
  <mergeCells count="34">
    <mergeCell ref="A22:B22"/>
    <mergeCell ref="F22:G22"/>
    <mergeCell ref="A20:B20"/>
    <mergeCell ref="F20:G20"/>
    <mergeCell ref="A21:B21"/>
    <mergeCell ref="F21:G21"/>
    <mergeCell ref="A30:E30"/>
    <mergeCell ref="F30:K30"/>
    <mergeCell ref="A23:B23"/>
    <mergeCell ref="F23:G23"/>
    <mergeCell ref="A24:B24"/>
    <mergeCell ref="F24:G24"/>
    <mergeCell ref="A27:B27"/>
    <mergeCell ref="E27:K27"/>
    <mergeCell ref="A29:E29"/>
    <mergeCell ref="F29:K29"/>
    <mergeCell ref="A17:B17"/>
    <mergeCell ref="F17:G17"/>
    <mergeCell ref="A19:B19"/>
    <mergeCell ref="F19:G19"/>
    <mergeCell ref="A18:B18"/>
    <mergeCell ref="F18:G18"/>
    <mergeCell ref="A16:B16"/>
    <mergeCell ref="D5:E5"/>
    <mergeCell ref="C6:I6"/>
    <mergeCell ref="E11:K11"/>
    <mergeCell ref="A12:B12"/>
    <mergeCell ref="E12:K12"/>
    <mergeCell ref="A1:K1"/>
    <mergeCell ref="A3:B3"/>
    <mergeCell ref="C3:I3"/>
    <mergeCell ref="D4:E4"/>
    <mergeCell ref="A14:D14"/>
    <mergeCell ref="A15:K15"/>
  </mergeCells>
  <conditionalFormatting sqref="F20:G22 F23 E17:F17 F18:F19 K18:K23 C18:D23 C10:L10 H18:I23 H26:I26 C26:D26 K26 F26">
    <cfRule type="cellIs" priority="1" dxfId="14" operator="lessThan" stopIfTrue="1">
      <formula>0</formula>
    </cfRule>
  </conditionalFormatting>
  <conditionalFormatting sqref="F20:G22 F23 J17 E17:F17 K18:K23 F18:F19 C10:E10 H10:L10 H18:I23 H26:I26 K26 F26">
    <cfRule type="cellIs" priority="2" dxfId="0" operator="lessThan" stopIfTrue="1">
      <formula>0</formula>
    </cfRule>
  </conditionalFormatting>
  <conditionalFormatting sqref="F24:F25 K24:K25 C24:D25 H24:I25">
    <cfRule type="cellIs" priority="3" dxfId="14" operator="lessThan" stopIfTrue="1">
      <formula>0</formula>
    </cfRule>
  </conditionalFormatting>
  <conditionalFormatting sqref="F24:F25 K24:K25 H24:I25">
    <cfRule type="cellIs" priority="4" dxfId="0" operator="lessThan" stopIfTrue="1">
      <formula>0</formula>
    </cfRule>
  </conditionalFormatting>
  <dataValidations count="2">
    <dataValidation type="list" allowBlank="1" showErrorMessage="1" sqref="D12 C13 F13:G13 D27 F28">
      <formula1>"Select,Yes,No,N/A"</formula1>
      <formula2>0</formula2>
    </dataValidation>
    <dataValidation type="list" allowBlank="1" showErrorMessage="1" sqref="I14 I16">
      <formula1>"Select,Yes,No,Partially,N/A"</formula1>
      <formula2>0</formula2>
    </dataValidation>
  </dataValidations>
  <printOptions horizontalCentered="1"/>
  <pageMargins left="0.7479166666666667" right="0.7479166666666667" top="0.19652777777777777" bottom="0.35416666666666663" header="0.5118055555555555" footer="0.15763888888888888"/>
  <pageSetup cellComments="atEnd" fitToHeight="0" fitToWidth="1" horizontalDpi="300" verticalDpi="300" orientation="landscape" paperSize="9" scale="55" r:id="rId1"/>
  <headerFooter alignWithMargins="0">
    <oddFooter>&amp;L&amp;9&amp;F&amp;C&amp;A&amp;R&amp;9Page &amp;P of &amp;N</oddFooter>
  </headerFooter>
</worksheet>
</file>

<file path=xl/worksheets/sheet21.xml><?xml version="1.0" encoding="utf-8"?>
<worksheet xmlns="http://schemas.openxmlformats.org/spreadsheetml/2006/main" xmlns:r="http://schemas.openxmlformats.org/officeDocument/2006/relationships">
  <sheetPr>
    <tabColor indexed="40"/>
    <pageSetUpPr fitToPage="1"/>
  </sheetPr>
  <dimension ref="A1:U39"/>
  <sheetViews>
    <sheetView view="pageBreakPreview" zoomScaleNormal="70" zoomScaleSheetLayoutView="100" zoomScalePageLayoutView="0" workbookViewId="0" topLeftCell="A10">
      <selection activeCell="C23" sqref="C23:E23"/>
    </sheetView>
  </sheetViews>
  <sheetFormatPr defaultColWidth="9.140625" defaultRowHeight="12.75"/>
  <cols>
    <col min="1" max="1" width="15.421875" style="5" customWidth="1"/>
    <col min="2" max="2" width="33.140625" style="5" customWidth="1"/>
    <col min="3" max="3" width="25.00390625" style="5" customWidth="1"/>
    <col min="4" max="4" width="22.28125" style="5" customWidth="1"/>
    <col min="5" max="5" width="26.28125" style="5" customWidth="1"/>
    <col min="6" max="6" width="21.7109375" style="5" customWidth="1"/>
    <col min="7" max="7" width="27.57421875" style="5" customWidth="1"/>
    <col min="8" max="8" width="18.57421875" style="5" customWidth="1"/>
    <col min="9" max="9" width="16.421875" style="5" customWidth="1"/>
    <col min="10" max="10" width="63.00390625" style="937" customWidth="1"/>
    <col min="11" max="11" width="2.7109375" style="5" customWidth="1"/>
    <col min="12" max="12" width="10.00390625" style="5" customWidth="1"/>
    <col min="13" max="16384" width="9.140625" style="5" customWidth="1"/>
  </cols>
  <sheetData>
    <row r="1" spans="1:10" ht="23.25" customHeight="1">
      <c r="A1" s="1829" t="s">
        <v>846</v>
      </c>
      <c r="B1" s="1829"/>
      <c r="C1" s="1829"/>
      <c r="D1" s="1829"/>
      <c r="E1" s="1829"/>
      <c r="F1" s="1829"/>
      <c r="G1" s="1829"/>
      <c r="H1" s="1829"/>
      <c r="I1" s="1829"/>
      <c r="J1" s="1829"/>
    </row>
    <row r="2" spans="1:10" ht="18" customHeight="1">
      <c r="A2" s="72" t="s">
        <v>649</v>
      </c>
      <c r="B2" s="2"/>
      <c r="C2" s="2"/>
      <c r="D2" s="2"/>
      <c r="E2" s="2"/>
      <c r="F2" s="2"/>
      <c r="G2" s="2"/>
      <c r="H2" s="2"/>
      <c r="I2" s="2"/>
      <c r="J2" s="165"/>
    </row>
    <row r="3" spans="1:10" s="295" customFormat="1" ht="27.75" customHeight="1">
      <c r="A3" s="1672" t="s">
        <v>879</v>
      </c>
      <c r="B3" s="1672"/>
      <c r="C3" s="1762" t="str">
        <f>IF('LFA_Programmatic Progress_1A'!C7="","",'LFA_Programmatic Progress_1A'!C7)</f>
        <v>SLV-910-G08-T</v>
      </c>
      <c r="D3" s="1762"/>
      <c r="E3" s="1762"/>
      <c r="F3" s="1762"/>
      <c r="G3" s="75"/>
      <c r="H3" s="75"/>
      <c r="I3" s="75"/>
      <c r="J3" s="938"/>
    </row>
    <row r="4" spans="1:10" s="295" customFormat="1" ht="15" customHeight="1">
      <c r="A4" s="90" t="s">
        <v>856</v>
      </c>
      <c r="B4" s="91"/>
      <c r="C4" s="92" t="s">
        <v>857</v>
      </c>
      <c r="D4" s="122" t="str">
        <f>IF('LFA_Programmatic Progress_1A'!D12="Select","",'LFA_Programmatic Progress_1A'!D12)</f>
        <v>Semestral</v>
      </c>
      <c r="E4" s="93" t="s">
        <v>858</v>
      </c>
      <c r="F4" s="123"/>
      <c r="G4" s="75"/>
      <c r="H4" s="75"/>
      <c r="I4" s="75"/>
      <c r="J4" s="938"/>
    </row>
    <row r="5" spans="1:10" s="295" customFormat="1" ht="15" customHeight="1">
      <c r="A5" s="94" t="s">
        <v>859</v>
      </c>
      <c r="B5" s="95"/>
      <c r="C5" s="96" t="s">
        <v>860</v>
      </c>
      <c r="D5" s="124">
        <f>IF('LFA_Programmatic Progress_1A'!D13="","",'LFA_Programmatic Progress_1A'!D13)</f>
        <v>42005</v>
      </c>
      <c r="E5" s="93" t="s">
        <v>542</v>
      </c>
      <c r="F5" s="125">
        <f>IF('LFA_Programmatic Progress_1A'!F13="","",'LFA_Programmatic Progress_1A'!F13)</f>
        <v>42185</v>
      </c>
      <c r="G5" s="75"/>
      <c r="H5" s="75"/>
      <c r="I5" s="75"/>
      <c r="J5" s="938"/>
    </row>
    <row r="6" spans="1:10" s="295" customFormat="1" ht="15" customHeight="1">
      <c r="A6" s="97" t="s">
        <v>861</v>
      </c>
      <c r="B6" s="99"/>
      <c r="C6" s="1763">
        <f>IF('LFA_Programmatic Progress_1A'!C14="Select","",'LFA_Programmatic Progress_1A'!C14)</f>
        <v>10</v>
      </c>
      <c r="D6" s="1763"/>
      <c r="E6" s="1763"/>
      <c r="F6" s="1763"/>
      <c r="G6" s="75"/>
      <c r="H6" s="75"/>
      <c r="I6" s="75"/>
      <c r="J6" s="938"/>
    </row>
    <row r="7" spans="1:10" ht="12.75">
      <c r="A7" s="2"/>
      <c r="B7" s="2"/>
      <c r="C7" s="2"/>
      <c r="D7" s="2"/>
      <c r="E7" s="2"/>
      <c r="F7" s="2"/>
      <c r="G7" s="2"/>
      <c r="H7" s="2"/>
      <c r="I7" s="2"/>
      <c r="J7" s="165"/>
    </row>
    <row r="8" spans="1:10" ht="15">
      <c r="A8" s="303"/>
      <c r="B8" s="303"/>
      <c r="C8" s="303"/>
      <c r="D8" s="939"/>
      <c r="E8" s="939"/>
      <c r="F8" s="939"/>
      <c r="G8" s="940"/>
      <c r="H8" s="940"/>
      <c r="I8" s="941"/>
      <c r="J8" s="942"/>
    </row>
    <row r="9" spans="1:8" ht="20.25">
      <c r="A9" s="943" t="s">
        <v>967</v>
      </c>
      <c r="B9" s="944"/>
      <c r="C9" s="945"/>
      <c r="D9" s="816"/>
      <c r="E9" s="816"/>
      <c r="F9" s="817"/>
      <c r="G9" s="816"/>
      <c r="H9" s="816"/>
    </row>
    <row r="10" spans="1:21" ht="9" customHeight="1">
      <c r="A10" s="819"/>
      <c r="B10" s="819"/>
      <c r="C10" s="819"/>
      <c r="D10" s="820"/>
      <c r="E10" s="820"/>
      <c r="F10" s="820"/>
      <c r="G10" s="820"/>
      <c r="H10" s="820"/>
      <c r="I10" s="820"/>
      <c r="J10" s="946"/>
      <c r="K10" s="115"/>
      <c r="L10" s="145"/>
      <c r="M10" s="145"/>
      <c r="N10" s="145"/>
      <c r="O10" s="145"/>
      <c r="P10" s="145"/>
      <c r="Q10" s="145"/>
      <c r="R10" s="145"/>
      <c r="S10" s="145"/>
      <c r="T10" s="145"/>
      <c r="U10" s="145"/>
    </row>
    <row r="11" spans="1:21" ht="69" customHeight="1">
      <c r="A11" s="1959" t="s">
        <v>968</v>
      </c>
      <c r="B11" s="1959"/>
      <c r="C11" s="1959"/>
      <c r="D11" s="1959"/>
      <c r="E11" s="1959"/>
      <c r="F11" s="1959"/>
      <c r="G11" s="1959"/>
      <c r="H11" s="1959"/>
      <c r="I11" s="1959"/>
      <c r="J11" s="1959"/>
      <c r="K11" s="947"/>
      <c r="L11" s="145"/>
      <c r="M11" s="145"/>
      <c r="N11" s="145"/>
      <c r="O11" s="145"/>
      <c r="P11" s="145"/>
      <c r="Q11" s="145"/>
      <c r="R11" s="145"/>
      <c r="S11" s="145"/>
      <c r="T11" s="145"/>
      <c r="U11" s="145"/>
    </row>
    <row r="12" spans="1:18" ht="9.75" customHeight="1">
      <c r="A12" s="941"/>
      <c r="B12" s="941"/>
      <c r="C12" s="941"/>
      <c r="D12" s="941"/>
      <c r="E12" s="941"/>
      <c r="F12" s="941"/>
      <c r="G12" s="941"/>
      <c r="H12" s="941"/>
      <c r="I12" s="941"/>
      <c r="J12" s="948"/>
      <c r="M12" s="145"/>
      <c r="N12" s="145"/>
      <c r="O12" s="145"/>
      <c r="P12" s="145"/>
      <c r="Q12" s="145"/>
      <c r="R12" s="145"/>
    </row>
    <row r="13" spans="1:19" ht="45" customHeight="1">
      <c r="A13" s="1960" t="s">
        <v>969</v>
      </c>
      <c r="B13" s="1960"/>
      <c r="C13" s="1945" t="s">
        <v>970</v>
      </c>
      <c r="D13" s="1945"/>
      <c r="E13" s="1945"/>
      <c r="F13" s="1945" t="s">
        <v>971</v>
      </c>
      <c r="G13" s="1945"/>
      <c r="H13" s="1945"/>
      <c r="I13" s="1945"/>
      <c r="J13" s="949" t="s">
        <v>972</v>
      </c>
      <c r="K13" s="295"/>
      <c r="L13" s="145"/>
      <c r="M13" s="145"/>
      <c r="N13" s="145"/>
      <c r="O13" s="145"/>
      <c r="P13" s="145"/>
      <c r="Q13" s="50"/>
      <c r="R13" s="50"/>
      <c r="S13" s="50"/>
    </row>
    <row r="14" spans="1:15" ht="76.5" customHeight="1">
      <c r="A14" s="1961" t="s">
        <v>973</v>
      </c>
      <c r="B14" s="1961"/>
      <c r="C14" s="1962"/>
      <c r="D14" s="1962"/>
      <c r="E14" s="1962"/>
      <c r="F14" s="1962"/>
      <c r="G14" s="1962"/>
      <c r="H14" s="1962"/>
      <c r="I14" s="1962"/>
      <c r="J14" s="950"/>
      <c r="K14" s="145"/>
      <c r="L14" s="145"/>
      <c r="M14" s="145"/>
      <c r="N14" s="145"/>
      <c r="O14" s="145"/>
    </row>
    <row r="15" spans="1:10" ht="76.5" customHeight="1">
      <c r="A15" s="1961" t="s">
        <v>198</v>
      </c>
      <c r="B15" s="1961"/>
      <c r="C15" s="1963"/>
      <c r="D15" s="1963"/>
      <c r="E15" s="1963"/>
      <c r="F15" s="1963"/>
      <c r="G15" s="1963"/>
      <c r="H15" s="1963"/>
      <c r="I15" s="1963"/>
      <c r="J15" s="950"/>
    </row>
    <row r="16" spans="1:11" ht="76.5" customHeight="1">
      <c r="A16" s="1961" t="s">
        <v>198</v>
      </c>
      <c r="B16" s="1961"/>
      <c r="C16" s="1963"/>
      <c r="D16" s="1963"/>
      <c r="E16" s="1963"/>
      <c r="F16" s="1963"/>
      <c r="G16" s="1963"/>
      <c r="H16" s="1963"/>
      <c r="I16" s="1963"/>
      <c r="J16" s="951"/>
      <c r="K16" s="295"/>
    </row>
    <row r="17" spans="1:11" ht="76.5" customHeight="1">
      <c r="A17" s="1961" t="s">
        <v>198</v>
      </c>
      <c r="B17" s="1961"/>
      <c r="C17" s="1963"/>
      <c r="D17" s="1963"/>
      <c r="E17" s="1963"/>
      <c r="F17" s="1963"/>
      <c r="G17" s="1963"/>
      <c r="H17" s="1963"/>
      <c r="I17" s="1963"/>
      <c r="J17" s="951"/>
      <c r="K17" s="295"/>
    </row>
    <row r="18" spans="1:10" ht="76.5" customHeight="1">
      <c r="A18" s="1961" t="s">
        <v>198</v>
      </c>
      <c r="B18" s="1961"/>
      <c r="C18" s="1963"/>
      <c r="D18" s="1963"/>
      <c r="E18" s="1963"/>
      <c r="F18" s="1963"/>
      <c r="G18" s="1963"/>
      <c r="H18" s="1963"/>
      <c r="I18" s="1963"/>
      <c r="J18" s="951"/>
    </row>
    <row r="19" spans="1:10" ht="76.5" customHeight="1">
      <c r="A19" s="1961" t="s">
        <v>198</v>
      </c>
      <c r="B19" s="1961"/>
      <c r="C19" s="1963"/>
      <c r="D19" s="1963"/>
      <c r="E19" s="1963"/>
      <c r="F19" s="1963"/>
      <c r="G19" s="1963"/>
      <c r="H19" s="1963"/>
      <c r="I19" s="1963"/>
      <c r="J19" s="951"/>
    </row>
    <row r="20" spans="1:10" ht="76.5" customHeight="1">
      <c r="A20" s="1961" t="s">
        <v>198</v>
      </c>
      <c r="B20" s="1961"/>
      <c r="C20" s="1963"/>
      <c r="D20" s="1963"/>
      <c r="E20" s="1963"/>
      <c r="F20" s="1963"/>
      <c r="G20" s="1963"/>
      <c r="H20" s="1963"/>
      <c r="I20" s="1963"/>
      <c r="J20" s="951"/>
    </row>
    <row r="21" spans="1:10" ht="76.5" customHeight="1">
      <c r="A21" s="1961" t="s">
        <v>198</v>
      </c>
      <c r="B21" s="1961"/>
      <c r="C21" s="1963"/>
      <c r="D21" s="1963"/>
      <c r="E21" s="1963"/>
      <c r="F21" s="1963"/>
      <c r="G21" s="1963"/>
      <c r="H21" s="1963"/>
      <c r="I21" s="1963"/>
      <c r="J21" s="951"/>
    </row>
    <row r="22" spans="1:10" ht="76.5" customHeight="1">
      <c r="A22" s="1961" t="s">
        <v>198</v>
      </c>
      <c r="B22" s="1961"/>
      <c r="C22" s="1963"/>
      <c r="D22" s="1963"/>
      <c r="E22" s="1963"/>
      <c r="F22" s="1963"/>
      <c r="G22" s="1963"/>
      <c r="H22" s="1963"/>
      <c r="I22" s="1963"/>
      <c r="J22" s="951"/>
    </row>
    <row r="23" spans="1:10" ht="76.5" customHeight="1">
      <c r="A23" s="1961" t="s">
        <v>198</v>
      </c>
      <c r="B23" s="1961"/>
      <c r="C23" s="1963"/>
      <c r="D23" s="1963"/>
      <c r="E23" s="1963"/>
      <c r="F23" s="1963"/>
      <c r="G23" s="1963"/>
      <c r="H23" s="1963"/>
      <c r="I23" s="1963"/>
      <c r="J23" s="951"/>
    </row>
    <row r="24" spans="1:10" ht="76.5" customHeight="1">
      <c r="A24" s="1961" t="s">
        <v>198</v>
      </c>
      <c r="B24" s="1961"/>
      <c r="C24" s="1963"/>
      <c r="D24" s="1963"/>
      <c r="E24" s="1963"/>
      <c r="F24" s="1963"/>
      <c r="G24" s="1963"/>
      <c r="H24" s="1963"/>
      <c r="I24" s="1963"/>
      <c r="J24" s="951"/>
    </row>
    <row r="25" spans="1:10" ht="76.5" customHeight="1">
      <c r="A25" s="1961" t="s">
        <v>198</v>
      </c>
      <c r="B25" s="1961"/>
      <c r="C25" s="1963"/>
      <c r="D25" s="1963"/>
      <c r="E25" s="1963"/>
      <c r="F25" s="1963"/>
      <c r="G25" s="1963"/>
      <c r="H25" s="1963"/>
      <c r="I25" s="1963"/>
      <c r="J25" s="951"/>
    </row>
    <row r="26" spans="1:10" ht="76.5" customHeight="1">
      <c r="A26" s="1961" t="s">
        <v>198</v>
      </c>
      <c r="B26" s="1961"/>
      <c r="C26" s="1963"/>
      <c r="D26" s="1963"/>
      <c r="E26" s="1963"/>
      <c r="F26" s="1963"/>
      <c r="G26" s="1963"/>
      <c r="H26" s="1963"/>
      <c r="I26" s="1963"/>
      <c r="J26" s="951"/>
    </row>
    <row r="27" spans="1:10" ht="76.5" customHeight="1">
      <c r="A27" s="1964" t="s">
        <v>198</v>
      </c>
      <c r="B27" s="1964"/>
      <c r="C27" s="1965"/>
      <c r="D27" s="1965"/>
      <c r="E27" s="1965"/>
      <c r="F27" s="1965"/>
      <c r="G27" s="1965"/>
      <c r="H27" s="1965"/>
      <c r="I27" s="1965"/>
      <c r="J27" s="952"/>
    </row>
    <row r="28" ht="12.75">
      <c r="J28" s="953"/>
    </row>
    <row r="29" spans="5:10" ht="12.75">
      <c r="E29" s="145" t="s">
        <v>974</v>
      </c>
      <c r="J29" s="953"/>
    </row>
    <row r="30" spans="1:10" ht="12.75" hidden="1">
      <c r="A30" s="954" t="s">
        <v>198</v>
      </c>
      <c r="J30" s="953"/>
    </row>
    <row r="31" spans="1:10" ht="12.75" hidden="1">
      <c r="A31" s="954" t="s">
        <v>807</v>
      </c>
      <c r="J31" s="953"/>
    </row>
    <row r="32" spans="1:10" ht="12.75" hidden="1">
      <c r="A32" s="954" t="s">
        <v>672</v>
      </c>
      <c r="J32" s="953"/>
    </row>
    <row r="33" ht="12.75" hidden="1">
      <c r="J33" s="953"/>
    </row>
    <row r="34" spans="1:10" ht="12.75" hidden="1">
      <c r="A34" s="954" t="s">
        <v>198</v>
      </c>
      <c r="J34" s="953"/>
    </row>
    <row r="35" ht="12.75" hidden="1">
      <c r="A35" s="954" t="s">
        <v>975</v>
      </c>
    </row>
    <row r="36" ht="12.75" hidden="1">
      <c r="A36" s="954" t="s">
        <v>976</v>
      </c>
    </row>
    <row r="37" ht="12.75" hidden="1">
      <c r="A37" s="954" t="s">
        <v>977</v>
      </c>
    </row>
    <row r="38" ht="12.75" hidden="1">
      <c r="A38" s="954" t="s">
        <v>978</v>
      </c>
    </row>
    <row r="39" ht="12.75" hidden="1">
      <c r="A39" s="954" t="s">
        <v>973</v>
      </c>
    </row>
  </sheetData>
  <sheetProtection selectLockedCells="1" selectUnlockedCells="1"/>
  <mergeCells count="50">
    <mergeCell ref="A26:B26"/>
    <mergeCell ref="C26:E26"/>
    <mergeCell ref="F26:I26"/>
    <mergeCell ref="A27:B27"/>
    <mergeCell ref="C27:E27"/>
    <mergeCell ref="F27:I27"/>
    <mergeCell ref="A24:B24"/>
    <mergeCell ref="C24:E24"/>
    <mergeCell ref="F24:I24"/>
    <mergeCell ref="A25:B25"/>
    <mergeCell ref="C25:E25"/>
    <mergeCell ref="F25:I25"/>
    <mergeCell ref="A22:B22"/>
    <mergeCell ref="C22:E22"/>
    <mergeCell ref="F22:I22"/>
    <mergeCell ref="A23:B23"/>
    <mergeCell ref="C23:E23"/>
    <mergeCell ref="F23:I23"/>
    <mergeCell ref="A20:B20"/>
    <mergeCell ref="C20:E20"/>
    <mergeCell ref="F20:I20"/>
    <mergeCell ref="A21:B21"/>
    <mergeCell ref="C21:E21"/>
    <mergeCell ref="F21:I21"/>
    <mergeCell ref="A18:B18"/>
    <mergeCell ref="C18:E18"/>
    <mergeCell ref="F18:I18"/>
    <mergeCell ref="A19:B19"/>
    <mergeCell ref="C19:E19"/>
    <mergeCell ref="F19:I19"/>
    <mergeCell ref="A16:B16"/>
    <mergeCell ref="C16:E16"/>
    <mergeCell ref="F16:I16"/>
    <mergeCell ref="A17:B17"/>
    <mergeCell ref="C17:E17"/>
    <mergeCell ref="F17:I17"/>
    <mergeCell ref="A14:B14"/>
    <mergeCell ref="C14:E14"/>
    <mergeCell ref="F14:I14"/>
    <mergeCell ref="A15:B15"/>
    <mergeCell ref="C15:E15"/>
    <mergeCell ref="F15:I15"/>
    <mergeCell ref="A1:J1"/>
    <mergeCell ref="A3:B3"/>
    <mergeCell ref="C3:F3"/>
    <mergeCell ref="C6:F6"/>
    <mergeCell ref="A11:J11"/>
    <mergeCell ref="A13:B13"/>
    <mergeCell ref="C13:E13"/>
    <mergeCell ref="F13:I13"/>
  </mergeCells>
  <dataValidations count="1">
    <dataValidation type="list" allowBlank="1" showErrorMessage="1" sqref="A14:B27">
      <formula1>$A$34:$A$39</formula1>
      <formula2>0</formula2>
    </dataValidation>
  </dataValidations>
  <printOptions horizontalCentered="1"/>
  <pageMargins left="0.7479166666666667" right="0.7479166666666667" top="0.5902777777777778" bottom="0.5902777777777777" header="0.5118055555555555" footer="0.5118055555555555"/>
  <pageSetup cellComments="atEnd" fitToHeight="0" fitToWidth="1" horizontalDpi="300" verticalDpi="300" orientation="landscape" paperSize="9" scale="48" r:id="rId1"/>
  <headerFooter alignWithMargins="0">
    <oddFooter>&amp;L&amp;9&amp;F&amp;C&amp;A&amp;R&amp;9Page &amp;P of &amp;N</oddFooter>
  </headerFooter>
</worksheet>
</file>

<file path=xl/worksheets/sheet22.xml><?xml version="1.0" encoding="utf-8"?>
<worksheet xmlns="http://schemas.openxmlformats.org/spreadsheetml/2006/main" xmlns:r="http://schemas.openxmlformats.org/officeDocument/2006/relationships">
  <sheetPr>
    <tabColor indexed="40"/>
    <pageSetUpPr fitToPage="1"/>
  </sheetPr>
  <dimension ref="A1:K24"/>
  <sheetViews>
    <sheetView view="pageBreakPreview" zoomScale="70" zoomScaleNormal="85" zoomScaleSheetLayoutView="70" zoomScalePageLayoutView="0" workbookViewId="0" topLeftCell="A7">
      <selection activeCell="F14" sqref="F14"/>
    </sheetView>
  </sheetViews>
  <sheetFormatPr defaultColWidth="9.140625" defaultRowHeight="12.75"/>
  <cols>
    <col min="1" max="1" width="9.140625" style="5" customWidth="1"/>
    <col min="2" max="2" width="22.140625" style="5" customWidth="1"/>
    <col min="3" max="3" width="27.00390625" style="5" customWidth="1"/>
    <col min="4" max="4" width="21.140625" style="5" customWidth="1"/>
    <col min="5" max="5" width="17.00390625" style="5" customWidth="1"/>
    <col min="6" max="6" width="15.421875" style="5" customWidth="1"/>
    <col min="7" max="7" width="16.28125" style="5" customWidth="1"/>
    <col min="8" max="8" width="17.28125" style="5" customWidth="1"/>
    <col min="9" max="9" width="17.8515625" style="5" customWidth="1"/>
    <col min="10" max="10" width="58.8515625" style="5" customWidth="1"/>
    <col min="11" max="11" width="2.00390625" style="5" customWidth="1"/>
    <col min="12" max="16384" width="9.140625" style="5" customWidth="1"/>
  </cols>
  <sheetData>
    <row r="1" spans="1:10" ht="24" customHeight="1">
      <c r="A1" s="1829" t="s">
        <v>846</v>
      </c>
      <c r="B1" s="1829"/>
      <c r="C1" s="1829"/>
      <c r="D1" s="1829"/>
      <c r="E1" s="1829"/>
      <c r="F1" s="1829"/>
      <c r="G1" s="1829"/>
      <c r="H1" s="1829"/>
      <c r="I1" s="1829"/>
      <c r="J1" s="287"/>
    </row>
    <row r="2" spans="1:10" ht="27" customHeight="1">
      <c r="A2" s="72" t="s">
        <v>649</v>
      </c>
      <c r="B2" s="2"/>
      <c r="C2" s="2"/>
      <c r="D2" s="2"/>
      <c r="E2" s="2"/>
      <c r="F2" s="2"/>
      <c r="G2" s="2"/>
      <c r="H2" s="2"/>
      <c r="I2" s="2"/>
      <c r="J2" s="287"/>
    </row>
    <row r="3" spans="1:10" ht="15.75" customHeight="1">
      <c r="A3" s="1809" t="s">
        <v>879</v>
      </c>
      <c r="B3" s="1809"/>
      <c r="C3" s="1809"/>
      <c r="D3" s="1968" t="str">
        <f>IF('LFA_Programmatic Progress_1A'!C7="","",'LFA_Programmatic Progress_1A'!C7)</f>
        <v>SLV-910-G08-T</v>
      </c>
      <c r="E3" s="1968"/>
      <c r="F3" s="1968"/>
      <c r="G3" s="1968"/>
      <c r="H3" s="666"/>
      <c r="I3" s="666"/>
      <c r="J3" s="287"/>
    </row>
    <row r="4" spans="1:10" ht="15">
      <c r="A4" s="566" t="s">
        <v>862</v>
      </c>
      <c r="B4" s="955"/>
      <c r="C4" s="955"/>
      <c r="D4" s="92" t="s">
        <v>857</v>
      </c>
      <c r="E4" s="956" t="str">
        <f>IF('LFA_Programmatic Progress_1A'!D16="Select","",'LFA_Programmatic Progress_1A'!D16)</f>
        <v>Seleccionar</v>
      </c>
      <c r="F4" s="93" t="s">
        <v>858</v>
      </c>
      <c r="G4" s="957">
        <f>IF('LFA_Programmatic Progress_1A'!F16="Select","",'LFA_Programmatic Progress_1A'!F16)</f>
        <v>0</v>
      </c>
      <c r="H4" s="666"/>
      <c r="I4" s="666"/>
      <c r="J4" s="287"/>
    </row>
    <row r="5" spans="1:10" ht="15">
      <c r="A5" s="94" t="s">
        <v>863</v>
      </c>
      <c r="B5" s="955"/>
      <c r="C5" s="958"/>
      <c r="D5" s="96" t="s">
        <v>860</v>
      </c>
      <c r="E5" s="959">
        <f>IF('LFA_Programmatic Progress_1A'!D17="Select","",'LFA_Programmatic Progress_1A'!D17)</f>
      </c>
      <c r="F5" s="93" t="s">
        <v>542</v>
      </c>
      <c r="G5" s="960">
        <f>IF('LFA_Programmatic Progress_1A'!F17="Select","",'LFA_Programmatic Progress_1A'!F17)</f>
      </c>
      <c r="H5" s="666"/>
      <c r="I5" s="666"/>
      <c r="J5" s="287"/>
    </row>
    <row r="6" spans="1:10" ht="15.75" customHeight="1">
      <c r="A6" s="97" t="s">
        <v>864</v>
      </c>
      <c r="B6" s="961"/>
      <c r="C6" s="962"/>
      <c r="D6" s="1969">
        <f>IF('LFA_Programmatic Progress_1A'!C18="Select","",'LFA_Programmatic Progress_1A'!C18)</f>
        <v>0</v>
      </c>
      <c r="E6" s="1969"/>
      <c r="F6" s="1969"/>
      <c r="G6" s="1969"/>
      <c r="H6" s="666"/>
      <c r="I6" s="666"/>
      <c r="J6" s="287"/>
    </row>
    <row r="7" spans="1:10" s="145" customFormat="1" ht="15">
      <c r="A7" s="963"/>
      <c r="B7" s="964"/>
      <c r="C7" s="965"/>
      <c r="D7" s="966"/>
      <c r="E7" s="967"/>
      <c r="F7" s="968"/>
      <c r="G7" s="966"/>
      <c r="H7" s="969"/>
      <c r="I7" s="970"/>
      <c r="J7" s="971"/>
    </row>
    <row r="8" spans="1:10" s="145" customFormat="1" ht="20.25">
      <c r="A8" s="308" t="s">
        <v>979</v>
      </c>
      <c r="B8" s="972"/>
      <c r="C8" s="560"/>
      <c r="D8" s="973"/>
      <c r="E8" s="973"/>
      <c r="F8" s="974"/>
      <c r="G8" s="975"/>
      <c r="H8" s="392"/>
      <c r="I8" s="392"/>
      <c r="J8" s="971"/>
    </row>
    <row r="9" spans="1:10" s="145" customFormat="1" ht="15">
      <c r="A9" s="976"/>
      <c r="B9" s="560"/>
      <c r="C9" s="977"/>
      <c r="D9" s="577"/>
      <c r="E9" s="975"/>
      <c r="F9" s="975"/>
      <c r="G9" s="460"/>
      <c r="H9" s="392"/>
      <c r="I9" s="978"/>
      <c r="J9" s="971"/>
    </row>
    <row r="10" spans="1:10" ht="5.25" customHeight="1">
      <c r="A10" s="979"/>
      <c r="B10" s="399"/>
      <c r="C10" s="980"/>
      <c r="D10" s="980"/>
      <c r="E10" s="980"/>
      <c r="F10" s="399"/>
      <c r="G10" s="399"/>
      <c r="H10" s="399"/>
      <c r="I10" s="980"/>
      <c r="J10" s="980"/>
    </row>
    <row r="11" spans="1:11" ht="18" customHeight="1">
      <c r="A11" s="1966" t="s">
        <v>980</v>
      </c>
      <c r="B11" s="1966"/>
      <c r="C11" s="1966"/>
      <c r="D11" s="1966"/>
      <c r="E11" s="1966"/>
      <c r="F11" s="1966"/>
      <c r="G11" s="1966"/>
      <c r="H11" s="1966"/>
      <c r="I11" s="1966"/>
      <c r="J11" s="1966"/>
      <c r="K11" s="780"/>
    </row>
    <row r="12" spans="1:10" ht="12.75">
      <c r="A12" s="981"/>
      <c r="B12" s="118"/>
      <c r="C12" s="982"/>
      <c r="D12" s="982"/>
      <c r="E12" s="982"/>
      <c r="F12" s="983"/>
      <c r="G12" s="983"/>
      <c r="H12" s="983"/>
      <c r="I12" s="983"/>
      <c r="J12" s="982"/>
    </row>
    <row r="13" spans="1:10" ht="26.25" customHeight="1">
      <c r="A13" s="984"/>
      <c r="B13" s="985"/>
      <c r="C13" s="985"/>
      <c r="D13" s="986"/>
      <c r="E13" s="987"/>
      <c r="F13" s="988" t="s">
        <v>981</v>
      </c>
      <c r="G13" s="988" t="s">
        <v>982</v>
      </c>
      <c r="H13" s="1967" t="s">
        <v>983</v>
      </c>
      <c r="I13" s="1967"/>
      <c r="J13" s="1967"/>
    </row>
    <row r="14" spans="1:10" ht="51" customHeight="1">
      <c r="A14" s="1970" t="s">
        <v>984</v>
      </c>
      <c r="B14" s="1970"/>
      <c r="C14" s="1970"/>
      <c r="D14" s="1970"/>
      <c r="E14" s="1970"/>
      <c r="F14" s="829">
        <f>+'PR_Cash Reconciliation_5A'!M13</f>
        <v>342078.56</v>
      </c>
      <c r="G14" s="828"/>
      <c r="H14" s="1971"/>
      <c r="I14" s="1971"/>
      <c r="J14" s="1971"/>
    </row>
    <row r="15" spans="1:10" ht="39" customHeight="1">
      <c r="A15" s="1972" t="s">
        <v>985</v>
      </c>
      <c r="B15" s="1972"/>
      <c r="C15" s="1972"/>
      <c r="D15" s="1972"/>
      <c r="E15" s="1972"/>
      <c r="F15" s="1973">
        <f>+'PR_Cash Reconciliation_5A'!K15</f>
        <v>0</v>
      </c>
      <c r="G15" s="1974"/>
      <c r="H15" s="1975"/>
      <c r="I15" s="1975"/>
      <c r="J15" s="1975"/>
    </row>
    <row r="16" spans="1:10" ht="39" customHeight="1">
      <c r="A16" s="989"/>
      <c r="B16" s="1976" t="s">
        <v>986</v>
      </c>
      <c r="C16" s="1976"/>
      <c r="D16" s="1976"/>
      <c r="E16" s="1976"/>
      <c r="F16" s="1973"/>
      <c r="G16" s="1974"/>
      <c r="H16" s="1975"/>
      <c r="I16" s="1975"/>
      <c r="J16" s="1975"/>
    </row>
    <row r="17" spans="1:10" s="145" customFormat="1" ht="39" customHeight="1">
      <c r="A17" s="989"/>
      <c r="B17" s="1984" t="s">
        <v>987</v>
      </c>
      <c r="C17" s="1984"/>
      <c r="D17" s="1984"/>
      <c r="E17" s="1984"/>
      <c r="F17" s="190">
        <f>+'PR_Cash Reconciliation_5A'!K16</f>
        <v>0</v>
      </c>
      <c r="G17" s="844"/>
      <c r="H17" s="1975"/>
      <c r="I17" s="1975"/>
      <c r="J17" s="1975"/>
    </row>
    <row r="18" spans="1:10" s="145" customFormat="1" ht="39" customHeight="1">
      <c r="A18" s="989"/>
      <c r="B18" s="1983" t="s">
        <v>988</v>
      </c>
      <c r="C18" s="1983"/>
      <c r="D18" s="1983"/>
      <c r="E18" s="1983"/>
      <c r="F18" s="190">
        <f>+'PR_Cash Reconciliation_5A'!K17</f>
        <v>953.26</v>
      </c>
      <c r="G18" s="844"/>
      <c r="H18" s="1971"/>
      <c r="I18" s="1971"/>
      <c r="J18" s="1971"/>
    </row>
    <row r="19" spans="1:10" ht="39" customHeight="1">
      <c r="A19" s="989"/>
      <c r="B19" s="1983" t="s">
        <v>1062</v>
      </c>
      <c r="C19" s="1983"/>
      <c r="D19" s="1983"/>
      <c r="E19" s="1983"/>
      <c r="F19" s="190">
        <f>+'PR_Cash Reconciliation_5A'!K18</f>
        <v>0</v>
      </c>
      <c r="G19" s="844"/>
      <c r="H19" s="1975"/>
      <c r="I19" s="1975"/>
      <c r="J19" s="1975"/>
    </row>
    <row r="20" spans="1:10" ht="39" customHeight="1">
      <c r="A20" s="989"/>
      <c r="B20" s="1979" t="s">
        <v>1063</v>
      </c>
      <c r="C20" s="1979"/>
      <c r="D20" s="1979"/>
      <c r="E20" s="1979"/>
      <c r="F20" s="990">
        <f>+'PR_Cash Reconciliation_5A'!K19</f>
        <v>0</v>
      </c>
      <c r="G20" s="991"/>
      <c r="H20" s="1975"/>
      <c r="I20" s="1975"/>
      <c r="J20" s="1975"/>
    </row>
    <row r="21" spans="1:10" ht="41.25" customHeight="1">
      <c r="A21" s="992" t="s">
        <v>1064</v>
      </c>
      <c r="B21" s="1980" t="s">
        <v>1065</v>
      </c>
      <c r="C21" s="1980"/>
      <c r="D21" s="1980"/>
      <c r="E21" s="1980"/>
      <c r="F21" s="993">
        <f>+'PR_Cash Reconciliation_5A'!K22</f>
        <v>58430.34</v>
      </c>
      <c r="G21" s="994"/>
      <c r="H21" s="1975"/>
      <c r="I21" s="1975"/>
      <c r="J21" s="1975"/>
    </row>
    <row r="22" spans="1:10" ht="41.25" customHeight="1">
      <c r="A22" s="989"/>
      <c r="B22" s="1981" t="s">
        <v>1066</v>
      </c>
      <c r="C22" s="1981"/>
      <c r="D22" s="1981"/>
      <c r="E22" s="1981"/>
      <c r="F22" s="995">
        <f>+'PR_Cash Reconciliation_5A'!K23</f>
        <v>0</v>
      </c>
      <c r="G22" s="996"/>
      <c r="H22" s="1975"/>
      <c r="I22" s="1975"/>
      <c r="J22" s="1975"/>
    </row>
    <row r="23" spans="1:10" ht="41.25" customHeight="1">
      <c r="A23" s="989"/>
      <c r="B23" s="1982" t="s">
        <v>1067</v>
      </c>
      <c r="C23" s="1982"/>
      <c r="D23" s="1982"/>
      <c r="E23" s="1982"/>
      <c r="F23" s="995">
        <f>+'PR_Cash Reconciliation_5A'!K24</f>
        <v>0.05</v>
      </c>
      <c r="G23" s="997"/>
      <c r="H23" s="1975"/>
      <c r="I23" s="1975"/>
      <c r="J23" s="1975"/>
    </row>
    <row r="24" spans="1:10" ht="51" customHeight="1">
      <c r="A24" s="1977" t="s">
        <v>1068</v>
      </c>
      <c r="B24" s="1977"/>
      <c r="C24" s="1977"/>
      <c r="D24" s="1977"/>
      <c r="E24" s="1977"/>
      <c r="F24" s="205">
        <f>+F14+F15+F17+F18+F19+F20-F21-F22-F23</f>
        <v>284601.43</v>
      </c>
      <c r="G24" s="199">
        <f>+G14+G15+G17+G18+G19+G20-G21-G22-G23</f>
        <v>0</v>
      </c>
      <c r="H24" s="1978"/>
      <c r="I24" s="1978"/>
      <c r="J24" s="1978"/>
    </row>
    <row r="25" ht="12" customHeight="1"/>
  </sheetData>
  <sheetProtection password="92D1" sheet="1" formatCells="0" formatColumns="0" formatRows="0"/>
  <mergeCells count="29">
    <mergeCell ref="B19:E19"/>
    <mergeCell ref="H19:J19"/>
    <mergeCell ref="B17:E17"/>
    <mergeCell ref="H17:J17"/>
    <mergeCell ref="B18:E18"/>
    <mergeCell ref="H18:J18"/>
    <mergeCell ref="A24:E24"/>
    <mergeCell ref="H24:J24"/>
    <mergeCell ref="B20:E20"/>
    <mergeCell ref="H20:J20"/>
    <mergeCell ref="B21:E21"/>
    <mergeCell ref="H21:J21"/>
    <mergeCell ref="B22:E22"/>
    <mergeCell ref="H22:J22"/>
    <mergeCell ref="B23:E23"/>
    <mergeCell ref="H23:J23"/>
    <mergeCell ref="A14:E14"/>
    <mergeCell ref="H14:J14"/>
    <mergeCell ref="A15:E15"/>
    <mergeCell ref="F15:F16"/>
    <mergeCell ref="G15:G16"/>
    <mergeCell ref="H15:J16"/>
    <mergeCell ref="B16:E16"/>
    <mergeCell ref="A11:J11"/>
    <mergeCell ref="H13:J13"/>
    <mergeCell ref="A1:I1"/>
    <mergeCell ref="A3:C3"/>
    <mergeCell ref="D3:G3"/>
    <mergeCell ref="D6:G6"/>
  </mergeCells>
  <dataValidations count="1">
    <dataValidation type="list" allowBlank="1" showErrorMessage="1" sqref="E4:E5">
      <formula1>"Select,Quarter,Semester"</formula1>
      <formula2>0</formula2>
    </dataValidation>
  </dataValidations>
  <printOptions horizontalCentered="1"/>
  <pageMargins left="0.7479166666666667" right="0.7479166666666667" top="0.5902777777777778" bottom="0.5902777777777777" header="0.5118055555555555" footer="0.5118055555555555"/>
  <pageSetup cellComments="atEnd" fitToHeight="0" fitToWidth="1" horizontalDpi="300" verticalDpi="300" orientation="landscape" paperSize="9" scale="59" r:id="rId1"/>
  <headerFooter alignWithMargins="0">
    <oddFooter>&amp;L&amp;9&amp;F&amp;C&amp;A&amp;R&amp;9Page &amp;P of &amp;N</oddFooter>
  </headerFooter>
</worksheet>
</file>

<file path=xl/worksheets/sheet23.xml><?xml version="1.0" encoding="utf-8"?>
<worksheet xmlns="http://schemas.openxmlformats.org/spreadsheetml/2006/main" xmlns:r="http://schemas.openxmlformats.org/officeDocument/2006/relationships">
  <sheetPr>
    <tabColor indexed="40"/>
    <pageSetUpPr fitToPage="1"/>
  </sheetPr>
  <dimension ref="A1:IV54"/>
  <sheetViews>
    <sheetView view="pageBreakPreview" zoomScale="70" zoomScaleNormal="60" zoomScaleSheetLayoutView="70" zoomScalePageLayoutView="0" workbookViewId="0" topLeftCell="G31">
      <selection activeCell="H33" sqref="H33:R34"/>
    </sheetView>
  </sheetViews>
  <sheetFormatPr defaultColWidth="9.140625" defaultRowHeight="12.75"/>
  <cols>
    <col min="1" max="1" width="9.140625" style="5" customWidth="1"/>
    <col min="2" max="2" width="34.421875" style="5" customWidth="1"/>
    <col min="3" max="3" width="10.8515625" style="5" customWidth="1"/>
    <col min="4" max="4" width="8.28125" style="5" customWidth="1"/>
    <col min="5" max="5" width="6.140625" style="5" customWidth="1"/>
    <col min="6" max="6" width="16.140625" style="5" customWidth="1"/>
    <col min="7" max="7" width="4.8515625" style="5" customWidth="1"/>
    <col min="8" max="8" width="17.00390625" style="5" customWidth="1"/>
    <col min="9" max="9" width="15.421875" style="5" customWidth="1"/>
    <col min="10" max="10" width="22.7109375" style="5" customWidth="1"/>
    <col min="11" max="11" width="26.00390625" style="5" customWidth="1"/>
    <col min="12" max="12" width="3.421875" style="5" customWidth="1"/>
    <col min="13" max="13" width="19.7109375" style="5" customWidth="1"/>
    <col min="14" max="14" width="2.421875" style="5" customWidth="1"/>
    <col min="15" max="15" width="23.8515625" style="5" customWidth="1"/>
    <col min="16" max="16" width="17.57421875" style="5" customWidth="1"/>
    <col min="17" max="17" width="7.00390625" style="5" customWidth="1"/>
    <col min="18" max="18" width="28.7109375" style="5" customWidth="1"/>
    <col min="19" max="19" width="3.8515625" style="5" customWidth="1"/>
    <col min="20" max="16384" width="9.140625" style="5" customWidth="1"/>
  </cols>
  <sheetData>
    <row r="1" spans="1:18" ht="24" customHeight="1">
      <c r="A1" s="1829" t="s">
        <v>846</v>
      </c>
      <c r="B1" s="1829"/>
      <c r="C1" s="1829"/>
      <c r="D1" s="1829"/>
      <c r="E1" s="1829"/>
      <c r="F1" s="1829"/>
      <c r="G1" s="1829"/>
      <c r="H1" s="1829"/>
      <c r="I1" s="1829"/>
      <c r="J1" s="1829"/>
      <c r="K1" s="1829"/>
      <c r="L1" s="1829"/>
      <c r="M1" s="1829"/>
      <c r="N1" s="1829"/>
      <c r="O1" s="1829"/>
      <c r="P1" s="286"/>
      <c r="Q1" s="286"/>
      <c r="R1" s="287"/>
    </row>
    <row r="2" spans="1:18" ht="27" customHeight="1">
      <c r="A2" s="72" t="s">
        <v>649</v>
      </c>
      <c r="B2" s="2"/>
      <c r="C2" s="2"/>
      <c r="D2" s="2"/>
      <c r="E2" s="2"/>
      <c r="F2" s="2"/>
      <c r="G2" s="2"/>
      <c r="H2" s="2"/>
      <c r="I2" s="2"/>
      <c r="J2" s="2"/>
      <c r="K2" s="2"/>
      <c r="L2" s="2"/>
      <c r="M2" s="2"/>
      <c r="N2" s="2"/>
      <c r="O2" s="2"/>
      <c r="P2" s="286"/>
      <c r="Q2" s="286"/>
      <c r="R2" s="287"/>
    </row>
    <row r="3" spans="1:18" ht="15.75" customHeight="1">
      <c r="A3" s="1987" t="s">
        <v>879</v>
      </c>
      <c r="B3" s="1987"/>
      <c r="C3" s="1987"/>
      <c r="D3" s="1987"/>
      <c r="E3" s="1987"/>
      <c r="F3" s="1968" t="str">
        <f>'LFA_Programmatic Progress_1A'!C7</f>
        <v>SLV-910-G08-T</v>
      </c>
      <c r="G3" s="1968"/>
      <c r="H3" s="1968"/>
      <c r="I3" s="1968"/>
      <c r="J3" s="1968"/>
      <c r="K3" s="666"/>
      <c r="L3" s="666"/>
      <c r="M3" s="666"/>
      <c r="N3" s="666"/>
      <c r="O3" s="666"/>
      <c r="P3" s="286"/>
      <c r="Q3" s="286"/>
      <c r="R3" s="287"/>
    </row>
    <row r="4" spans="1:18" ht="15">
      <c r="A4" s="566" t="s">
        <v>862</v>
      </c>
      <c r="B4" s="955"/>
      <c r="C4" s="955"/>
      <c r="D4" s="955"/>
      <c r="E4" s="955"/>
      <c r="F4" s="96" t="s">
        <v>857</v>
      </c>
      <c r="G4" s="998"/>
      <c r="H4" s="956" t="str">
        <f>IF('LFA_Programmatic Progress_1A'!D16="Select","",'LFA_Programmatic Progress_1A'!D16)</f>
        <v>Seleccionar</v>
      </c>
      <c r="I4" s="93" t="s">
        <v>858</v>
      </c>
      <c r="J4" s="957">
        <f>IF('LFA_Programmatic Progress_1A'!F16="Select","",'LFA_Programmatic Progress_1A'!F16)</f>
        <v>0</v>
      </c>
      <c r="K4" s="666"/>
      <c r="L4" s="666"/>
      <c r="M4" s="666"/>
      <c r="N4" s="666"/>
      <c r="O4" s="666"/>
      <c r="P4" s="286"/>
      <c r="Q4" s="286"/>
      <c r="R4" s="287"/>
    </row>
    <row r="5" spans="1:18" ht="15">
      <c r="A5" s="94" t="s">
        <v>863</v>
      </c>
      <c r="B5" s="955"/>
      <c r="C5" s="955"/>
      <c r="D5" s="955"/>
      <c r="E5" s="955"/>
      <c r="F5" s="96" t="s">
        <v>860</v>
      </c>
      <c r="G5" s="999"/>
      <c r="H5" s="959">
        <f>IF('LFA_Programmatic Progress_1A'!D17="Select","",'LFA_Programmatic Progress_1A'!D17)</f>
      </c>
      <c r="I5" s="93" t="s">
        <v>542</v>
      </c>
      <c r="J5" s="960">
        <f>IF('LFA_Programmatic Progress_1A'!F17="Select","",'LFA_Programmatic Progress_1A'!F17)</f>
      </c>
      <c r="K5" s="666"/>
      <c r="L5" s="666"/>
      <c r="M5" s="666"/>
      <c r="N5" s="666"/>
      <c r="O5" s="666"/>
      <c r="P5" s="286"/>
      <c r="Q5" s="286"/>
      <c r="R5" s="287"/>
    </row>
    <row r="6" spans="1:18" ht="15">
      <c r="A6" s="97" t="s">
        <v>864</v>
      </c>
      <c r="B6" s="961"/>
      <c r="C6" s="961"/>
      <c r="D6" s="961"/>
      <c r="E6" s="961"/>
      <c r="F6" s="1969">
        <f>IF('LFA_Programmatic Progress_1A'!C18="Select","",'LFA_Programmatic Progress_1A'!C18)</f>
        <v>0</v>
      </c>
      <c r="G6" s="1969"/>
      <c r="H6" s="1969"/>
      <c r="I6" s="1969"/>
      <c r="J6" s="1969"/>
      <c r="K6" s="666"/>
      <c r="L6" s="666"/>
      <c r="M6" s="666"/>
      <c r="N6" s="666"/>
      <c r="O6" s="666"/>
      <c r="P6" s="286"/>
      <c r="Q6" s="286"/>
      <c r="R6" s="287"/>
    </row>
    <row r="7" spans="1:256" s="861" customFormat="1" ht="15" customHeight="1">
      <c r="A7" s="1837" t="s">
        <v>854</v>
      </c>
      <c r="B7" s="1837"/>
      <c r="C7" s="1837"/>
      <c r="D7" s="1837"/>
      <c r="E7" s="1837"/>
      <c r="F7" s="1988" t="str">
        <f>IF('PR_Programmatic Progress_1A'!C10="","",'PR_Programmatic Progress_1A'!C10)</f>
        <v>USD</v>
      </c>
      <c r="G7" s="1988"/>
      <c r="H7" s="1988"/>
      <c r="I7" s="1988"/>
      <c r="J7" s="1988"/>
      <c r="K7" s="867"/>
      <c r="L7" s="864"/>
      <c r="M7" s="864"/>
      <c r="N7" s="864"/>
      <c r="O7" s="864"/>
      <c r="P7" s="864"/>
      <c r="Q7" s="864"/>
      <c r="IU7" s="865"/>
      <c r="IV7" s="865"/>
    </row>
    <row r="8" spans="1:18" s="145" customFormat="1" ht="15">
      <c r="A8" s="1000"/>
      <c r="B8" s="1001"/>
      <c r="C8" s="1001"/>
      <c r="D8" s="1001"/>
      <c r="E8" s="1001"/>
      <c r="F8" s="1002"/>
      <c r="G8" s="1003"/>
      <c r="H8" s="1003"/>
      <c r="I8" s="1004"/>
      <c r="J8" s="1002"/>
      <c r="K8" s="666"/>
      <c r="L8" s="1005"/>
      <c r="M8" s="1005"/>
      <c r="N8" s="1005"/>
      <c r="O8" s="1006"/>
      <c r="P8" s="1007"/>
      <c r="Q8" s="1007"/>
      <c r="R8" s="420"/>
    </row>
    <row r="9" spans="1:18" s="145" customFormat="1" ht="20.25">
      <c r="A9" s="416" t="s">
        <v>979</v>
      </c>
      <c r="B9" s="464"/>
      <c r="C9" s="449"/>
      <c r="D9" s="449"/>
      <c r="E9" s="449"/>
      <c r="F9" s="1008"/>
      <c r="G9" s="1008"/>
      <c r="H9" s="1008"/>
      <c r="I9" s="1009"/>
      <c r="J9" s="1010"/>
      <c r="K9" s="1011"/>
      <c r="L9" s="1011"/>
      <c r="M9" s="396"/>
      <c r="N9" s="1011"/>
      <c r="O9" s="1011"/>
      <c r="P9" s="1007"/>
      <c r="Q9" s="1007"/>
      <c r="R9" s="420"/>
    </row>
    <row r="10" spans="1:18" s="145" customFormat="1" ht="7.5" customHeight="1">
      <c r="A10" s="416"/>
      <c r="B10" s="459"/>
      <c r="C10" s="449"/>
      <c r="D10" s="449"/>
      <c r="E10" s="449"/>
      <c r="F10" s="1012"/>
      <c r="G10" s="1012"/>
      <c r="H10" s="465"/>
      <c r="I10" s="465"/>
      <c r="J10" s="1012"/>
      <c r="K10" s="1013"/>
      <c r="L10" s="1013"/>
      <c r="M10" s="1013"/>
      <c r="N10" s="1013"/>
      <c r="O10" s="664"/>
      <c r="P10" s="1007"/>
      <c r="Q10" s="1007"/>
      <c r="R10" s="420"/>
    </row>
    <row r="11" spans="1:18" ht="12.75">
      <c r="A11" s="1014"/>
      <c r="B11" s="941"/>
      <c r="C11" s="941"/>
      <c r="D11" s="941"/>
      <c r="E11" s="941"/>
      <c r="F11" s="2"/>
      <c r="G11" s="2"/>
      <c r="H11" s="1015"/>
      <c r="I11" s="941"/>
      <c r="J11" s="941"/>
      <c r="K11" s="941"/>
      <c r="L11" s="2"/>
      <c r="M11" s="1016"/>
      <c r="N11" s="2"/>
      <c r="O11" s="1016"/>
      <c r="P11" s="1017"/>
      <c r="Q11" s="941"/>
      <c r="R11" s="2"/>
    </row>
    <row r="12" spans="1:18" ht="21.75" customHeight="1">
      <c r="A12" s="104" t="s">
        <v>1069</v>
      </c>
      <c r="B12" s="1018"/>
      <c r="C12" s="1018"/>
      <c r="D12" s="1018"/>
      <c r="E12" s="1018"/>
      <c r="F12" s="1018"/>
      <c r="G12" s="1018"/>
      <c r="H12" s="1018"/>
      <c r="I12" s="1018"/>
      <c r="J12" s="1018"/>
      <c r="K12" s="1018"/>
      <c r="L12" s="1018"/>
      <c r="M12" s="1018"/>
      <c r="N12" s="1018"/>
      <c r="O12" s="1018"/>
      <c r="P12" s="1018"/>
      <c r="Q12" s="1018"/>
      <c r="R12" s="1018"/>
    </row>
    <row r="13" spans="1:18" ht="15" customHeight="1">
      <c r="A13" s="1989"/>
      <c r="B13" s="1989"/>
      <c r="C13" s="1989"/>
      <c r="D13" s="1989"/>
      <c r="E13" s="1989"/>
      <c r="F13" s="1989"/>
      <c r="G13" s="1989"/>
      <c r="H13" s="1989"/>
      <c r="I13" s="1989"/>
      <c r="J13" s="1989"/>
      <c r="K13" s="1989"/>
      <c r="L13" s="1989"/>
      <c r="M13" s="1989"/>
      <c r="N13" s="1989"/>
      <c r="O13" s="1989"/>
      <c r="P13" s="1989"/>
      <c r="Q13" s="1989"/>
      <c r="R13" s="1989"/>
    </row>
    <row r="14" spans="1:18" ht="15">
      <c r="A14" s="424" t="s">
        <v>1070</v>
      </c>
      <c r="B14" s="320"/>
      <c r="C14" s="320"/>
      <c r="D14" s="320"/>
      <c r="E14" s="320"/>
      <c r="F14" s="320"/>
      <c r="G14" s="1019"/>
      <c r="H14" s="320"/>
      <c r="I14" s="320"/>
      <c r="J14" s="320"/>
      <c r="K14" s="320"/>
      <c r="L14" s="320"/>
      <c r="M14" s="320"/>
      <c r="N14" s="320"/>
      <c r="O14" s="320"/>
      <c r="P14" s="320"/>
      <c r="Q14" s="320"/>
      <c r="R14" s="426"/>
    </row>
    <row r="15" spans="1:18" ht="15">
      <c r="A15" s="428" t="s">
        <v>1071</v>
      </c>
      <c r="B15" s="432"/>
      <c r="C15" s="432"/>
      <c r="D15" s="432"/>
      <c r="E15" s="432"/>
      <c r="F15" s="432"/>
      <c r="G15" s="1020"/>
      <c r="H15" s="432"/>
      <c r="I15" s="432"/>
      <c r="J15" s="432"/>
      <c r="K15" s="432"/>
      <c r="L15" s="432"/>
      <c r="M15" s="432"/>
      <c r="N15" s="432"/>
      <c r="O15" s="432"/>
      <c r="P15" s="432"/>
      <c r="Q15" s="432"/>
      <c r="R15" s="1021"/>
    </row>
    <row r="16" spans="1:18" ht="29.25" customHeight="1">
      <c r="A16" s="554" t="s">
        <v>1072</v>
      </c>
      <c r="B16" s="434"/>
      <c r="C16" s="466"/>
      <c r="D16" s="466"/>
      <c r="E16" s="466"/>
      <c r="F16" s="485">
        <f>IF('PR_Programmatic Progress_1A'!D17="","",'PR_Programmatic Progress_1A'!D17)</f>
      </c>
      <c r="G16" s="1022"/>
      <c r="H16" s="1023" t="s">
        <v>1073</v>
      </c>
      <c r="I16" s="485">
        <f>IF('PR_Programmatic Progress_1A'!F17="","",'PR_Programmatic Progress_1A'!F17)</f>
      </c>
      <c r="J16" s="434"/>
      <c r="K16" s="1024" t="s">
        <v>1074</v>
      </c>
      <c r="L16" s="1025"/>
      <c r="M16" s="1026">
        <f>+'PR_Disbursement Request_5B'!K16</f>
        <v>126274.59</v>
      </c>
      <c r="N16" s="1025"/>
      <c r="O16" s="1027" t="s">
        <v>1075</v>
      </c>
      <c r="P16" s="1028">
        <f>+'PR_Disbursement Request_5B'!N16</f>
        <v>264194.34</v>
      </c>
      <c r="Q16" s="1029"/>
      <c r="R16" s="1030"/>
    </row>
    <row r="17" spans="1:18" ht="10.5" customHeight="1">
      <c r="A17" s="518"/>
      <c r="B17" s="518"/>
      <c r="C17" s="466"/>
      <c r="D17" s="466"/>
      <c r="E17" s="466"/>
      <c r="F17" s="469"/>
      <c r="G17" s="1022"/>
      <c r="H17" s="1022"/>
      <c r="I17" s="1031"/>
      <c r="J17" s="518"/>
      <c r="K17" s="1024"/>
      <c r="L17" s="1032"/>
      <c r="M17" s="1033"/>
      <c r="N17" s="1032"/>
      <c r="O17" s="1034"/>
      <c r="P17" s="1035"/>
      <c r="Q17" s="1036"/>
      <c r="R17" s="1037"/>
    </row>
    <row r="18" spans="1:18" ht="29.25" customHeight="1">
      <c r="A18" s="434"/>
      <c r="B18" s="434"/>
      <c r="C18" s="466"/>
      <c r="D18" s="466"/>
      <c r="E18" s="466"/>
      <c r="F18" s="469"/>
      <c r="G18" s="548"/>
      <c r="H18" s="435"/>
      <c r="I18" s="1038"/>
      <c r="J18" s="434"/>
      <c r="K18" s="1024" t="s">
        <v>1076</v>
      </c>
      <c r="L18" s="1032"/>
      <c r="M18" s="486"/>
      <c r="N18" s="1032"/>
      <c r="O18" s="1034" t="s">
        <v>1077</v>
      </c>
      <c r="P18" s="486"/>
      <c r="Q18" s="1029"/>
      <c r="R18" s="1039"/>
    </row>
    <row r="19" spans="1:17" ht="14.25">
      <c r="A19" s="554" t="s">
        <v>1078</v>
      </c>
      <c r="B19" s="434"/>
      <c r="C19" s="1040"/>
      <c r="D19" s="1040"/>
      <c r="E19" s="1040"/>
      <c r="F19" s="1041"/>
      <c r="G19" s="1042"/>
      <c r="H19" s="1043"/>
      <c r="I19" s="1044"/>
      <c r="J19" s="434"/>
      <c r="K19" s="1045"/>
      <c r="L19" s="498"/>
      <c r="M19" s="1046"/>
      <c r="N19" s="498"/>
      <c r="O19" s="1047"/>
      <c r="P19" s="1048"/>
      <c r="Q19" s="1049"/>
    </row>
    <row r="20" spans="1:17" ht="28.5" customHeight="1">
      <c r="A20" s="771" t="s">
        <v>1079</v>
      </c>
      <c r="B20" s="434"/>
      <c r="C20" s="466"/>
      <c r="D20" s="466"/>
      <c r="E20" s="466"/>
      <c r="F20" s="485">
        <f>IF(I16="","",I16+1)</f>
      </c>
      <c r="G20" s="1042"/>
      <c r="H20" s="509" t="s">
        <v>1073</v>
      </c>
      <c r="I20" s="485">
        <f>IF(F20="","",DATE(YEAR(F20),MONTH(F20)+3,DAY(F20)-1))</f>
      </c>
      <c r="J20" s="434"/>
      <c r="K20" s="1024" t="s">
        <v>1074</v>
      </c>
      <c r="L20" s="1050"/>
      <c r="M20" s="1051">
        <f>+'PR_Disbursement Request_5B'!K18</f>
        <v>0</v>
      </c>
      <c r="N20" s="1050"/>
      <c r="O20" s="1052" t="s">
        <v>1075</v>
      </c>
      <c r="P20" s="1051">
        <f>+'PR_Disbursement Request_5B'!N18</f>
        <v>0</v>
      </c>
      <c r="Q20" s="1053"/>
    </row>
    <row r="21" spans="1:18" ht="19.5" customHeight="1">
      <c r="A21" s="465"/>
      <c r="B21" s="518"/>
      <c r="C21" s="466"/>
      <c r="D21" s="466"/>
      <c r="E21" s="466"/>
      <c r="F21" s="469"/>
      <c r="G21" s="1022"/>
      <c r="H21" s="1022"/>
      <c r="I21" s="1031"/>
      <c r="J21" s="518"/>
      <c r="K21" s="1024"/>
      <c r="L21" s="1032"/>
      <c r="M21" s="1033"/>
      <c r="N21" s="1032"/>
      <c r="O21" s="1034"/>
      <c r="P21" s="1035"/>
      <c r="Q21" s="1054"/>
      <c r="R21" s="1055" t="s">
        <v>1080</v>
      </c>
    </row>
    <row r="22" spans="2:18" ht="32.25" customHeight="1">
      <c r="B22" s="434"/>
      <c r="C22" s="518"/>
      <c r="D22" s="518"/>
      <c r="E22" s="518"/>
      <c r="F22" s="434"/>
      <c r="G22" s="434"/>
      <c r="H22" s="434"/>
      <c r="I22" s="434"/>
      <c r="J22" s="434"/>
      <c r="K22" s="1024" t="s">
        <v>1076</v>
      </c>
      <c r="L22" s="1032"/>
      <c r="M22" s="486"/>
      <c r="N22" s="1032"/>
      <c r="O22" s="1034" t="s">
        <v>1077</v>
      </c>
      <c r="P22" s="486"/>
      <c r="Q22" s="488"/>
      <c r="R22" s="1056">
        <f>P16+P20+P26</f>
        <v>264194.34</v>
      </c>
    </row>
    <row r="23" spans="1:18" s="449" customFormat="1" ht="33" customHeight="1">
      <c r="A23" s="554" t="s">
        <v>1081</v>
      </c>
      <c r="B23" s="466"/>
      <c r="C23" s="466"/>
      <c r="D23" s="466"/>
      <c r="E23" s="466"/>
      <c r="G23" s="466"/>
      <c r="H23" s="466"/>
      <c r="I23" s="469"/>
      <c r="J23" s="466"/>
      <c r="K23" s="466"/>
      <c r="L23" s="479"/>
      <c r="M23" s="480"/>
      <c r="N23" s="481"/>
      <c r="O23" s="479"/>
      <c r="P23" s="488"/>
      <c r="Q23" s="489"/>
      <c r="R23" s="1057" t="s">
        <v>1082</v>
      </c>
    </row>
    <row r="24" spans="1:18" s="449" customFormat="1" ht="31.5" customHeight="1">
      <c r="A24" s="975"/>
      <c r="B24" s="466"/>
      <c r="C24" s="1058"/>
      <c r="D24" s="1059"/>
      <c r="E24" s="1059"/>
      <c r="F24" s="469"/>
      <c r="G24" s="469"/>
      <c r="H24" s="466"/>
      <c r="I24" s="466"/>
      <c r="J24" s="479"/>
      <c r="K24" s="480"/>
      <c r="L24" s="481"/>
      <c r="M24" s="479"/>
      <c r="N24" s="488"/>
      <c r="O24" s="489"/>
      <c r="R24" s="1056">
        <f>P18+P22+P28</f>
        <v>0</v>
      </c>
    </row>
    <row r="25" spans="1:18" s="449" customFormat="1" ht="12.75" customHeight="1">
      <c r="A25" s="465"/>
      <c r="B25" s="466"/>
      <c r="C25" s="466"/>
      <c r="D25" s="1060"/>
      <c r="E25" s="1059"/>
      <c r="F25" s="469"/>
      <c r="G25" s="469"/>
      <c r="H25" s="466"/>
      <c r="I25" s="466"/>
      <c r="J25" s="479"/>
      <c r="K25" s="480"/>
      <c r="L25" s="481"/>
      <c r="M25" s="479"/>
      <c r="N25" s="488"/>
      <c r="O25" s="489"/>
      <c r="R25" s="489"/>
    </row>
    <row r="26" spans="1:18" s="449" customFormat="1" ht="27.75" customHeight="1">
      <c r="A26" s="465" t="s">
        <v>1083</v>
      </c>
      <c r="B26" s="466"/>
      <c r="C26" s="466"/>
      <c r="D26" s="466"/>
      <c r="E26" s="466"/>
      <c r="F26" s="485">
        <f>IF(I20="","",I20+1)</f>
      </c>
      <c r="G26" s="466"/>
      <c r="H26" s="518" t="s">
        <v>1073</v>
      </c>
      <c r="I26" s="1061">
        <f>'PR_Disbursement Request_5B'!H22</f>
      </c>
      <c r="J26" s="466"/>
      <c r="K26" s="466" t="s">
        <v>1084</v>
      </c>
      <c r="L26" s="466"/>
      <c r="M26" s="1062">
        <f>'PR_Disbursement Request_5B'!K22</f>
        <v>0</v>
      </c>
      <c r="N26" s="479"/>
      <c r="O26" s="480" t="s">
        <v>1085</v>
      </c>
      <c r="P26" s="1063">
        <f>'PR_Disbursement Request_5B'!N22</f>
        <v>0</v>
      </c>
      <c r="Q26" s="488"/>
      <c r="R26" s="489"/>
    </row>
    <row r="27" spans="1:16" ht="12" customHeight="1">
      <c r="A27" s="1064"/>
      <c r="B27" s="466"/>
      <c r="C27" s="466"/>
      <c r="D27" s="466"/>
      <c r="E27" s="466"/>
      <c r="F27" s="466"/>
      <c r="G27" s="466"/>
      <c r="H27" s="466"/>
      <c r="I27" s="1024"/>
      <c r="J27" s="1032"/>
      <c r="K27" s="479"/>
      <c r="L27" s="1032"/>
      <c r="M27" s="1034"/>
      <c r="N27" s="479"/>
      <c r="O27" s="488"/>
      <c r="P27" s="489"/>
    </row>
    <row r="28" spans="1:18" ht="32.25" customHeight="1">
      <c r="A28" s="465"/>
      <c r="B28" s="466"/>
      <c r="C28" s="466"/>
      <c r="D28" s="466"/>
      <c r="E28" s="466"/>
      <c r="F28" s="466"/>
      <c r="G28" s="466"/>
      <c r="H28" s="466"/>
      <c r="I28" s="466"/>
      <c r="J28" s="466"/>
      <c r="K28" s="1024" t="s">
        <v>1076</v>
      </c>
      <c r="L28" s="1032"/>
      <c r="M28" s="486"/>
      <c r="N28" s="1032"/>
      <c r="O28" s="1034" t="s">
        <v>1077</v>
      </c>
      <c r="P28" s="486"/>
      <c r="Q28" s="488"/>
      <c r="R28" s="489"/>
    </row>
    <row r="29" spans="1:18" ht="9.75" customHeight="1">
      <c r="A29" s="465"/>
      <c r="B29" s="466"/>
      <c r="C29" s="466"/>
      <c r="D29" s="466"/>
      <c r="E29" s="466"/>
      <c r="F29" s="466"/>
      <c r="G29" s="466"/>
      <c r="H29" s="466"/>
      <c r="I29" s="466"/>
      <c r="J29" s="466"/>
      <c r="K29" s="1024"/>
      <c r="L29" s="1032"/>
      <c r="M29" s="479"/>
      <c r="N29" s="1032"/>
      <c r="O29" s="1034"/>
      <c r="P29" s="479"/>
      <c r="Q29" s="488"/>
      <c r="R29" s="489"/>
    </row>
    <row r="30" spans="1:18" s="1066" customFormat="1" ht="31.5" customHeight="1">
      <c r="A30" s="1990" t="s">
        <v>1086</v>
      </c>
      <c r="B30" s="1990"/>
      <c r="C30" s="1990"/>
      <c r="D30" s="1990"/>
      <c r="E30" s="1990"/>
      <c r="F30" s="1990"/>
      <c r="G30" s="1990"/>
      <c r="H30" s="1990"/>
      <c r="I30" s="1990"/>
      <c r="J30" s="1990"/>
      <c r="K30" s="1990"/>
      <c r="L30" s="1990"/>
      <c r="M30" s="1990"/>
      <c r="N30" s="1990"/>
      <c r="O30" s="1990"/>
      <c r="P30" s="1990"/>
      <c r="Q30" s="1990"/>
      <c r="R30" s="1065"/>
    </row>
    <row r="31" spans="1:18" s="1066" customFormat="1" ht="33" customHeight="1">
      <c r="A31" s="1991" t="s">
        <v>1087</v>
      </c>
      <c r="B31" s="1991"/>
      <c r="C31" s="1991"/>
      <c r="D31" s="1991"/>
      <c r="E31" s="1991"/>
      <c r="F31" s="1991"/>
      <c r="G31" s="1991"/>
      <c r="H31" s="1991"/>
      <c r="I31" s="1991"/>
      <c r="J31" s="1991"/>
      <c r="K31" s="1991"/>
      <c r="L31" s="1991"/>
      <c r="M31" s="1991"/>
      <c r="N31" s="1991"/>
      <c r="O31" s="1991"/>
      <c r="P31" s="1991"/>
      <c r="Q31" s="1991"/>
      <c r="R31" s="1065"/>
    </row>
    <row r="32" spans="1:18" ht="14.25">
      <c r="A32" s="1067"/>
      <c r="B32" s="466"/>
      <c r="C32" s="466"/>
      <c r="D32" s="466"/>
      <c r="E32" s="466"/>
      <c r="F32" s="466"/>
      <c r="G32" s="466"/>
      <c r="H32" s="1068"/>
      <c r="I32" s="1068"/>
      <c r="J32" s="1068"/>
      <c r="K32" s="466"/>
      <c r="L32" s="1069"/>
      <c r="M32" s="1069"/>
      <c r="N32" s="1069"/>
      <c r="O32" s="1069"/>
      <c r="P32" s="1069"/>
      <c r="Q32" s="1069"/>
      <c r="R32" s="1069"/>
    </row>
    <row r="33" spans="1:18" ht="20.25" customHeight="1">
      <c r="A33" s="1872" t="s">
        <v>1088</v>
      </c>
      <c r="B33" s="1872"/>
      <c r="C33" s="1872"/>
      <c r="D33" s="1872"/>
      <c r="E33" s="1872"/>
      <c r="F33" s="1872"/>
      <c r="G33" s="1872"/>
      <c r="H33" s="1992" t="str">
        <f>IF('PR_Disbursement Request_5B'!I27="","",'PR_Disbursement Request_5B'!I27)</f>
        <v>El monto de $ 264,194.34 corresponde a:                                                                                                                          (Mas) $ 126,274.59 monto aprobado para el semestre 11 de julio a diciembre 2015.(economias del S9)
(Mas) $ 14,278.32 Compromisos del Semestre 10 que se tienen con diferentes proveedores que seran pagados en el S11.                                                                                                                                                                               (Mas) $ 104,692.03 Recalendarizacion del S10 para ejecutarce en el S11                                                                                                                                                                                                                                                                                 (Mas) $ 18,949.40 Reprogramaciones del S10 para ejecutarce en el S11.                                                                                                                                                                                              Total a ejecutar                               $ 264,194.34 en el S11                                                                                                           (Menos)                                          $   68,000.00 del S11 monto  desembolsado al PNUD                                                                 Monto a ejecutar en el MINSAL.     $ 196,194.34.                                                                                                               Saldo de caja  al 30 de junio 2015 $ 284,601.48                                                                                                                      Diferencia                                       $   88,407.14. la diferencia se detalla de la siguiente manera: 
$      59.63   Intereses S8 
$ 1,061.62   Intereses S9  
$    953.26   Intereses S10 
$      12.16   Reintegro por cheques anulados 
$  86,320.47 Economias                                                                                                                                                                                                                                                                                                         </v>
      </c>
      <c r="I33" s="1992"/>
      <c r="J33" s="1992"/>
      <c r="K33" s="1992"/>
      <c r="L33" s="1992"/>
      <c r="M33" s="1992"/>
      <c r="N33" s="1992"/>
      <c r="O33" s="1992"/>
      <c r="P33" s="1992"/>
      <c r="Q33" s="1992"/>
      <c r="R33" s="1992"/>
    </row>
    <row r="34" spans="1:18" ht="93" customHeight="1">
      <c r="A34" s="1872"/>
      <c r="B34" s="1872"/>
      <c r="C34" s="1872"/>
      <c r="D34" s="1872"/>
      <c r="E34" s="1872"/>
      <c r="F34" s="1872"/>
      <c r="G34" s="1872"/>
      <c r="H34" s="1992"/>
      <c r="I34" s="1992"/>
      <c r="J34" s="1992"/>
      <c r="K34" s="1992"/>
      <c r="L34" s="1992"/>
      <c r="M34" s="1992"/>
      <c r="N34" s="1992"/>
      <c r="O34" s="1992"/>
      <c r="P34" s="1992"/>
      <c r="Q34" s="1992"/>
      <c r="R34" s="1992"/>
    </row>
    <row r="35" spans="1:18" ht="152.25" customHeight="1">
      <c r="A35" s="1985" t="s">
        <v>1089</v>
      </c>
      <c r="B35" s="1985"/>
      <c r="C35" s="1985"/>
      <c r="D35" s="1985"/>
      <c r="E35" s="1985"/>
      <c r="F35" s="1985"/>
      <c r="G35" s="1985"/>
      <c r="H35" s="1986"/>
      <c r="I35" s="1986"/>
      <c r="J35" s="1986"/>
      <c r="K35" s="1986"/>
      <c r="L35" s="1986"/>
      <c r="M35" s="1986"/>
      <c r="N35" s="1986"/>
      <c r="O35" s="1986"/>
      <c r="P35" s="1986"/>
      <c r="Q35" s="1986"/>
      <c r="R35" s="1986"/>
    </row>
    <row r="36" spans="1:18" ht="97.5" customHeight="1">
      <c r="A36" s="1985"/>
      <c r="B36" s="1985"/>
      <c r="C36" s="1985"/>
      <c r="D36" s="1985"/>
      <c r="E36" s="1985"/>
      <c r="F36" s="1985"/>
      <c r="G36" s="1985"/>
      <c r="H36" s="1986"/>
      <c r="I36" s="1986"/>
      <c r="J36" s="1986"/>
      <c r="K36" s="1986"/>
      <c r="L36" s="1986"/>
      <c r="M36" s="1986"/>
      <c r="N36" s="1986"/>
      <c r="O36" s="1986"/>
      <c r="P36" s="1986"/>
      <c r="Q36" s="1986"/>
      <c r="R36" s="1986"/>
    </row>
    <row r="37" spans="1:18" ht="14.25">
      <c r="A37" s="497"/>
      <c r="B37" s="497"/>
      <c r="C37" s="497"/>
      <c r="D37" s="497"/>
      <c r="E37" s="497"/>
      <c r="F37" s="497"/>
      <c r="G37" s="497"/>
      <c r="H37" s="497"/>
      <c r="I37" s="497"/>
      <c r="J37" s="497"/>
      <c r="K37" s="497"/>
      <c r="L37" s="497"/>
      <c r="M37" s="436"/>
      <c r="N37" s="497"/>
      <c r="O37" s="497"/>
      <c r="P37" s="1070"/>
      <c r="Q37" s="436"/>
      <c r="R37" s="1071"/>
    </row>
    <row r="38" spans="1:18" ht="14.25">
      <c r="A38" s="466"/>
      <c r="B38" s="466"/>
      <c r="C38" s="466"/>
      <c r="D38" s="466"/>
      <c r="E38" s="466"/>
      <c r="F38" s="466"/>
      <c r="G38" s="466"/>
      <c r="H38" s="466"/>
      <c r="I38" s="466"/>
      <c r="J38" s="1072"/>
      <c r="K38" s="1072"/>
      <c r="L38" s="1072"/>
      <c r="M38" s="1072"/>
      <c r="N38" s="1072"/>
      <c r="O38" s="1072"/>
      <c r="P38" s="1072"/>
      <c r="Q38" s="1072"/>
      <c r="R38" s="1072"/>
    </row>
    <row r="39" spans="1:18" ht="27.75" customHeight="1">
      <c r="A39" s="1993" t="s">
        <v>1064</v>
      </c>
      <c r="B39" s="1994" t="s">
        <v>1090</v>
      </c>
      <c r="C39" s="1994"/>
      <c r="D39" s="1994"/>
      <c r="E39" s="1994"/>
      <c r="F39" s="1994"/>
      <c r="G39" s="1994"/>
      <c r="H39" s="1994"/>
      <c r="I39" s="1994"/>
      <c r="J39" s="1073" t="s">
        <v>981</v>
      </c>
      <c r="K39" s="1074" t="s">
        <v>982</v>
      </c>
      <c r="L39" s="1995" t="s">
        <v>1091</v>
      </c>
      <c r="M39" s="1995"/>
      <c r="N39" s="1995"/>
      <c r="O39" s="1995"/>
      <c r="P39" s="1995"/>
      <c r="Q39" s="1995"/>
      <c r="R39" s="1995"/>
    </row>
    <row r="40" spans="1:18" ht="42" customHeight="1">
      <c r="A40" s="1993"/>
      <c r="B40" s="1994"/>
      <c r="C40" s="1994"/>
      <c r="D40" s="1994"/>
      <c r="E40" s="1994"/>
      <c r="F40" s="1994"/>
      <c r="G40" s="1994"/>
      <c r="H40" s="1994"/>
      <c r="I40" s="1994"/>
      <c r="J40" s="1075">
        <f>+'LFA_Cash Reconciliation_5A'!F24</f>
        <v>284601.43</v>
      </c>
      <c r="K40" s="1075">
        <f>+'LFA_Cash Reconciliation_5A'!G24</f>
        <v>0</v>
      </c>
      <c r="L40" s="1996"/>
      <c r="M40" s="1996"/>
      <c r="N40" s="1996"/>
      <c r="O40" s="1996"/>
      <c r="P40" s="1996"/>
      <c r="Q40" s="1996"/>
      <c r="R40" s="1996"/>
    </row>
    <row r="41" spans="1:18" ht="39" customHeight="1">
      <c r="A41" s="1993"/>
      <c r="B41" s="1997" t="s">
        <v>1092</v>
      </c>
      <c r="C41" s="1997"/>
      <c r="D41" s="1997"/>
      <c r="E41" s="1997"/>
      <c r="F41" s="1997"/>
      <c r="G41" s="1997"/>
      <c r="H41" s="1997"/>
      <c r="I41" s="1997"/>
      <c r="J41" s="1076">
        <f>+'PR_Disbursement Request_5B'!N33</f>
        <v>0</v>
      </c>
      <c r="K41" s="1077"/>
      <c r="L41" s="1996"/>
      <c r="M41" s="1996"/>
      <c r="N41" s="1996"/>
      <c r="O41" s="1996"/>
      <c r="P41" s="1996"/>
      <c r="Q41" s="1996"/>
      <c r="R41" s="1996"/>
    </row>
    <row r="42" spans="1:18" ht="39" customHeight="1">
      <c r="A42" s="1993"/>
      <c r="B42" s="1998" t="s">
        <v>1093</v>
      </c>
      <c r="C42" s="1998"/>
      <c r="D42" s="1998"/>
      <c r="E42" s="1998"/>
      <c r="F42" s="1998"/>
      <c r="G42" s="1998"/>
      <c r="H42" s="1998"/>
      <c r="I42" s="1998"/>
      <c r="J42" s="1078">
        <f>+'PR_Disbursement Request_5B'!N34</f>
        <v>0</v>
      </c>
      <c r="K42" s="1079"/>
      <c r="L42" s="1996"/>
      <c r="M42" s="1996"/>
      <c r="N42" s="1996"/>
      <c r="O42" s="1996"/>
      <c r="P42" s="1996"/>
      <c r="Q42" s="1996"/>
      <c r="R42" s="1996"/>
    </row>
    <row r="43" spans="1:18" ht="29.25" customHeight="1">
      <c r="A43" s="1080"/>
      <c r="B43" s="1081"/>
      <c r="C43" s="1081"/>
      <c r="D43" s="1081"/>
      <c r="E43" s="1081"/>
      <c r="F43" s="1081"/>
      <c r="G43" s="1081"/>
      <c r="H43" s="1081"/>
      <c r="I43" s="1081"/>
      <c r="J43" s="1073" t="s">
        <v>1094</v>
      </c>
      <c r="K43" s="1074" t="s">
        <v>1095</v>
      </c>
      <c r="L43" s="2001"/>
      <c r="M43" s="2001"/>
      <c r="N43" s="2001"/>
      <c r="O43" s="2001"/>
      <c r="P43" s="2001"/>
      <c r="Q43" s="2001"/>
      <c r="R43" s="2001"/>
    </row>
    <row r="44" spans="1:18" ht="65.25" customHeight="1">
      <c r="A44" s="2002" t="s">
        <v>1096</v>
      </c>
      <c r="B44" s="2002"/>
      <c r="C44" s="2002"/>
      <c r="D44" s="2002"/>
      <c r="E44" s="2002"/>
      <c r="F44" s="2002"/>
      <c r="G44" s="2002"/>
      <c r="H44" s="2002"/>
      <c r="I44" s="2002"/>
      <c r="J44" s="203">
        <f>IF(R22=0,0,IF(R22-J40-J41-J42&lt;0,0,R22-J40-J41-J42))</f>
        <v>0</v>
      </c>
      <c r="K44" s="203">
        <f>IF(R24=0,0,IF(R24-K40-K41-K42&lt;0,0,R24-K40-K41-K42))</f>
        <v>0</v>
      </c>
      <c r="L44" s="1804"/>
      <c r="M44" s="1804"/>
      <c r="N44" s="1804"/>
      <c r="O44" s="1804"/>
      <c r="P44" s="1804"/>
      <c r="Q44" s="1804"/>
      <c r="R44" s="1804"/>
    </row>
    <row r="45" spans="1:18" ht="7.5" customHeight="1">
      <c r="A45" s="491"/>
      <c r="B45" s="500"/>
      <c r="C45" s="1082"/>
      <c r="D45" s="1082"/>
      <c r="E45" s="1082"/>
      <c r="F45" s="500"/>
      <c r="G45" s="1083"/>
      <c r="H45" s="500"/>
      <c r="I45" s="1082"/>
      <c r="J45" s="1084"/>
      <c r="K45" s="553"/>
      <c r="L45" s="537"/>
      <c r="M45" s="1045"/>
      <c r="N45" s="537"/>
      <c r="O45" s="1082"/>
      <c r="P45" s="500"/>
      <c r="Q45" s="537"/>
      <c r="R45" s="1082"/>
    </row>
    <row r="46" spans="1:18" ht="26.25" customHeight="1">
      <c r="A46" s="1085" t="s">
        <v>1097</v>
      </c>
      <c r="B46" s="1086"/>
      <c r="C46" s="1086"/>
      <c r="D46" s="1086"/>
      <c r="E46" s="1086"/>
      <c r="F46" s="453"/>
      <c r="G46" s="1040"/>
      <c r="H46" s="1087"/>
      <c r="I46" s="538"/>
      <c r="J46" s="1088" t="s">
        <v>198</v>
      </c>
      <c r="K46" s="1089"/>
      <c r="L46" s="535"/>
      <c r="M46" s="1089"/>
      <c r="N46" s="535"/>
      <c r="O46" s="535"/>
      <c r="P46" s="513"/>
      <c r="Q46" s="535"/>
      <c r="R46" s="1090"/>
    </row>
    <row r="47" spans="1:18" ht="26.25" customHeight="1">
      <c r="A47" s="1091" t="s">
        <v>1098</v>
      </c>
      <c r="B47" s="491"/>
      <c r="C47" s="491"/>
      <c r="D47" s="466"/>
      <c r="E47" s="466"/>
      <c r="F47" s="466"/>
      <c r="G47" s="466"/>
      <c r="H47" s="1092"/>
      <c r="I47" s="1093"/>
      <c r="J47" s="1094"/>
      <c r="K47" s="101"/>
      <c r="L47" s="535"/>
      <c r="M47" s="535"/>
      <c r="N47" s="535"/>
      <c r="O47" s="535"/>
      <c r="P47" s="513"/>
      <c r="Q47" s="535"/>
      <c r="R47" s="1090"/>
    </row>
    <row r="48" spans="1:18" ht="27" customHeight="1">
      <c r="A48" s="1095"/>
      <c r="B48" s="466"/>
      <c r="C48" s="466"/>
      <c r="D48" s="466"/>
      <c r="E48" s="466"/>
      <c r="F48" s="1096" t="s">
        <v>1099</v>
      </c>
      <c r="G48" s="466"/>
      <c r="H48" s="1097" t="s">
        <v>1100</v>
      </c>
      <c r="I48" s="523"/>
      <c r="J48" s="2003" t="s">
        <v>1101</v>
      </c>
      <c r="K48" s="2003"/>
      <c r="L48" s="2003"/>
      <c r="M48" s="2003"/>
      <c r="N48" s="2003"/>
      <c r="O48" s="2003"/>
      <c r="P48" s="513"/>
      <c r="Q48" s="535"/>
      <c r="R48" s="1090"/>
    </row>
    <row r="49" spans="1:18" ht="10.5" customHeight="1">
      <c r="A49" s="1095"/>
      <c r="B49" s="466"/>
      <c r="C49" s="466"/>
      <c r="D49" s="466"/>
      <c r="E49" s="466"/>
      <c r="F49" s="466"/>
      <c r="G49" s="466"/>
      <c r="H49" s="1098"/>
      <c r="I49" s="523"/>
      <c r="J49" s="558"/>
      <c r="K49" s="2"/>
      <c r="L49" s="517"/>
      <c r="M49" s="517"/>
      <c r="N49" s="517"/>
      <c r="O49" s="517"/>
      <c r="P49" s="547"/>
      <c r="Q49" s="518"/>
      <c r="R49" s="1099"/>
    </row>
    <row r="50" spans="1:18" ht="26.25" customHeight="1">
      <c r="A50" s="1100"/>
      <c r="B50" s="1101" t="s">
        <v>1102</v>
      </c>
      <c r="C50" s="1101"/>
      <c r="D50" s="1101"/>
      <c r="E50" s="1101"/>
      <c r="F50" s="1102" t="str">
        <f>+'PR_Disbursement Request_5B'!G41</f>
        <v>N/A</v>
      </c>
      <c r="G50" s="1103"/>
      <c r="H50" s="1104"/>
      <c r="I50" s="1105"/>
      <c r="J50" s="1999"/>
      <c r="K50" s="1999"/>
      <c r="L50" s="1999"/>
      <c r="M50" s="1999"/>
      <c r="N50" s="1999"/>
      <c r="O50" s="1999"/>
      <c r="P50" s="542"/>
      <c r="Q50" s="513"/>
      <c r="R50" s="1106"/>
    </row>
    <row r="51" spans="1:18" ht="8.25" customHeight="1">
      <c r="A51" s="464"/>
      <c r="B51" s="1107"/>
      <c r="C51" s="1107"/>
      <c r="D51" s="1107"/>
      <c r="E51" s="1107"/>
      <c r="F51" s="1108"/>
      <c r="G51" s="1108"/>
      <c r="H51" s="1109"/>
      <c r="I51" s="116"/>
      <c r="J51" s="1999"/>
      <c r="K51" s="1999"/>
      <c r="L51" s="1999"/>
      <c r="M51" s="1999"/>
      <c r="N51" s="1999"/>
      <c r="O51" s="1999"/>
      <c r="P51" s="1110"/>
      <c r="Q51" s="547"/>
      <c r="R51" s="448"/>
    </row>
    <row r="52" spans="1:18" ht="26.25" customHeight="1">
      <c r="A52" s="773"/>
      <c r="B52" s="1101" t="s">
        <v>1103</v>
      </c>
      <c r="C52" s="1101"/>
      <c r="D52" s="1101"/>
      <c r="E52" s="1101"/>
      <c r="F52" s="1102" t="str">
        <f>+'PR_Disbursement Request_5B'!G43</f>
        <v>N/A</v>
      </c>
      <c r="G52" s="1103"/>
      <c r="H52" s="1104"/>
      <c r="I52" s="1111"/>
      <c r="J52" s="1999"/>
      <c r="K52" s="1999"/>
      <c r="L52" s="1999"/>
      <c r="M52" s="1999"/>
      <c r="N52" s="1999"/>
      <c r="O52" s="1999"/>
      <c r="P52" s="542"/>
      <c r="Q52" s="513"/>
      <c r="R52" s="1106"/>
    </row>
    <row r="53" spans="1:18" ht="8.25" customHeight="1">
      <c r="A53" s="78"/>
      <c r="B53" s="534"/>
      <c r="C53" s="534"/>
      <c r="D53" s="534"/>
      <c r="E53" s="534"/>
      <c r="F53" s="1112"/>
      <c r="G53" s="1113"/>
      <c r="H53" s="1109"/>
      <c r="I53" s="972"/>
      <c r="J53" s="1999"/>
      <c r="K53" s="1999"/>
      <c r="L53" s="1999"/>
      <c r="M53" s="1999"/>
      <c r="N53" s="1999"/>
      <c r="O53" s="1999"/>
      <c r="P53" s="542"/>
      <c r="Q53" s="513"/>
      <c r="R53" s="1106"/>
    </row>
    <row r="54" spans="1:18" ht="26.25" customHeight="1">
      <c r="A54" s="1114"/>
      <c r="B54" s="2000" t="s">
        <v>1104</v>
      </c>
      <c r="C54" s="2000"/>
      <c r="D54" s="2000"/>
      <c r="E54" s="2000"/>
      <c r="F54" s="1102" t="str">
        <f>+'PR_Disbursement Request_5B'!G45</f>
        <v>N/A</v>
      </c>
      <c r="G54" s="1103"/>
      <c r="H54" s="1115"/>
      <c r="I54" s="1116"/>
      <c r="J54" s="1999"/>
      <c r="K54" s="1999"/>
      <c r="L54" s="1999"/>
      <c r="M54" s="1999"/>
      <c r="N54" s="1999"/>
      <c r="O54" s="1999"/>
      <c r="P54" s="557"/>
      <c r="Q54" s="558"/>
      <c r="R54" s="1117"/>
    </row>
    <row r="55" ht="12" customHeight="1"/>
  </sheetData>
  <sheetProtection password="92D1" sheet="1" formatCells="0" formatColumns="0" formatRows="0"/>
  <mergeCells count="27">
    <mergeCell ref="L42:R42"/>
    <mergeCell ref="J50:O54"/>
    <mergeCell ref="B54:E54"/>
    <mergeCell ref="L43:R43"/>
    <mergeCell ref="A44:I44"/>
    <mergeCell ref="L44:R44"/>
    <mergeCell ref="J48:O48"/>
    <mergeCell ref="A31:Q31"/>
    <mergeCell ref="A33:G34"/>
    <mergeCell ref="H33:R34"/>
    <mergeCell ref="A39:A42"/>
    <mergeCell ref="B39:I40"/>
    <mergeCell ref="L39:R39"/>
    <mergeCell ref="L40:R40"/>
    <mergeCell ref="B41:I41"/>
    <mergeCell ref="L41:R41"/>
    <mergeCell ref="B42:I42"/>
    <mergeCell ref="A35:G36"/>
    <mergeCell ref="H35:R36"/>
    <mergeCell ref="A1:O1"/>
    <mergeCell ref="A3:E3"/>
    <mergeCell ref="F3:J3"/>
    <mergeCell ref="F6:J6"/>
    <mergeCell ref="A7:E7"/>
    <mergeCell ref="F7:J7"/>
    <mergeCell ref="A13:R13"/>
    <mergeCell ref="A30:Q30"/>
  </mergeCells>
  <conditionalFormatting sqref="F16:F18 F21">
    <cfRule type="cellIs" priority="1" dxfId="10" operator="equal" stopIfTrue="1">
      <formula>$R$5</formula>
    </cfRule>
  </conditionalFormatting>
  <conditionalFormatting sqref="I16">
    <cfRule type="cellIs" priority="2" dxfId="10" operator="equal" stopIfTrue="1">
      <formula>$R$5</formula>
    </cfRule>
  </conditionalFormatting>
  <conditionalFormatting sqref="F20">
    <cfRule type="cellIs" priority="3" dxfId="10" operator="equal" stopIfTrue="1">
      <formula>$R$5</formula>
    </cfRule>
  </conditionalFormatting>
  <dataValidations count="3">
    <dataValidation type="list" allowBlank="1" showErrorMessage="1" sqref="J47 J49">
      <formula1>"Select,Yes,No"</formula1>
      <formula2>0</formula2>
    </dataValidation>
    <dataValidation type="list" allowBlank="1" showErrorMessage="1" sqref="J46">
      <formula1>"Select,Yes,No,N/A"</formula1>
      <formula2>0</formula2>
    </dataValidation>
    <dataValidation type="list" allowBlank="1" showErrorMessage="1" sqref="H4:H5">
      <formula1>"Select,Quarter,Semester"</formula1>
      <formula2>0</formula2>
    </dataValidation>
  </dataValidations>
  <printOptions horizontalCentered="1"/>
  <pageMargins left="0.7479166666666667" right="0.7479166666666667" top="0.5902777777777778" bottom="0.5902777777777777" header="0.5118055555555555" footer="0.5118055555555555"/>
  <pageSetup cellComments="atEnd" fitToHeight="0" fitToWidth="1" horizontalDpi="300" verticalDpi="300" orientation="landscape" paperSize="9" scale="47" r:id="rId1"/>
  <headerFooter alignWithMargins="0">
    <oddFooter>&amp;L&amp;9&amp;F&amp;C&amp;A&amp;R&amp;9Page &amp;P of &amp;N</oddFooter>
  </headerFooter>
  <rowBreaks count="1" manualBreakCount="1">
    <brk id="37" max="255" man="1"/>
  </rowBreaks>
</worksheet>
</file>

<file path=xl/worksheets/sheet24.xml><?xml version="1.0" encoding="utf-8"?>
<worksheet xmlns="http://schemas.openxmlformats.org/spreadsheetml/2006/main" xmlns:r="http://schemas.openxmlformats.org/officeDocument/2006/relationships">
  <sheetPr>
    <tabColor indexed="40"/>
  </sheetPr>
  <dimension ref="A1:A1"/>
  <sheetViews>
    <sheetView zoomScalePageLayoutView="0" workbookViewId="0" topLeftCell="A1">
      <selection activeCell="A1" sqref="A1:N24"/>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sheetPr>
    <tabColor indexed="40"/>
    <pageSetUpPr fitToPage="1"/>
  </sheetPr>
  <dimension ref="A1:W34"/>
  <sheetViews>
    <sheetView view="pageBreakPreview" zoomScaleNormal="75" zoomScaleSheetLayoutView="100" zoomScalePageLayoutView="0" workbookViewId="0" topLeftCell="A1">
      <selection activeCell="C6" sqref="C6:F6"/>
    </sheetView>
  </sheetViews>
  <sheetFormatPr defaultColWidth="9.140625" defaultRowHeight="12.75"/>
  <cols>
    <col min="1" max="1" width="21.57421875" style="5" customWidth="1"/>
    <col min="2" max="2" width="20.8515625" style="5" customWidth="1"/>
    <col min="3" max="3" width="20.57421875" style="5" customWidth="1"/>
    <col min="4" max="4" width="29.57421875" style="5" customWidth="1"/>
    <col min="5" max="5" width="18.7109375" style="5" customWidth="1"/>
    <col min="6" max="6" width="22.00390625" style="5" customWidth="1"/>
    <col min="7" max="7" width="20.00390625" style="5" customWidth="1"/>
    <col min="8" max="8" width="21.28125" style="5" customWidth="1"/>
    <col min="9" max="9" width="6.57421875" style="5" customWidth="1"/>
    <col min="10" max="10" width="6.8515625" style="5" customWidth="1"/>
    <col min="11" max="11" width="11.421875" style="5" customWidth="1"/>
    <col min="12" max="16384" width="9.140625" style="5" customWidth="1"/>
  </cols>
  <sheetData>
    <row r="1" spans="1:10" ht="25.5" customHeight="1">
      <c r="A1" s="1829" t="s">
        <v>846</v>
      </c>
      <c r="B1" s="1829"/>
      <c r="C1" s="1829"/>
      <c r="D1" s="1829"/>
      <c r="E1" s="1829"/>
      <c r="F1" s="1829"/>
      <c r="G1" s="1829"/>
      <c r="H1" s="1829"/>
      <c r="I1" s="1829"/>
      <c r="J1" s="1829"/>
    </row>
    <row r="2" spans="1:23" s="50" customFormat="1" ht="27" customHeight="1">
      <c r="A2" s="72" t="s">
        <v>855</v>
      </c>
      <c r="B2" s="2"/>
      <c r="C2" s="2"/>
      <c r="D2" s="2"/>
      <c r="E2" s="2"/>
      <c r="F2" s="2"/>
      <c r="G2" s="2"/>
      <c r="H2" s="2"/>
      <c r="I2" s="2"/>
      <c r="J2" s="2"/>
      <c r="K2" s="2"/>
      <c r="L2" s="5"/>
      <c r="M2" s="5"/>
      <c r="N2" s="5"/>
      <c r="O2" s="5"/>
      <c r="P2" s="5"/>
      <c r="Q2" s="5"/>
      <c r="R2" s="5"/>
      <c r="S2" s="5"/>
      <c r="T2" s="5"/>
      <c r="U2" s="5"/>
      <c r="V2" s="5"/>
      <c r="W2" s="5"/>
    </row>
    <row r="3" spans="1:11" s="295" customFormat="1" ht="18.75" customHeight="1">
      <c r="A3" s="1672" t="s">
        <v>879</v>
      </c>
      <c r="B3" s="1672"/>
      <c r="C3" s="1762" t="str">
        <f>IF('LFA_Programmatic Progress_1A'!C7="","",'LFA_Programmatic Progress_1A'!C7)</f>
        <v>SLV-910-G08-T</v>
      </c>
      <c r="D3" s="1762"/>
      <c r="E3" s="1762"/>
      <c r="F3" s="1762"/>
      <c r="G3" s="75"/>
      <c r="H3" s="75"/>
      <c r="I3" s="75"/>
      <c r="J3" s="75"/>
      <c r="K3" s="75"/>
    </row>
    <row r="4" spans="1:11" s="295" customFormat="1" ht="15" customHeight="1">
      <c r="A4" s="90" t="s">
        <v>856</v>
      </c>
      <c r="B4" s="91"/>
      <c r="C4" s="92" t="s">
        <v>857</v>
      </c>
      <c r="D4" s="122" t="str">
        <f>IF('LFA_Programmatic Progress_1A'!D12="Select","",'LFA_Programmatic Progress_1A'!D12)</f>
        <v>Semestral</v>
      </c>
      <c r="E4" s="93" t="s">
        <v>858</v>
      </c>
      <c r="F4" s="123">
        <f>IF('LFA_Programmatic Progress_1A'!F12="Select","",'LFA_Programmatic Progress_1A'!F12)</f>
        <v>10</v>
      </c>
      <c r="G4" s="75"/>
      <c r="H4" s="75"/>
      <c r="I4" s="75"/>
      <c r="J4" s="75"/>
      <c r="K4" s="75"/>
    </row>
    <row r="5" spans="1:11" s="295" customFormat="1" ht="15" customHeight="1">
      <c r="A5" s="94" t="s">
        <v>859</v>
      </c>
      <c r="B5" s="95"/>
      <c r="C5" s="96" t="s">
        <v>860</v>
      </c>
      <c r="D5" s="124">
        <f>IF('LFA_Programmatic Progress_1A'!D13="","",'LFA_Programmatic Progress_1A'!D13)</f>
        <v>42005</v>
      </c>
      <c r="E5" s="93" t="s">
        <v>542</v>
      </c>
      <c r="F5" s="125">
        <f>IF('LFA_Programmatic Progress_1A'!F13="","",'LFA_Programmatic Progress_1A'!F13)</f>
        <v>42185</v>
      </c>
      <c r="G5" s="75"/>
      <c r="H5" s="75"/>
      <c r="I5" s="75"/>
      <c r="J5" s="75"/>
      <c r="K5" s="75"/>
    </row>
    <row r="6" spans="1:11" s="295" customFormat="1" ht="15" customHeight="1">
      <c r="A6" s="97" t="s">
        <v>861</v>
      </c>
      <c r="B6" s="99"/>
      <c r="C6" s="1763">
        <f>IF('LFA_Programmatic Progress_1A'!C14="Select","",'LFA_Programmatic Progress_1A'!C14)</f>
        <v>10</v>
      </c>
      <c r="D6" s="1763"/>
      <c r="E6" s="1763"/>
      <c r="F6" s="1763"/>
      <c r="G6" s="75"/>
      <c r="H6" s="75"/>
      <c r="I6" s="75"/>
      <c r="J6" s="75"/>
      <c r="K6" s="75"/>
    </row>
    <row r="7" spans="1:11" ht="21" customHeight="1">
      <c r="A7" s="2"/>
      <c r="B7" s="2"/>
      <c r="C7" s="2"/>
      <c r="D7" s="2"/>
      <c r="E7" s="2"/>
      <c r="F7" s="2"/>
      <c r="G7" s="2"/>
      <c r="H7" s="2"/>
      <c r="I7" s="2"/>
      <c r="J7" s="2"/>
      <c r="K7" s="2"/>
    </row>
    <row r="8" spans="1:11" s="145" customFormat="1" ht="28.5" customHeight="1">
      <c r="A8" s="2004" t="s">
        <v>1105</v>
      </c>
      <c r="B8" s="2004"/>
      <c r="C8" s="2004"/>
      <c r="D8" s="2004"/>
      <c r="E8" s="2004"/>
      <c r="F8" s="2004"/>
      <c r="G8" s="1118"/>
      <c r="H8" s="1119"/>
      <c r="I8" s="1119"/>
      <c r="J8" s="1119"/>
      <c r="K8" s="1120"/>
    </row>
    <row r="9" spans="1:11" s="145" customFormat="1" ht="4.5" customHeight="1">
      <c r="A9" s="1121"/>
      <c r="B9" s="1121"/>
      <c r="C9" s="1121"/>
      <c r="D9" s="1121"/>
      <c r="E9" s="1121"/>
      <c r="F9" s="1121"/>
      <c r="G9" s="1122"/>
      <c r="H9" s="1122"/>
      <c r="I9" s="1122"/>
      <c r="J9" s="1122"/>
      <c r="K9" s="1123"/>
    </row>
    <row r="10" spans="1:11" s="145" customFormat="1" ht="23.25" customHeight="1">
      <c r="A10" s="2005" t="s">
        <v>1106</v>
      </c>
      <c r="B10" s="2005"/>
      <c r="C10" s="2005"/>
      <c r="D10" s="2005"/>
      <c r="E10" s="2005"/>
      <c r="F10" s="2005"/>
      <c r="G10" s="2005"/>
      <c r="H10" s="2005"/>
      <c r="I10" s="2005"/>
      <c r="J10" s="2005"/>
      <c r="K10" s="2005"/>
    </row>
    <row r="11" spans="1:11" s="145" customFormat="1" ht="64.5" customHeight="1">
      <c r="A11" s="2006" t="s">
        <v>1107</v>
      </c>
      <c r="B11" s="2006"/>
      <c r="C11" s="2006"/>
      <c r="D11" s="2006"/>
      <c r="E11" s="2006"/>
      <c r="F11" s="2006"/>
      <c r="G11" s="2006"/>
      <c r="H11" s="2006"/>
      <c r="I11" s="2006"/>
      <c r="J11" s="2006"/>
      <c r="K11" s="2006"/>
    </row>
    <row r="12" spans="1:11" s="145" customFormat="1" ht="15" customHeight="1">
      <c r="A12" s="1124"/>
      <c r="B12" s="1125"/>
      <c r="C12" s="1125"/>
      <c r="D12" s="1125"/>
      <c r="E12" s="1125"/>
      <c r="F12" s="1125"/>
      <c r="G12" s="1125"/>
      <c r="H12" s="1125"/>
      <c r="I12" s="1125"/>
      <c r="J12" s="1125"/>
      <c r="K12" s="1125"/>
    </row>
    <row r="13" spans="1:11" s="145" customFormat="1" ht="28.5" customHeight="1">
      <c r="A13" s="1126" t="s">
        <v>1108</v>
      </c>
      <c r="B13" s="1127" t="s">
        <v>198</v>
      </c>
      <c r="C13" s="1128"/>
      <c r="D13" s="1129" t="s">
        <v>1109</v>
      </c>
      <c r="E13" s="1127" t="s">
        <v>198</v>
      </c>
      <c r="F13" s="1128"/>
      <c r="G13" s="1129" t="s">
        <v>1110</v>
      </c>
      <c r="H13" s="1127" t="s">
        <v>198</v>
      </c>
      <c r="I13" s="1128"/>
      <c r="J13" s="1128"/>
      <c r="K13" s="1128"/>
    </row>
    <row r="14" spans="1:11" s="145" customFormat="1" ht="18.75" customHeight="1">
      <c r="A14" s="1126"/>
      <c r="B14" s="1130"/>
      <c r="C14" s="1128"/>
      <c r="D14" s="1129"/>
      <c r="E14" s="1130"/>
      <c r="F14" s="1128"/>
      <c r="G14" s="1128"/>
      <c r="H14" s="1130"/>
      <c r="I14" s="1128"/>
      <c r="J14" s="1128"/>
      <c r="K14" s="1128"/>
    </row>
    <row r="15" spans="1:11" s="145" customFormat="1" ht="79.5" customHeight="1">
      <c r="A15" s="2007"/>
      <c r="B15" s="2007"/>
      <c r="C15" s="2007"/>
      <c r="D15" s="2007"/>
      <c r="E15" s="2007"/>
      <c r="F15" s="2007"/>
      <c r="G15" s="2007"/>
      <c r="H15" s="2007"/>
      <c r="I15" s="2007"/>
      <c r="J15" s="2007"/>
      <c r="K15" s="2007"/>
    </row>
    <row r="16" spans="1:11" s="145" customFormat="1" ht="102.75" customHeight="1">
      <c r="A16" s="2007"/>
      <c r="B16" s="2007"/>
      <c r="C16" s="2007"/>
      <c r="D16" s="2007"/>
      <c r="E16" s="2007"/>
      <c r="F16" s="2007"/>
      <c r="G16" s="2007"/>
      <c r="H16" s="2007"/>
      <c r="I16" s="2007"/>
      <c r="J16" s="2007"/>
      <c r="K16" s="2007"/>
    </row>
    <row r="17" spans="1:11" ht="27" customHeight="1">
      <c r="A17" s="1131"/>
      <c r="B17" s="1131"/>
      <c r="C17" s="1131"/>
      <c r="D17" s="1131"/>
      <c r="E17" s="1131"/>
      <c r="F17" s="1131"/>
      <c r="G17" s="1131"/>
      <c r="H17" s="1131"/>
      <c r="I17" s="1131"/>
      <c r="J17" s="1131"/>
      <c r="K17" s="1132"/>
    </row>
    <row r="18" spans="1:11" s="664" customFormat="1" ht="21.75" customHeight="1">
      <c r="A18" s="2009" t="s">
        <v>1111</v>
      </c>
      <c r="B18" s="2009"/>
      <c r="C18" s="2009"/>
      <c r="D18" s="2009"/>
      <c r="E18" s="2009"/>
      <c r="F18" s="2009"/>
      <c r="G18" s="2009"/>
      <c r="H18" s="2009"/>
      <c r="I18" s="2009"/>
      <c r="J18" s="2009"/>
      <c r="K18" s="2009"/>
    </row>
    <row r="19" spans="1:11" s="145" customFormat="1" ht="35.25" customHeight="1">
      <c r="A19" s="2010"/>
      <c r="B19" s="2010"/>
      <c r="C19" s="2010"/>
      <c r="D19" s="2010"/>
      <c r="E19" s="2010"/>
      <c r="F19" s="2010"/>
      <c r="G19" s="2010"/>
      <c r="H19" s="2010"/>
      <c r="I19" s="2010"/>
      <c r="J19" s="2010"/>
      <c r="K19" s="2010"/>
    </row>
    <row r="20" spans="1:11" s="664" customFormat="1" ht="43.5" customHeight="1">
      <c r="A20" s="2010"/>
      <c r="B20" s="2010"/>
      <c r="C20" s="2010"/>
      <c r="D20" s="2010"/>
      <c r="E20" s="2010"/>
      <c r="F20" s="2010"/>
      <c r="G20" s="2010"/>
      <c r="H20" s="2010"/>
      <c r="I20" s="2010"/>
      <c r="J20" s="2010"/>
      <c r="K20" s="2010"/>
    </row>
    <row r="21" spans="1:11" s="664" customFormat="1" ht="30.75" customHeight="1">
      <c r="A21" s="1133"/>
      <c r="B21" s="1133"/>
      <c r="C21" s="1133"/>
      <c r="D21" s="1133"/>
      <c r="E21" s="1133"/>
      <c r="F21" s="1133"/>
      <c r="G21" s="1133"/>
      <c r="H21" s="1133"/>
      <c r="I21" s="1133"/>
      <c r="J21" s="1133"/>
      <c r="K21" s="1134"/>
    </row>
    <row r="22" spans="1:11" s="664" customFormat="1" ht="24.75" customHeight="1">
      <c r="A22" s="2011" t="s">
        <v>1112</v>
      </c>
      <c r="B22" s="2011"/>
      <c r="C22" s="2011"/>
      <c r="D22" s="2011"/>
      <c r="E22" s="2011"/>
      <c r="F22" s="2011"/>
      <c r="G22" s="2011"/>
      <c r="H22" s="2011"/>
      <c r="I22" s="2011"/>
      <c r="J22" s="2011"/>
      <c r="K22" s="2011"/>
    </row>
    <row r="23" spans="1:11" s="145" customFormat="1" ht="23.25" customHeight="1">
      <c r="A23" s="2010"/>
      <c r="B23" s="2010"/>
      <c r="C23" s="2010"/>
      <c r="D23" s="2010"/>
      <c r="E23" s="2010"/>
      <c r="F23" s="2010"/>
      <c r="G23" s="2010"/>
      <c r="H23" s="2010"/>
      <c r="I23" s="2010"/>
      <c r="J23" s="2010"/>
      <c r="K23" s="2010"/>
    </row>
    <row r="24" spans="1:11" s="664" customFormat="1" ht="42.75" customHeight="1">
      <c r="A24" s="2010"/>
      <c r="B24" s="2010"/>
      <c r="C24" s="2010"/>
      <c r="D24" s="2010"/>
      <c r="E24" s="2010"/>
      <c r="F24" s="2010"/>
      <c r="G24" s="2010"/>
      <c r="H24" s="2010"/>
      <c r="I24" s="2010"/>
      <c r="J24" s="2010"/>
      <c r="K24" s="2010"/>
    </row>
    <row r="25" spans="1:11" ht="12.75" hidden="1">
      <c r="A25" s="1015"/>
      <c r="B25" s="1015"/>
      <c r="C25" s="1015"/>
      <c r="D25" s="1015"/>
      <c r="E25" s="1015"/>
      <c r="F25" s="1015"/>
      <c r="G25" s="1015"/>
      <c r="H25" s="1015"/>
      <c r="I25" s="1015"/>
      <c r="J25" s="1015"/>
      <c r="K25" s="1017"/>
    </row>
    <row r="26" spans="1:11" s="664" customFormat="1" ht="18.75" customHeight="1">
      <c r="A26" s="2008"/>
      <c r="B26" s="2008"/>
      <c r="C26" s="2008"/>
      <c r="D26" s="2008"/>
      <c r="E26" s="2008"/>
      <c r="F26" s="2008"/>
      <c r="G26" s="2008"/>
      <c r="H26" s="2008"/>
      <c r="I26" s="2008"/>
      <c r="J26" s="2008"/>
      <c r="K26" s="2008"/>
    </row>
    <row r="27" spans="1:16" s="664" customFormat="1" ht="18.75" customHeight="1">
      <c r="A27" s="1124"/>
      <c r="B27" s="1124"/>
      <c r="C27" s="1124"/>
      <c r="E27" s="1135"/>
      <c r="F27" s="1135"/>
      <c r="G27" s="1135"/>
      <c r="H27" s="1135"/>
      <c r="I27" s="1135"/>
      <c r="J27" s="1135"/>
      <c r="K27" s="1124"/>
      <c r="L27" s="1124"/>
      <c r="M27" s="1124"/>
      <c r="N27" s="1124"/>
      <c r="O27" s="1124"/>
      <c r="P27" s="1124"/>
    </row>
    <row r="28" spans="1:14" s="664" customFormat="1" ht="25.5" customHeight="1">
      <c r="A28" s="1124"/>
      <c r="B28" s="1059"/>
      <c r="C28" s="1130"/>
      <c r="E28" s="466"/>
      <c r="F28" s="466"/>
      <c r="G28" s="466"/>
      <c r="H28" s="466"/>
      <c r="I28" s="466"/>
      <c r="J28" s="466"/>
      <c r="K28" s="466"/>
      <c r="L28" s="466"/>
      <c r="M28" s="466"/>
      <c r="N28" s="466"/>
    </row>
    <row r="29" spans="1:14" s="664" customFormat="1" ht="6" customHeight="1">
      <c r="A29" s="1136"/>
      <c r="C29" s="1136"/>
      <c r="D29" s="1137"/>
      <c r="E29" s="466"/>
      <c r="F29" s="466"/>
      <c r="G29" s="466"/>
      <c r="H29" s="466"/>
      <c r="I29" s="466"/>
      <c r="J29" s="466"/>
      <c r="K29" s="466"/>
      <c r="L29" s="466"/>
      <c r="M29" s="466"/>
      <c r="N29" s="466"/>
    </row>
    <row r="30" spans="1:14" s="664" customFormat="1" ht="30" customHeight="1">
      <c r="A30" s="1124"/>
      <c r="B30" s="1138"/>
      <c r="C30" s="1130"/>
      <c r="D30" s="1137"/>
      <c r="E30" s="466"/>
      <c r="F30" s="466"/>
      <c r="G30" s="466"/>
      <c r="H30" s="466"/>
      <c r="I30" s="466"/>
      <c r="J30" s="466"/>
      <c r="K30" s="466"/>
      <c r="L30" s="466"/>
      <c r="M30" s="466"/>
      <c r="N30" s="466"/>
    </row>
    <row r="31" spans="1:14" s="664" customFormat="1" ht="6" customHeight="1">
      <c r="A31" s="1136"/>
      <c r="C31" s="1136"/>
      <c r="D31" s="1137"/>
      <c r="E31" s="466"/>
      <c r="F31" s="466"/>
      <c r="G31" s="466"/>
      <c r="H31" s="466"/>
      <c r="I31" s="466"/>
      <c r="J31" s="466"/>
      <c r="K31" s="466"/>
      <c r="L31" s="466"/>
      <c r="M31" s="466"/>
      <c r="N31" s="466"/>
    </row>
    <row r="32" spans="1:14" s="664" customFormat="1" ht="25.5" customHeight="1">
      <c r="A32" s="1124"/>
      <c r="B32" s="1059"/>
      <c r="C32" s="1130"/>
      <c r="D32" s="1137"/>
      <c r="E32" s="466"/>
      <c r="F32" s="466"/>
      <c r="G32" s="466"/>
      <c r="H32" s="466"/>
      <c r="I32" s="466"/>
      <c r="J32" s="466"/>
      <c r="K32" s="466"/>
      <c r="L32" s="466"/>
      <c r="M32" s="466"/>
      <c r="N32" s="466"/>
    </row>
    <row r="33" spans="1:14" s="664" customFormat="1" ht="6" customHeight="1">
      <c r="A33" s="1136"/>
      <c r="C33" s="1136"/>
      <c r="D33" s="1137"/>
      <c r="E33" s="466"/>
      <c r="F33" s="466"/>
      <c r="G33" s="466"/>
      <c r="H33" s="466"/>
      <c r="I33" s="466"/>
      <c r="J33" s="466"/>
      <c r="K33" s="466"/>
      <c r="L33" s="466"/>
      <c r="M33" s="466"/>
      <c r="N33" s="466"/>
    </row>
    <row r="34" spans="1:14" s="664" customFormat="1" ht="15.75" customHeight="1">
      <c r="A34" s="1139"/>
      <c r="B34" s="1140"/>
      <c r="C34" s="1140"/>
      <c r="D34" s="1140"/>
      <c r="E34" s="1126"/>
      <c r="F34" s="1126"/>
      <c r="G34" s="1126"/>
      <c r="H34" s="1126"/>
      <c r="I34" s="1126"/>
      <c r="J34" s="1126"/>
      <c r="K34" s="1126"/>
      <c r="L34" s="1126"/>
      <c r="M34" s="1126"/>
      <c r="N34" s="1126"/>
    </row>
    <row r="41" ht="12" customHeight="1"/>
  </sheetData>
  <sheetProtection password="92D1" sheet="1" formatRows="0"/>
  <mergeCells count="13">
    <mergeCell ref="A11:K11"/>
    <mergeCell ref="A15:K16"/>
    <mergeCell ref="A26:K26"/>
    <mergeCell ref="A18:K18"/>
    <mergeCell ref="A19:K20"/>
    <mergeCell ref="A22:K22"/>
    <mergeCell ref="A23:K24"/>
    <mergeCell ref="A8:F8"/>
    <mergeCell ref="A10:K10"/>
    <mergeCell ref="A1:J1"/>
    <mergeCell ref="A3:B3"/>
    <mergeCell ref="C3:F3"/>
    <mergeCell ref="C6:F6"/>
  </mergeCells>
  <conditionalFormatting sqref="D29">
    <cfRule type="cellIs" priority="1" dxfId="5" operator="notEqual" stopIfTrue="1">
      <formula>'LFA_Overall Performance_6'!#REF!</formula>
    </cfRule>
  </conditionalFormatting>
  <conditionalFormatting sqref="D31">
    <cfRule type="cellIs" priority="2" dxfId="5" operator="notEqual" stopIfTrue="1">
      <formula>'LFA_Overall Performance_6'!#REF!</formula>
    </cfRule>
  </conditionalFormatting>
  <conditionalFormatting sqref="D33">
    <cfRule type="cellIs" priority="3" dxfId="5" operator="notEqual" stopIfTrue="1">
      <formula>'LFA_Overall Performance_6'!#REF!</formula>
    </cfRule>
  </conditionalFormatting>
  <dataValidations count="2">
    <dataValidation type="list" allowBlank="1" showErrorMessage="1" sqref="B13:B14 H13:H14 C28 C32">
      <formula1>"Select,A1,A2,B1,B2,C"</formula1>
      <formula2>0</formula2>
    </dataValidation>
    <dataValidation type="list" allowBlank="1" showErrorMessage="1" sqref="E13:E14 C30">
      <formula1>"Select,Yes,No"</formula1>
      <formula2>0</formula2>
    </dataValidation>
  </dataValidations>
  <printOptions horizontalCentered="1"/>
  <pageMargins left="0.7479166666666667" right="0.7479166666666667" top="0.5902777777777778" bottom="0.5902777777777777" header="0.5118055555555555" footer="0.5118055555555555"/>
  <pageSetup cellComments="atEnd" fitToHeight="0" fitToWidth="1" horizontalDpi="300" verticalDpi="300" orientation="landscape" paperSize="9" scale="66" r:id="rId1"/>
  <headerFooter alignWithMargins="0">
    <oddFooter>&amp;L&amp;9&amp;F&amp;C&amp;A&amp;R&amp;9Page &amp;P of &amp;N</oddFooter>
  </headerFooter>
</worksheet>
</file>

<file path=xl/worksheets/sheet26.xml><?xml version="1.0" encoding="utf-8"?>
<worksheet xmlns="http://schemas.openxmlformats.org/spreadsheetml/2006/main" xmlns:r="http://schemas.openxmlformats.org/officeDocument/2006/relationships">
  <sheetPr>
    <tabColor indexed="40"/>
    <pageSetUpPr fitToPage="1"/>
  </sheetPr>
  <dimension ref="A1:X65"/>
  <sheetViews>
    <sheetView view="pageBreakPreview" zoomScale="70" zoomScaleNormal="70" zoomScaleSheetLayoutView="70" zoomScalePageLayoutView="0" workbookViewId="0" topLeftCell="A13">
      <selection activeCell="H42" sqref="H42"/>
    </sheetView>
  </sheetViews>
  <sheetFormatPr defaultColWidth="0" defaultRowHeight="12.75"/>
  <cols>
    <col min="1" max="1" width="3.8515625" style="5" customWidth="1"/>
    <col min="2" max="2" width="23.00390625" style="5" customWidth="1"/>
    <col min="3" max="3" width="26.00390625" style="5" customWidth="1"/>
    <col min="4" max="4" width="22.7109375" style="5" customWidth="1"/>
    <col min="5" max="5" width="18.7109375" style="5" customWidth="1"/>
    <col min="6" max="6" width="25.7109375" style="5" customWidth="1"/>
    <col min="7" max="7" width="18.57421875" style="5" customWidth="1"/>
    <col min="8" max="8" width="18.140625" style="5" customWidth="1"/>
    <col min="9" max="9" width="13.421875" style="5" customWidth="1"/>
    <col min="10" max="10" width="34.421875" style="5" customWidth="1"/>
    <col min="11" max="11" width="3.00390625" style="5" customWidth="1"/>
    <col min="12" max="12" width="21.57421875" style="5" customWidth="1"/>
    <col min="13" max="13" width="18.57421875" style="5" customWidth="1"/>
    <col min="14" max="14" width="13.7109375" style="5" customWidth="1"/>
    <col min="15" max="15" width="18.57421875" style="5" customWidth="1"/>
    <col min="16" max="16" width="2.7109375" style="5" customWidth="1"/>
    <col min="17" max="23" width="9.140625" style="5" customWidth="1"/>
    <col min="24" max="24" width="8.7109375" style="5" customWidth="1"/>
    <col min="25" max="16384" width="0" style="5" hidden="1" customWidth="1"/>
  </cols>
  <sheetData>
    <row r="1" spans="1:24" s="2" customFormat="1" ht="25.5" customHeight="1">
      <c r="A1" s="1829" t="s">
        <v>846</v>
      </c>
      <c r="B1" s="1829"/>
      <c r="C1" s="1829"/>
      <c r="D1" s="1829"/>
      <c r="E1" s="1829"/>
      <c r="F1" s="1829"/>
      <c r="G1" s="1829"/>
      <c r="H1" s="1829"/>
      <c r="I1" s="1829"/>
      <c r="J1" s="1829"/>
      <c r="K1" s="5"/>
      <c r="L1" s="5"/>
      <c r="M1" s="5"/>
      <c r="R1" s="107"/>
      <c r="S1" s="145"/>
      <c r="T1" s="145"/>
      <c r="U1" s="145"/>
      <c r="V1" s="145"/>
      <c r="W1" s="145"/>
      <c r="X1" s="145"/>
    </row>
    <row r="2" spans="1:24" s="2" customFormat="1" ht="14.25" customHeight="1">
      <c r="A2" s="5"/>
      <c r="B2" s="5"/>
      <c r="C2" s="5"/>
      <c r="D2" s="5"/>
      <c r="E2" s="5"/>
      <c r="F2" s="5"/>
      <c r="G2" s="5"/>
      <c r="H2" s="628"/>
      <c r="I2" s="119"/>
      <c r="J2" s="5"/>
      <c r="K2" s="5"/>
      <c r="L2" s="5"/>
      <c r="M2" s="5"/>
      <c r="R2" s="107"/>
      <c r="S2" s="145"/>
      <c r="T2" s="145"/>
      <c r="U2" s="145"/>
      <c r="V2" s="145"/>
      <c r="W2" s="145"/>
      <c r="X2" s="145"/>
    </row>
    <row r="3" spans="1:24" s="13" customFormat="1" ht="15" customHeight="1">
      <c r="A3" s="1837" t="s">
        <v>847</v>
      </c>
      <c r="B3" s="1837"/>
      <c r="C3" s="1837"/>
      <c r="D3" s="2014">
        <f>IF('LFA_Programmatic Progress_1A'!C3="","",'LFA_Programmatic Progress_1A'!C3)</f>
      </c>
      <c r="E3" s="2014"/>
      <c r="F3" s="2014"/>
      <c r="G3" s="2014"/>
      <c r="H3" s="696"/>
      <c r="I3" s="16"/>
      <c r="J3" s="16"/>
      <c r="K3" s="697"/>
      <c r="L3" s="16"/>
      <c r="M3" s="16"/>
      <c r="N3" s="16"/>
      <c r="O3" s="16"/>
      <c r="P3" s="16"/>
      <c r="Q3" s="16"/>
      <c r="R3" s="107"/>
      <c r="S3" s="145"/>
      <c r="T3" s="145"/>
      <c r="U3" s="145"/>
      <c r="V3" s="145"/>
      <c r="W3" s="145"/>
      <c r="X3" s="145"/>
    </row>
    <row r="4" spans="1:24" s="13" customFormat="1" ht="27.75" customHeight="1">
      <c r="A4" s="20" t="s">
        <v>848</v>
      </c>
      <c r="B4" s="2"/>
      <c r="C4" s="2"/>
      <c r="D4" s="2"/>
      <c r="E4" s="2"/>
      <c r="F4" s="2"/>
      <c r="G4" s="2"/>
      <c r="H4" s="2"/>
      <c r="I4" s="2"/>
      <c r="J4" s="2"/>
      <c r="K4" s="2"/>
      <c r="L4" s="2"/>
      <c r="M4" s="2"/>
      <c r="N4" s="2"/>
      <c r="O4" s="2"/>
      <c r="P4" s="2"/>
      <c r="Q4" s="2"/>
      <c r="R4" s="2"/>
      <c r="S4" s="5"/>
      <c r="T4" s="5"/>
      <c r="U4" s="5"/>
      <c r="V4" s="5"/>
      <c r="W4" s="5"/>
      <c r="X4" s="5"/>
    </row>
    <row r="5" spans="1:24" s="13" customFormat="1" ht="15" customHeight="1">
      <c r="A5" s="1672" t="s">
        <v>849</v>
      </c>
      <c r="B5" s="1672"/>
      <c r="C5" s="1672"/>
      <c r="D5" s="1839" t="str">
        <f>IF('LFA_Programmatic Progress_1A'!C5="","",'LFA_Programmatic Progress_1A'!C5)</f>
        <v>El Salvador</v>
      </c>
      <c r="E5" s="1839"/>
      <c r="F5" s="1839"/>
      <c r="G5" s="1839"/>
      <c r="H5" s="696"/>
      <c r="I5" s="16"/>
      <c r="J5" s="16"/>
      <c r="K5" s="697"/>
      <c r="L5" s="16"/>
      <c r="M5" s="16"/>
      <c r="N5" s="16"/>
      <c r="O5" s="16"/>
      <c r="P5" s="16"/>
      <c r="Q5" s="16"/>
      <c r="R5" s="107"/>
      <c r="S5" s="145"/>
      <c r="T5" s="145"/>
      <c r="U5" s="145"/>
      <c r="V5" s="145"/>
      <c r="W5" s="145"/>
      <c r="X5" s="145"/>
    </row>
    <row r="6" spans="1:24" s="13" customFormat="1" ht="15" customHeight="1">
      <c r="A6" s="1807" t="s">
        <v>850</v>
      </c>
      <c r="B6" s="1807"/>
      <c r="C6" s="1807"/>
      <c r="D6" s="1841" t="str">
        <f>IF('LFA_Programmatic Progress_1A'!C6="","",'LFA_Programmatic Progress_1A'!C6)</f>
        <v>Tuberculosis</v>
      </c>
      <c r="E6" s="1841"/>
      <c r="F6" s="1841"/>
      <c r="G6" s="1841"/>
      <c r="H6" s="696"/>
      <c r="I6" s="2012"/>
      <c r="J6" s="2012"/>
      <c r="K6" s="2012"/>
      <c r="L6" s="2012"/>
      <c r="M6" s="2012"/>
      <c r="N6" s="16"/>
      <c r="O6" s="16"/>
      <c r="P6" s="16"/>
      <c r="Q6" s="16"/>
      <c r="R6" s="107"/>
      <c r="S6" s="145"/>
      <c r="T6" s="145"/>
      <c r="U6" s="145"/>
      <c r="V6" s="145"/>
      <c r="W6" s="145"/>
      <c r="X6" s="145"/>
    </row>
    <row r="7" spans="1:24" s="13" customFormat="1" ht="27.75" customHeight="1">
      <c r="A7" s="1807" t="s">
        <v>851</v>
      </c>
      <c r="B7" s="1807"/>
      <c r="C7" s="1807"/>
      <c r="D7" s="1843" t="str">
        <f>IF('LFA_Programmatic Progress_1A'!C7="","",'LFA_Programmatic Progress_1A'!C7)</f>
        <v>SLV-910-G08-T</v>
      </c>
      <c r="E7" s="1843"/>
      <c r="F7" s="1843"/>
      <c r="G7" s="1843"/>
      <c r="H7" s="698"/>
      <c r="I7" s="2012"/>
      <c r="J7" s="2012"/>
      <c r="K7" s="2012"/>
      <c r="L7" s="2012"/>
      <c r="M7" s="2012"/>
      <c r="N7" s="16"/>
      <c r="O7" s="16"/>
      <c r="P7" s="16"/>
      <c r="Q7" s="16"/>
      <c r="R7" s="107"/>
      <c r="S7" s="145"/>
      <c r="T7" s="145"/>
      <c r="U7" s="145"/>
      <c r="V7" s="145"/>
      <c r="W7" s="145"/>
      <c r="X7" s="145"/>
    </row>
    <row r="8" spans="1:24" s="13" customFormat="1" ht="15" customHeight="1">
      <c r="A8" s="1807" t="s">
        <v>852</v>
      </c>
      <c r="B8" s="1807"/>
      <c r="C8" s="1807"/>
      <c r="D8" s="1841" t="str">
        <f>IF('LFA_Programmatic Progress_1A'!C8="","",'LFA_Programmatic Progress_1A'!C8)</f>
        <v>Ministerio de Salud </v>
      </c>
      <c r="E8" s="1841"/>
      <c r="F8" s="1841"/>
      <c r="G8" s="1841"/>
      <c r="H8" s="696"/>
      <c r="I8" s="2012"/>
      <c r="J8" s="2012"/>
      <c r="K8" s="2012"/>
      <c r="L8" s="2012"/>
      <c r="M8" s="2012"/>
      <c r="N8" s="16"/>
      <c r="O8" s="16"/>
      <c r="P8" s="16"/>
      <c r="Q8" s="16"/>
      <c r="R8" s="107"/>
      <c r="S8" s="145"/>
      <c r="T8" s="145"/>
      <c r="U8" s="145"/>
      <c r="V8" s="145"/>
      <c r="W8" s="145"/>
      <c r="X8" s="145"/>
    </row>
    <row r="9" spans="1:24" s="13" customFormat="1" ht="15" customHeight="1">
      <c r="A9" s="1807" t="s">
        <v>853</v>
      </c>
      <c r="B9" s="1807"/>
      <c r="C9" s="1807"/>
      <c r="D9" s="1842">
        <f>IF('LFA_Programmatic Progress_1A'!C9="","",'LFA_Programmatic Progress_1A'!C9)</f>
        <v>40360</v>
      </c>
      <c r="E9" s="1842"/>
      <c r="F9" s="1842"/>
      <c r="G9" s="1842"/>
      <c r="H9" s="700"/>
      <c r="I9" s="16"/>
      <c r="J9" s="16"/>
      <c r="K9" s="16"/>
      <c r="L9" s="16"/>
      <c r="M9" s="16"/>
      <c r="N9" s="16"/>
      <c r="O9" s="16"/>
      <c r="P9" s="16"/>
      <c r="Q9" s="16"/>
      <c r="R9" s="107"/>
      <c r="S9" s="145"/>
      <c r="T9" s="145"/>
      <c r="U9" s="145"/>
      <c r="V9" s="145"/>
      <c r="W9" s="145"/>
      <c r="X9" s="145"/>
    </row>
    <row r="10" spans="1:24" s="13" customFormat="1" ht="15" customHeight="1">
      <c r="A10" s="1710" t="s">
        <v>854</v>
      </c>
      <c r="B10" s="1710"/>
      <c r="C10" s="1710"/>
      <c r="D10" s="1763" t="str">
        <f>IF('LFA_Programmatic Progress_1A'!C10="","",'LFA_Programmatic Progress_1A'!C10)</f>
        <v>USD</v>
      </c>
      <c r="E10" s="1763"/>
      <c r="F10" s="1763"/>
      <c r="G10" s="1763"/>
      <c r="H10" s="696"/>
      <c r="I10" s="16"/>
      <c r="J10" s="16"/>
      <c r="K10" s="16"/>
      <c r="L10" s="16"/>
      <c r="M10" s="16"/>
      <c r="N10" s="16"/>
      <c r="O10" s="16"/>
      <c r="P10" s="16"/>
      <c r="Q10" s="16"/>
      <c r="R10" s="107"/>
      <c r="S10" s="145"/>
      <c r="T10" s="145"/>
      <c r="U10" s="145"/>
      <c r="V10" s="145"/>
      <c r="W10" s="145"/>
      <c r="X10" s="145"/>
    </row>
    <row r="11" spans="1:24" s="13" customFormat="1" ht="27" customHeight="1">
      <c r="A11" s="72" t="s">
        <v>855</v>
      </c>
      <c r="B11" s="2"/>
      <c r="C11" s="2"/>
      <c r="D11" s="2"/>
      <c r="E11" s="2"/>
      <c r="F11" s="2"/>
      <c r="G11" s="2"/>
      <c r="H11" s="2"/>
      <c r="I11" s="72" t="s">
        <v>649</v>
      </c>
      <c r="J11" s="2"/>
      <c r="K11" s="2"/>
      <c r="L11" s="2"/>
      <c r="M11" s="2"/>
      <c r="N11" s="2"/>
      <c r="O11" s="2"/>
      <c r="P11" s="2"/>
      <c r="Q11" s="2"/>
      <c r="R11" s="2"/>
      <c r="S11" s="5"/>
      <c r="T11" s="5"/>
      <c r="U11" s="5"/>
      <c r="V11" s="5"/>
      <c r="W11" s="5"/>
      <c r="X11" s="5"/>
    </row>
    <row r="12" spans="1:24" s="13" customFormat="1" ht="15" customHeight="1">
      <c r="A12" s="2013" t="s">
        <v>856</v>
      </c>
      <c r="B12" s="2013"/>
      <c r="C12" s="2013"/>
      <c r="D12" s="92" t="s">
        <v>857</v>
      </c>
      <c r="E12" s="1141" t="str">
        <f>IF('LFA_Programmatic Progress_1A'!D12="Select","",'LFA_Programmatic Progress_1A'!D12)</f>
        <v>Semestral</v>
      </c>
      <c r="F12" s="702" t="s">
        <v>858</v>
      </c>
      <c r="G12" s="703">
        <f>IF('LFA_Programmatic Progress_1A'!F12="Select","",'LFA_Programmatic Progress_1A'!F12)</f>
        <v>10</v>
      </c>
      <c r="H12" s="696"/>
      <c r="I12" s="2013" t="s">
        <v>862</v>
      </c>
      <c r="J12" s="2013"/>
      <c r="K12" s="2013"/>
      <c r="L12" s="92" t="s">
        <v>857</v>
      </c>
      <c r="M12" s="1141" t="str">
        <f>IF('LFA_Programmatic Progress_1A'!D16="Select","",'LFA_Programmatic Progress_1A'!D16)</f>
        <v>Seleccionar</v>
      </c>
      <c r="N12" s="702" t="s">
        <v>858</v>
      </c>
      <c r="O12" s="703">
        <f>IF('LFA_Programmatic Progress_1A'!F16="Select","",'LFA_Programmatic Progress_1A'!F16)</f>
        <v>0</v>
      </c>
      <c r="P12" s="16"/>
      <c r="Q12" s="16"/>
      <c r="R12" s="107"/>
      <c r="S12" s="145"/>
      <c r="T12" s="145"/>
      <c r="U12" s="145"/>
      <c r="V12" s="145"/>
      <c r="W12" s="145"/>
      <c r="X12" s="145"/>
    </row>
    <row r="13" spans="1:24" s="13" customFormat="1" ht="15" customHeight="1">
      <c r="A13" s="1929" t="s">
        <v>859</v>
      </c>
      <c r="B13" s="1929"/>
      <c r="C13" s="1929"/>
      <c r="D13" s="96" t="s">
        <v>860</v>
      </c>
      <c r="E13" s="704">
        <f>IF('LFA_Programmatic Progress_1A'!D13="Select","",'LFA_Programmatic Progress_1A'!D13)</f>
        <v>42005</v>
      </c>
      <c r="F13" s="93" t="s">
        <v>542</v>
      </c>
      <c r="G13" s="699">
        <f>IF('LFA_Programmatic Progress_1A'!F13="Select","",'LFA_Programmatic Progress_1A'!F13)</f>
        <v>42185</v>
      </c>
      <c r="H13" s="700"/>
      <c r="I13" s="1929" t="s">
        <v>863</v>
      </c>
      <c r="J13" s="1929"/>
      <c r="K13" s="1929"/>
      <c r="L13" s="96" t="s">
        <v>860</v>
      </c>
      <c r="M13" s="704">
        <f>IF('LFA_Programmatic Progress_1A'!D17="Select","",'LFA_Programmatic Progress_1A'!D17)</f>
      </c>
      <c r="N13" s="93" t="s">
        <v>542</v>
      </c>
      <c r="O13" s="699">
        <f>IF('LFA_Programmatic Progress_1A'!F17="Select","",'LFA_Programmatic Progress_1A'!F17)</f>
      </c>
      <c r="P13" s="16"/>
      <c r="Q13" s="16"/>
      <c r="R13" s="107"/>
      <c r="S13" s="145"/>
      <c r="T13" s="145"/>
      <c r="U13" s="145"/>
      <c r="V13" s="145"/>
      <c r="W13" s="145"/>
      <c r="X13" s="145"/>
    </row>
    <row r="14" spans="1:24" s="13" customFormat="1" ht="15" customHeight="1">
      <c r="A14" s="1930" t="s">
        <v>861</v>
      </c>
      <c r="B14" s="1930"/>
      <c r="C14" s="1930"/>
      <c r="D14" s="2018">
        <f>IF('LFA_Programmatic Progress_1A'!C14="Select","",'LFA_Programmatic Progress_1A'!C14)</f>
        <v>10</v>
      </c>
      <c r="E14" s="2018"/>
      <c r="F14" s="2018"/>
      <c r="G14" s="2018"/>
      <c r="H14" s="696"/>
      <c r="I14" s="1930" t="s">
        <v>864</v>
      </c>
      <c r="J14" s="1930"/>
      <c r="K14" s="1930"/>
      <c r="L14" s="1763">
        <f>IF('LFA_Programmatic Progress_1A'!C18="Select","",'LFA_Programmatic Progress_1A'!C18)</f>
        <v>0</v>
      </c>
      <c r="M14" s="1763"/>
      <c r="N14" s="1763"/>
      <c r="O14" s="1763"/>
      <c r="P14" s="16"/>
      <c r="Q14" s="16"/>
      <c r="R14" s="107"/>
      <c r="S14" s="145"/>
      <c r="T14" s="145"/>
      <c r="U14" s="145"/>
      <c r="V14" s="145"/>
      <c r="W14" s="145"/>
      <c r="X14" s="145"/>
    </row>
    <row r="15" spans="1:24" s="2" customFormat="1" ht="21" customHeight="1">
      <c r="A15" s="816"/>
      <c r="B15" s="816"/>
      <c r="C15" s="816"/>
      <c r="D15" s="816"/>
      <c r="E15" s="816"/>
      <c r="F15" s="816"/>
      <c r="G15" s="816"/>
      <c r="H15" s="816"/>
      <c r="I15" s="816"/>
      <c r="J15" s="5"/>
      <c r="K15" s="5"/>
      <c r="L15" s="5"/>
      <c r="R15" s="107"/>
      <c r="S15" s="145"/>
      <c r="T15" s="145"/>
      <c r="U15" s="145"/>
      <c r="V15" s="145"/>
      <c r="W15" s="145"/>
      <c r="X15" s="145"/>
    </row>
    <row r="16" spans="1:24" s="2" customFormat="1" ht="28.5" customHeight="1">
      <c r="A16" s="416" t="s">
        <v>1113</v>
      </c>
      <c r="B16" s="628"/>
      <c r="C16" s="628"/>
      <c r="D16" s="628"/>
      <c r="E16" s="816"/>
      <c r="F16" s="816"/>
      <c r="G16" s="816"/>
      <c r="H16" s="816"/>
      <c r="I16" s="816"/>
      <c r="J16" s="5"/>
      <c r="R16" s="107"/>
      <c r="S16" s="145"/>
      <c r="T16" s="145"/>
      <c r="U16" s="145"/>
      <c r="V16" s="145"/>
      <c r="W16" s="145"/>
      <c r="X16" s="145"/>
    </row>
    <row r="17" spans="1:24" s="2" customFormat="1" ht="27.75" customHeight="1">
      <c r="A17" s="1812" t="s">
        <v>1114</v>
      </c>
      <c r="B17" s="1812"/>
      <c r="C17" s="1812"/>
      <c r="D17" s="1812"/>
      <c r="E17" s="1812"/>
      <c r="F17" s="1812"/>
      <c r="G17" s="1812"/>
      <c r="H17" s="1812"/>
      <c r="I17" s="1812"/>
      <c r="J17" s="1812"/>
      <c r="K17" s="1812"/>
      <c r="L17" s="1812"/>
      <c r="M17" s="1812"/>
      <c r="N17" s="1812"/>
      <c r="O17" s="1812"/>
      <c r="P17" s="1812"/>
      <c r="R17" s="107"/>
      <c r="S17" s="145"/>
      <c r="T17" s="145"/>
      <c r="U17" s="145"/>
      <c r="V17" s="145"/>
      <c r="W17" s="145"/>
      <c r="X17" s="145"/>
    </row>
    <row r="18" spans="1:24" s="2" customFormat="1" ht="12.75" customHeight="1">
      <c r="A18" s="115"/>
      <c r="B18" s="115"/>
      <c r="C18" s="115"/>
      <c r="D18" s="115"/>
      <c r="E18" s="115"/>
      <c r="F18" s="115"/>
      <c r="G18" s="115"/>
      <c r="H18" s="115"/>
      <c r="I18" s="115"/>
      <c r="J18" s="115"/>
      <c r="K18" s="115"/>
      <c r="L18" s="115"/>
      <c r="M18" s="115"/>
      <c r="N18" s="115"/>
      <c r="O18" s="115"/>
      <c r="P18" s="115"/>
      <c r="R18" s="107"/>
      <c r="S18" s="145"/>
      <c r="T18" s="145"/>
      <c r="U18" s="145"/>
      <c r="V18" s="145"/>
      <c r="W18" s="145"/>
      <c r="X18" s="145"/>
    </row>
    <row r="19" spans="1:24" s="2" customFormat="1" ht="27.75" customHeight="1">
      <c r="A19" s="115"/>
      <c r="B19" s="1142" t="s">
        <v>1115</v>
      </c>
      <c r="C19" s="1143" t="str">
        <f>'LFA_Overall Performance_6'!H13</f>
        <v>Select</v>
      </c>
      <c r="D19" s="1144"/>
      <c r="E19" s="115"/>
      <c r="F19" s="115"/>
      <c r="G19" s="115"/>
      <c r="H19" s="115"/>
      <c r="I19" s="115"/>
      <c r="J19" s="115"/>
      <c r="K19" s="115"/>
      <c r="L19" s="115"/>
      <c r="M19" s="115"/>
      <c r="N19" s="115"/>
      <c r="O19" s="115"/>
      <c r="P19" s="115"/>
      <c r="R19" s="107"/>
      <c r="S19" s="145"/>
      <c r="T19" s="145"/>
      <c r="U19" s="145"/>
      <c r="V19" s="145"/>
      <c r="W19" s="145"/>
      <c r="X19" s="145"/>
    </row>
    <row r="20" spans="1:24" s="2" customFormat="1" ht="27.75" customHeight="1">
      <c r="A20" s="115"/>
      <c r="B20" s="115"/>
      <c r="C20" s="115"/>
      <c r="D20" s="115"/>
      <c r="E20" s="115"/>
      <c r="F20" s="115"/>
      <c r="G20" s="115"/>
      <c r="H20" s="115"/>
      <c r="I20" s="115"/>
      <c r="J20" s="115"/>
      <c r="K20" s="115"/>
      <c r="L20" s="115"/>
      <c r="M20" s="115"/>
      <c r="N20" s="115"/>
      <c r="O20" s="115"/>
      <c r="P20" s="115"/>
      <c r="R20" s="107"/>
      <c r="S20" s="145"/>
      <c r="T20" s="145"/>
      <c r="U20" s="145"/>
      <c r="V20" s="145"/>
      <c r="W20" s="145"/>
      <c r="X20" s="145"/>
    </row>
    <row r="21" spans="1:24" s="2" customFormat="1" ht="24" customHeight="1">
      <c r="A21" s="1145" t="s">
        <v>1116</v>
      </c>
      <c r="B21" s="115"/>
      <c r="C21" s="115"/>
      <c r="D21" s="115"/>
      <c r="E21" s="115"/>
      <c r="F21" s="115"/>
      <c r="G21" s="115"/>
      <c r="H21" s="115"/>
      <c r="I21" s="115"/>
      <c r="J21" s="115"/>
      <c r="R21" s="107"/>
      <c r="S21" s="145"/>
      <c r="T21" s="145"/>
      <c r="U21" s="145"/>
      <c r="V21" s="145"/>
      <c r="W21" s="145"/>
      <c r="X21" s="145"/>
    </row>
    <row r="22" spans="1:24" s="2" customFormat="1" ht="18">
      <c r="A22" s="2017" t="s">
        <v>1117</v>
      </c>
      <c r="B22" s="2017"/>
      <c r="C22" s="2017"/>
      <c r="D22" s="2017" t="s">
        <v>1118</v>
      </c>
      <c r="E22" s="2017"/>
      <c r="F22" s="2017"/>
      <c r="G22" s="2017"/>
      <c r="H22" s="2017"/>
      <c r="I22" s="2017"/>
      <c r="J22" s="115"/>
      <c r="R22" s="107"/>
      <c r="S22" s="145"/>
      <c r="T22" s="145"/>
      <c r="U22" s="145"/>
      <c r="V22" s="145"/>
      <c r="W22" s="145"/>
      <c r="X22" s="145"/>
    </row>
    <row r="23" spans="1:24" s="2" customFormat="1" ht="18">
      <c r="A23" s="1146" t="s">
        <v>1119</v>
      </c>
      <c r="B23" s="1147" t="s">
        <v>1120</v>
      </c>
      <c r="C23" s="1148"/>
      <c r="D23" s="2015" t="s">
        <v>1121</v>
      </c>
      <c r="E23" s="2015"/>
      <c r="F23" s="2015"/>
      <c r="G23" s="2015"/>
      <c r="H23" s="2015"/>
      <c r="I23" s="2015"/>
      <c r="J23" s="115"/>
      <c r="R23" s="107"/>
      <c r="S23" s="145"/>
      <c r="T23" s="145"/>
      <c r="U23" s="145"/>
      <c r="V23" s="145"/>
      <c r="W23" s="145"/>
      <c r="X23" s="145"/>
    </row>
    <row r="24" spans="1:24" s="2" customFormat="1" ht="18">
      <c r="A24" s="1149" t="s">
        <v>1122</v>
      </c>
      <c r="B24" s="1147" t="s">
        <v>1123</v>
      </c>
      <c r="C24" s="1148"/>
      <c r="D24" s="2015" t="s">
        <v>1124</v>
      </c>
      <c r="E24" s="2015"/>
      <c r="F24" s="2015"/>
      <c r="G24" s="2015"/>
      <c r="H24" s="2015"/>
      <c r="I24" s="2015"/>
      <c r="J24" s="115"/>
      <c r="R24" s="107"/>
      <c r="S24" s="145"/>
      <c r="T24" s="145"/>
      <c r="U24" s="145"/>
      <c r="V24" s="145"/>
      <c r="W24" s="145"/>
      <c r="X24" s="145"/>
    </row>
    <row r="25" spans="1:24" s="2" customFormat="1" ht="18">
      <c r="A25" s="1150" t="s">
        <v>1125</v>
      </c>
      <c r="B25" s="1147" t="s">
        <v>1126</v>
      </c>
      <c r="C25" s="1148"/>
      <c r="D25" s="2015" t="s">
        <v>1127</v>
      </c>
      <c r="E25" s="2015"/>
      <c r="F25" s="2015"/>
      <c r="G25" s="2015"/>
      <c r="H25" s="2015"/>
      <c r="I25" s="2015"/>
      <c r="J25" s="115"/>
      <c r="R25" s="107"/>
      <c r="S25" s="145"/>
      <c r="T25" s="145"/>
      <c r="U25" s="145"/>
      <c r="V25" s="145"/>
      <c r="W25" s="145"/>
      <c r="X25" s="145"/>
    </row>
    <row r="26" spans="1:24" s="2" customFormat="1" ht="18">
      <c r="A26" s="1151" t="s">
        <v>1128</v>
      </c>
      <c r="B26" s="1147" t="s">
        <v>1129</v>
      </c>
      <c r="C26" s="1148"/>
      <c r="D26" s="2015" t="s">
        <v>1130</v>
      </c>
      <c r="E26" s="2015"/>
      <c r="F26" s="2015"/>
      <c r="G26" s="2015"/>
      <c r="H26" s="2015"/>
      <c r="I26" s="2015"/>
      <c r="J26" s="115"/>
      <c r="R26" s="107"/>
      <c r="S26" s="145"/>
      <c r="T26" s="145"/>
      <c r="U26" s="145"/>
      <c r="V26" s="145"/>
      <c r="W26" s="145"/>
      <c r="X26" s="145"/>
    </row>
    <row r="27" spans="1:24" s="2" customFormat="1" ht="18">
      <c r="A27" s="1152" t="s">
        <v>1131</v>
      </c>
      <c r="B27" s="1147" t="s">
        <v>1132</v>
      </c>
      <c r="C27" s="1148"/>
      <c r="D27" s="2015" t="s">
        <v>1133</v>
      </c>
      <c r="E27" s="2015"/>
      <c r="F27" s="2015"/>
      <c r="G27" s="2015"/>
      <c r="H27" s="2015"/>
      <c r="I27" s="2015"/>
      <c r="J27" s="115"/>
      <c r="R27" s="107"/>
      <c r="S27" s="145"/>
      <c r="T27" s="145"/>
      <c r="U27" s="145"/>
      <c r="V27" s="145"/>
      <c r="W27" s="145"/>
      <c r="X27" s="145"/>
    </row>
    <row r="28" spans="1:24" s="2" customFormat="1" ht="18">
      <c r="A28" s="579"/>
      <c r="B28" s="1153"/>
      <c r="C28" s="1154"/>
      <c r="D28" s="1155"/>
      <c r="E28" s="1155"/>
      <c r="F28" s="1155"/>
      <c r="G28" s="1155"/>
      <c r="H28" s="1156"/>
      <c r="I28" s="1155"/>
      <c r="J28" s="115"/>
      <c r="R28" s="107"/>
      <c r="S28" s="145"/>
      <c r="T28" s="145"/>
      <c r="U28" s="145"/>
      <c r="V28" s="145"/>
      <c r="W28" s="145"/>
      <c r="X28" s="145"/>
    </row>
    <row r="29" spans="1:24" s="2" customFormat="1" ht="31.5" customHeight="1">
      <c r="A29" s="2016" t="str">
        <f>"1.  Cash amount requested by the Principal Recipient from the Global Fund for next disbursement period plus one additional quarter (amount in: "&amp;IF(D10="","please select currency in 'PR_Section 1A')",D10&amp;"):")</f>
        <v>1.  Cash amount requested by the Principal Recipient from the Global Fund for next disbursement period plus one additional quarter (amount in: USD):</v>
      </c>
      <c r="B29" s="2016"/>
      <c r="C29" s="2016"/>
      <c r="D29" s="2016"/>
      <c r="E29" s="2016"/>
      <c r="F29" s="2016"/>
      <c r="G29" s="2016"/>
      <c r="H29" s="1157">
        <f>+'PR_Cash Request_7A&amp;B'!D23</f>
        <v>0</v>
      </c>
      <c r="J29" s="1158">
        <f>+IF('PR_Cash Request_7A&amp;B'!D25="","",'PR_Cash Request_7A&amp;B'!D25)</f>
        <v>0</v>
      </c>
      <c r="R29" s="107"/>
      <c r="S29" s="145"/>
      <c r="T29" s="145"/>
      <c r="U29" s="145"/>
      <c r="V29" s="145"/>
      <c r="W29" s="145"/>
      <c r="X29" s="145"/>
    </row>
    <row r="30" spans="1:24" s="2" customFormat="1" ht="14.25" customHeight="1">
      <c r="A30" s="1136"/>
      <c r="B30" s="1136"/>
      <c r="C30" s="1136"/>
      <c r="D30" s="1136"/>
      <c r="E30" s="1136"/>
      <c r="F30" s="1136"/>
      <c r="G30" s="1136"/>
      <c r="H30" s="1159"/>
      <c r="J30" s="1160"/>
      <c r="R30" s="107"/>
      <c r="S30" s="145"/>
      <c r="T30" s="145"/>
      <c r="U30" s="145"/>
      <c r="V30" s="145"/>
      <c r="W30" s="145"/>
      <c r="X30" s="145"/>
    </row>
    <row r="31" spans="1:24" s="2" customFormat="1" ht="37.5" customHeight="1">
      <c r="A31" s="2016" t="str">
        <f>"2.  LFA disbursement recommendation (amount in: "&amp;IF(D10="","please select currency in 'PR_Section1A')",D10&amp;"):")</f>
        <v>2.  LFA disbursement recommendation (amount in: USD):</v>
      </c>
      <c r="B31" s="2016"/>
      <c r="C31" s="2016"/>
      <c r="D31" s="2016"/>
      <c r="E31" s="2016"/>
      <c r="F31" s="2016"/>
      <c r="G31" s="2016"/>
      <c r="H31" s="1157">
        <f>'LFA_Disbursement Recommend_5B'!K44</f>
        <v>0</v>
      </c>
      <c r="J31" s="1161"/>
      <c r="R31" s="107"/>
      <c r="S31" s="145"/>
      <c r="T31" s="145"/>
      <c r="U31" s="145"/>
      <c r="V31" s="145"/>
      <c r="W31" s="145"/>
      <c r="X31" s="145"/>
    </row>
    <row r="32" spans="1:24" s="2" customFormat="1" ht="14.25">
      <c r="A32" s="1162"/>
      <c r="B32" s="1162"/>
      <c r="C32" s="1162"/>
      <c r="D32" s="1162"/>
      <c r="E32" s="1162"/>
      <c r="F32" s="1162"/>
      <c r="G32" s="1162"/>
      <c r="H32" s="1162"/>
      <c r="I32" s="1162"/>
      <c r="J32" s="2" t="s">
        <v>1134</v>
      </c>
      <c r="R32" s="107"/>
      <c r="S32" s="145"/>
      <c r="T32" s="145"/>
      <c r="U32" s="145"/>
      <c r="V32" s="145"/>
      <c r="W32" s="145"/>
      <c r="X32" s="145"/>
    </row>
    <row r="33" spans="1:24" s="2" customFormat="1" ht="60" customHeight="1">
      <c r="A33" s="2022" t="s">
        <v>1135</v>
      </c>
      <c r="B33" s="2022"/>
      <c r="D33" s="1163" t="s">
        <v>1136</v>
      </c>
      <c r="E33" s="1162"/>
      <c r="F33" s="1163" t="s">
        <v>1137</v>
      </c>
      <c r="G33" s="1162"/>
      <c r="H33" s="1164" t="s">
        <v>1138</v>
      </c>
      <c r="I33" s="1162"/>
      <c r="J33" s="1162" t="s">
        <v>1139</v>
      </c>
      <c r="R33" s="107"/>
      <c r="S33" s="145"/>
      <c r="T33" s="145"/>
      <c r="U33" s="145"/>
      <c r="V33" s="145"/>
      <c r="W33" s="145"/>
      <c r="X33" s="145"/>
    </row>
    <row r="34" spans="1:24" s="2" customFormat="1" ht="46.5" customHeight="1">
      <c r="A34" s="1163"/>
      <c r="B34" s="1165">
        <f>'LFA_Total PR Cash Outflow_3A'!H13+'LFA_Disbursement Recommend_5B'!M18+'LFA_Disbursement Recommend_5B'!M22+'LFA_Disbursement Recommend_5B'!M28</f>
        <v>4607116.54</v>
      </c>
      <c r="C34" s="1162"/>
      <c r="D34" s="1166"/>
      <c r="E34" s="1162"/>
      <c r="F34" s="1165">
        <f>H31+D34</f>
        <v>0</v>
      </c>
      <c r="G34" s="1162"/>
      <c r="H34" s="1167">
        <f>IF(B34=0,"",F34/B34)</f>
        <v>0</v>
      </c>
      <c r="I34" s="1162"/>
      <c r="J34" s="1168" t="s">
        <v>198</v>
      </c>
      <c r="R34" s="107"/>
      <c r="S34" s="145"/>
      <c r="T34" s="145"/>
      <c r="U34" s="145"/>
      <c r="V34" s="145"/>
      <c r="W34" s="145"/>
      <c r="X34" s="145"/>
    </row>
    <row r="35" spans="1:24" s="106" customFormat="1" ht="27" customHeight="1">
      <c r="A35" s="466" t="s">
        <v>1140</v>
      </c>
      <c r="B35" s="466"/>
      <c r="C35" s="466"/>
      <c r="D35" s="466"/>
      <c r="E35" s="466"/>
      <c r="F35" s="466"/>
      <c r="G35" s="466"/>
      <c r="H35" s="1169"/>
      <c r="I35" s="1162"/>
      <c r="R35" s="116"/>
      <c r="S35" s="449"/>
      <c r="T35" s="449"/>
      <c r="U35" s="449"/>
      <c r="V35" s="449"/>
      <c r="W35" s="449"/>
      <c r="X35" s="449"/>
    </row>
    <row r="36" spans="1:24" s="2" customFormat="1" ht="14.25">
      <c r="A36" s="1162"/>
      <c r="B36" s="1162"/>
      <c r="C36" s="1162"/>
      <c r="D36" s="1162"/>
      <c r="E36" s="1162"/>
      <c r="F36" s="1162"/>
      <c r="G36" s="1162"/>
      <c r="H36" s="1162"/>
      <c r="I36" s="1162"/>
      <c r="R36" s="107"/>
      <c r="S36" s="145"/>
      <c r="T36" s="145"/>
      <c r="U36" s="145"/>
      <c r="V36" s="145"/>
      <c r="W36" s="145"/>
      <c r="X36" s="145"/>
    </row>
    <row r="37" spans="1:24" s="357" customFormat="1" ht="14.25">
      <c r="A37" s="2023" t="s">
        <v>1141</v>
      </c>
      <c r="B37" s="2023"/>
      <c r="C37" s="2023"/>
      <c r="D37" s="2023"/>
      <c r="E37" s="2023"/>
      <c r="F37" s="2023"/>
      <c r="G37" s="2023"/>
      <c r="H37" s="5"/>
      <c r="I37" s="5"/>
      <c r="J37" s="2"/>
      <c r="K37" s="107"/>
      <c r="L37" s="107"/>
      <c r="M37" s="107"/>
      <c r="N37" s="107"/>
      <c r="O37" s="107"/>
      <c r="P37" s="107"/>
      <c r="Q37" s="107"/>
      <c r="R37" s="107"/>
      <c r="S37" s="145"/>
      <c r="T37" s="145"/>
      <c r="U37" s="145"/>
      <c r="V37" s="145"/>
      <c r="W37" s="145"/>
      <c r="X37" s="145"/>
    </row>
    <row r="38" spans="1:24" s="666" customFormat="1" ht="22.5" customHeight="1">
      <c r="A38" s="2030"/>
      <c r="B38" s="2030"/>
      <c r="C38" s="2030"/>
      <c r="D38" s="2030"/>
      <c r="E38" s="2030"/>
      <c r="F38" s="2030"/>
      <c r="G38" s="2030"/>
      <c r="H38" s="2030"/>
      <c r="I38" s="2030"/>
      <c r="J38" s="2030"/>
      <c r="S38" s="664"/>
      <c r="T38" s="664"/>
      <c r="U38" s="664"/>
      <c r="V38" s="664"/>
      <c r="W38" s="664"/>
      <c r="X38" s="664"/>
    </row>
    <row r="39" spans="1:24" s="666" customFormat="1" ht="54.75" customHeight="1">
      <c r="A39" s="2030"/>
      <c r="B39" s="2030"/>
      <c r="C39" s="2030"/>
      <c r="D39" s="2030"/>
      <c r="E39" s="2030"/>
      <c r="F39" s="2030"/>
      <c r="G39" s="2030"/>
      <c r="H39" s="2030"/>
      <c r="I39" s="2030"/>
      <c r="J39" s="2030"/>
      <c r="S39" s="664"/>
      <c r="T39" s="664"/>
      <c r="U39" s="664"/>
      <c r="V39" s="664"/>
      <c r="W39" s="664"/>
      <c r="X39" s="664"/>
    </row>
    <row r="40" spans="1:24" s="666" customFormat="1" ht="31.5" customHeight="1">
      <c r="A40" s="2"/>
      <c r="B40" s="2"/>
      <c r="C40" s="2"/>
      <c r="D40" s="2"/>
      <c r="E40" s="2"/>
      <c r="F40" s="2"/>
      <c r="G40" s="2"/>
      <c r="H40" s="2"/>
      <c r="I40" s="2"/>
      <c r="J40" s="2"/>
      <c r="S40" s="664"/>
      <c r="T40" s="664"/>
      <c r="U40" s="664"/>
      <c r="V40" s="664"/>
      <c r="W40" s="664"/>
      <c r="X40" s="664"/>
    </row>
    <row r="41" spans="1:24" s="666" customFormat="1" ht="31.5" customHeight="1">
      <c r="A41" s="1812" t="s">
        <v>1142</v>
      </c>
      <c r="B41" s="1812"/>
      <c r="C41" s="1812"/>
      <c r="D41" s="1812"/>
      <c r="E41" s="1812"/>
      <c r="F41" s="1812"/>
      <c r="G41" s="1812"/>
      <c r="H41" s="1812"/>
      <c r="I41" s="1812"/>
      <c r="J41" s="1812"/>
      <c r="K41" s="1812"/>
      <c r="L41" s="1812"/>
      <c r="M41" s="1812"/>
      <c r="N41" s="1812"/>
      <c r="O41" s="1812"/>
      <c r="P41" s="1812"/>
      <c r="S41" s="664"/>
      <c r="T41" s="664"/>
      <c r="U41" s="664"/>
      <c r="V41" s="664"/>
      <c r="W41" s="664"/>
      <c r="X41" s="664"/>
    </row>
    <row r="42" spans="1:24" s="666" customFormat="1" ht="41.25" customHeight="1">
      <c r="A42" s="75" t="s">
        <v>1143</v>
      </c>
      <c r="J42" s="1170" t="s">
        <v>1144</v>
      </c>
      <c r="S42" s="664"/>
      <c r="T42" s="664"/>
      <c r="U42" s="664"/>
      <c r="V42" s="664"/>
      <c r="W42" s="664"/>
      <c r="X42" s="664"/>
    </row>
    <row r="43" spans="2:24" s="666" customFormat="1" ht="36" customHeight="1">
      <c r="B43" s="1171" t="s">
        <v>198</v>
      </c>
      <c r="C43" s="875" t="s">
        <v>1145</v>
      </c>
      <c r="I43" s="857"/>
      <c r="J43" s="2021"/>
      <c r="K43" s="2021"/>
      <c r="L43" s="2021"/>
      <c r="M43" s="2021"/>
      <c r="S43" s="664"/>
      <c r="T43" s="664"/>
      <c r="U43" s="664"/>
      <c r="V43" s="664"/>
      <c r="W43" s="664"/>
      <c r="X43" s="664"/>
    </row>
    <row r="44" spans="2:24" s="666" customFormat="1" ht="30.75" customHeight="1">
      <c r="B44" s="1171" t="s">
        <v>198</v>
      </c>
      <c r="C44" s="875" t="s">
        <v>1146</v>
      </c>
      <c r="I44" s="857"/>
      <c r="J44" s="2021"/>
      <c r="K44" s="2021"/>
      <c r="L44" s="2021"/>
      <c r="M44" s="2021"/>
      <c r="S44" s="664"/>
      <c r="T44" s="664"/>
      <c r="U44" s="664"/>
      <c r="V44" s="664"/>
      <c r="W44" s="664"/>
      <c r="X44" s="664"/>
    </row>
    <row r="45" spans="2:24" s="666" customFormat="1" ht="40.5" customHeight="1">
      <c r="B45" s="1171" t="s">
        <v>198</v>
      </c>
      <c r="C45" s="2019" t="s">
        <v>1147</v>
      </c>
      <c r="D45" s="2019"/>
      <c r="E45" s="2019"/>
      <c r="F45" s="2019"/>
      <c r="G45" s="2019"/>
      <c r="H45" s="2019"/>
      <c r="I45" s="857"/>
      <c r="J45" s="2021"/>
      <c r="K45" s="2021"/>
      <c r="L45" s="2021"/>
      <c r="M45" s="2021"/>
      <c r="S45" s="664"/>
      <c r="T45" s="664"/>
      <c r="U45" s="664"/>
      <c r="V45" s="664"/>
      <c r="W45" s="664"/>
      <c r="X45" s="664"/>
    </row>
    <row r="46" spans="2:24" s="666" customFormat="1" ht="42" customHeight="1">
      <c r="B46" s="1171" t="s">
        <v>198</v>
      </c>
      <c r="C46" s="2019" t="s">
        <v>1148</v>
      </c>
      <c r="D46" s="2019"/>
      <c r="E46" s="2019"/>
      <c r="F46" s="2019"/>
      <c r="G46" s="2019"/>
      <c r="H46" s="2019"/>
      <c r="J46" s="2020"/>
      <c r="K46" s="2020"/>
      <c r="L46" s="2020"/>
      <c r="M46" s="2020"/>
      <c r="S46" s="664"/>
      <c r="T46" s="664"/>
      <c r="U46" s="664"/>
      <c r="V46" s="664"/>
      <c r="W46" s="664"/>
      <c r="X46" s="664"/>
    </row>
    <row r="47" spans="2:24" s="666" customFormat="1" ht="30.75" customHeight="1">
      <c r="B47" s="1171" t="s">
        <v>198</v>
      </c>
      <c r="C47" s="875" t="s">
        <v>1149</v>
      </c>
      <c r="I47" s="857"/>
      <c r="J47" s="2020"/>
      <c r="K47" s="2020"/>
      <c r="L47" s="2020"/>
      <c r="M47" s="2020"/>
      <c r="S47" s="664"/>
      <c r="T47" s="664"/>
      <c r="U47" s="664"/>
      <c r="V47" s="664"/>
      <c r="W47" s="664"/>
      <c r="X47" s="664"/>
    </row>
    <row r="48" spans="2:24" s="666" customFormat="1" ht="32.25" customHeight="1">
      <c r="B48" s="1171" t="s">
        <v>198</v>
      </c>
      <c r="C48" s="1172" t="s">
        <v>1150</v>
      </c>
      <c r="D48" s="1172"/>
      <c r="E48" s="1172"/>
      <c r="F48" s="1172"/>
      <c r="G48" s="1172"/>
      <c r="H48" s="1172"/>
      <c r="I48" s="1173"/>
      <c r="J48" s="2021"/>
      <c r="K48" s="2021"/>
      <c r="L48" s="2021"/>
      <c r="M48" s="2021"/>
      <c r="S48" s="664"/>
      <c r="T48" s="664"/>
      <c r="U48" s="664"/>
      <c r="V48" s="664"/>
      <c r="W48" s="664"/>
      <c r="X48" s="664"/>
    </row>
    <row r="49" spans="2:24" s="666" customFormat="1" ht="32.25" customHeight="1">
      <c r="B49" s="1171" t="s">
        <v>198</v>
      </c>
      <c r="C49" s="1101" t="s">
        <v>1151</v>
      </c>
      <c r="D49" s="1024"/>
      <c r="E49" s="1024"/>
      <c r="F49" s="1024"/>
      <c r="G49" s="1024"/>
      <c r="H49" s="1024"/>
      <c r="I49" s="1024"/>
      <c r="J49" s="2020"/>
      <c r="K49" s="2020"/>
      <c r="L49" s="2020"/>
      <c r="M49" s="2020"/>
      <c r="S49" s="664"/>
      <c r="T49" s="664"/>
      <c r="U49" s="664"/>
      <c r="V49" s="664"/>
      <c r="W49" s="664"/>
      <c r="X49" s="664"/>
    </row>
    <row r="50" spans="1:24" s="2" customFormat="1" ht="38.25" customHeight="1">
      <c r="A50" s="666"/>
      <c r="B50" s="1171" t="s">
        <v>198</v>
      </c>
      <c r="C50" s="875" t="s">
        <v>206</v>
      </c>
      <c r="D50" s="666"/>
      <c r="E50" s="666"/>
      <c r="F50" s="666"/>
      <c r="G50" s="666"/>
      <c r="H50" s="666"/>
      <c r="I50" s="857"/>
      <c r="J50" s="2021"/>
      <c r="K50" s="2021"/>
      <c r="L50" s="2021"/>
      <c r="M50" s="2021"/>
      <c r="R50" s="107"/>
      <c r="S50" s="145"/>
      <c r="T50" s="145"/>
      <c r="U50" s="145"/>
      <c r="V50" s="145"/>
      <c r="W50" s="145"/>
      <c r="X50" s="145"/>
    </row>
    <row r="51" spans="1:24" s="2" customFormat="1" ht="49.5" customHeight="1">
      <c r="A51" s="2024" t="s">
        <v>207</v>
      </c>
      <c r="B51" s="2024"/>
      <c r="C51" s="2024"/>
      <c r="D51" s="2024"/>
      <c r="E51" s="2024"/>
      <c r="F51" s="2024"/>
      <c r="G51" s="2024"/>
      <c r="H51" s="2024"/>
      <c r="I51" s="2024"/>
      <c r="J51" s="2024"/>
      <c r="K51" s="2024"/>
      <c r="L51" s="2024"/>
      <c r="M51" s="2024"/>
      <c r="R51" s="107"/>
      <c r="S51" s="145"/>
      <c r="T51" s="145"/>
      <c r="U51" s="145"/>
      <c r="V51" s="145"/>
      <c r="W51" s="145"/>
      <c r="X51" s="145"/>
    </row>
    <row r="52" spans="1:24" s="2" customFormat="1" ht="25.5" customHeight="1">
      <c r="A52" s="666"/>
      <c r="B52" s="1175"/>
      <c r="C52" s="875"/>
      <c r="D52" s="666"/>
      <c r="E52" s="666"/>
      <c r="F52" s="666"/>
      <c r="G52" s="666"/>
      <c r="H52" s="666"/>
      <c r="I52" s="857"/>
      <c r="J52" s="563"/>
      <c r="R52" s="107"/>
      <c r="S52" s="145"/>
      <c r="T52" s="145"/>
      <c r="U52" s="145"/>
      <c r="V52" s="145"/>
      <c r="W52" s="145"/>
      <c r="X52" s="145"/>
    </row>
    <row r="53" spans="1:24" s="666" customFormat="1" ht="43.5" customHeight="1">
      <c r="A53" s="2029" t="s">
        <v>208</v>
      </c>
      <c r="B53" s="2029"/>
      <c r="C53" s="2029"/>
      <c r="D53" s="2029"/>
      <c r="E53" s="2029"/>
      <c r="F53" s="2029"/>
      <c r="G53" s="2029"/>
      <c r="H53" s="2029"/>
      <c r="I53" s="2029"/>
      <c r="J53" s="2029"/>
      <c r="S53" s="664"/>
      <c r="T53" s="664"/>
      <c r="U53" s="664"/>
      <c r="V53" s="664"/>
      <c r="W53" s="664"/>
      <c r="X53" s="664"/>
    </row>
    <row r="54" spans="1:24" s="666" customFormat="1" ht="51.75" customHeight="1">
      <c r="A54" s="2027" t="s">
        <v>209</v>
      </c>
      <c r="B54" s="2027"/>
      <c r="C54" s="2027"/>
      <c r="D54" s="2027"/>
      <c r="E54" s="2027"/>
      <c r="F54" s="2027"/>
      <c r="G54" s="2027"/>
      <c r="H54" s="2027"/>
      <c r="I54" s="2027"/>
      <c r="J54" s="2027"/>
      <c r="S54" s="664"/>
      <c r="T54" s="664"/>
      <c r="U54" s="664"/>
      <c r="V54" s="664"/>
      <c r="W54" s="664"/>
      <c r="X54" s="664"/>
    </row>
    <row r="55" spans="1:24" s="666" customFormat="1" ht="49.5" customHeight="1">
      <c r="A55" s="2028"/>
      <c r="B55" s="2028"/>
      <c r="C55" s="2028"/>
      <c r="D55" s="2028"/>
      <c r="E55" s="2028"/>
      <c r="F55" s="2028"/>
      <c r="G55" s="2028"/>
      <c r="H55" s="2028"/>
      <c r="I55" s="2028"/>
      <c r="J55" s="2028"/>
      <c r="K55" s="2028"/>
      <c r="L55" s="2028"/>
      <c r="M55" s="2028"/>
      <c r="S55" s="664"/>
      <c r="T55" s="664"/>
      <c r="U55" s="664"/>
      <c r="V55" s="664"/>
      <c r="W55" s="664"/>
      <c r="X55" s="664"/>
    </row>
    <row r="56" spans="1:24" s="666" customFormat="1" ht="84.75" customHeight="1">
      <c r="A56" s="2028"/>
      <c r="B56" s="2028"/>
      <c r="C56" s="2028"/>
      <c r="D56" s="2028"/>
      <c r="E56" s="2028"/>
      <c r="F56" s="2028"/>
      <c r="G56" s="2028"/>
      <c r="H56" s="2028"/>
      <c r="I56" s="2028"/>
      <c r="J56" s="2028"/>
      <c r="K56" s="2028"/>
      <c r="L56" s="2028"/>
      <c r="M56" s="2028"/>
      <c r="S56" s="664"/>
      <c r="T56" s="664"/>
      <c r="U56" s="664"/>
      <c r="V56" s="664"/>
      <c r="W56" s="664"/>
      <c r="X56" s="664"/>
    </row>
    <row r="57" spans="1:24" s="1177" customFormat="1" ht="66.75" customHeight="1">
      <c r="A57" s="2025" t="s">
        <v>210</v>
      </c>
      <c r="B57" s="2025"/>
      <c r="C57" s="2025"/>
      <c r="D57" s="2025"/>
      <c r="E57" s="2025"/>
      <c r="F57" s="2025"/>
      <c r="G57" s="2025"/>
      <c r="H57" s="2025"/>
      <c r="I57" s="2025"/>
      <c r="J57" s="2025"/>
      <c r="K57" s="1176"/>
      <c r="L57" s="1176"/>
      <c r="M57" s="1176"/>
      <c r="S57" s="835"/>
      <c r="T57" s="835"/>
      <c r="U57" s="835"/>
      <c r="V57" s="835"/>
      <c r="W57" s="835"/>
      <c r="X57" s="835"/>
    </row>
    <row r="58" spans="1:24" s="2" customFormat="1" ht="30" customHeight="1">
      <c r="A58" s="1178" t="s">
        <v>941</v>
      </c>
      <c r="B58" s="1178"/>
      <c r="C58" s="1178"/>
      <c r="D58" s="2026"/>
      <c r="E58" s="2026"/>
      <c r="F58" s="2026"/>
      <c r="G58" s="1179"/>
      <c r="H58" s="1179"/>
      <c r="I58" s="1179"/>
      <c r="J58" s="1180"/>
      <c r="S58" s="5"/>
      <c r="T58" s="5"/>
      <c r="U58" s="5"/>
      <c r="V58" s="5"/>
      <c r="W58" s="121"/>
      <c r="X58" s="121"/>
    </row>
    <row r="59" spans="1:24" s="2" customFormat="1" ht="36" customHeight="1">
      <c r="A59" s="1178" t="s">
        <v>942</v>
      </c>
      <c r="B59" s="1178"/>
      <c r="C59" s="1178"/>
      <c r="D59" s="2026"/>
      <c r="E59" s="2026"/>
      <c r="F59" s="2026"/>
      <c r="G59" s="1179"/>
      <c r="H59" s="1179"/>
      <c r="I59" s="1179"/>
      <c r="J59" s="1180"/>
      <c r="S59" s="5"/>
      <c r="T59" s="5"/>
      <c r="U59" s="5"/>
      <c r="V59" s="5"/>
      <c r="W59" s="121"/>
      <c r="X59" s="121"/>
    </row>
    <row r="60" spans="1:24" s="2" customFormat="1" ht="36" customHeight="1">
      <c r="A60" s="1178" t="s">
        <v>943</v>
      </c>
      <c r="B60" s="1178"/>
      <c r="C60" s="1178"/>
      <c r="D60" s="2026"/>
      <c r="E60" s="2026"/>
      <c r="F60" s="2026"/>
      <c r="G60" s="1179"/>
      <c r="H60" s="1179"/>
      <c r="I60" s="1179"/>
      <c r="J60" s="1180"/>
      <c r="S60" s="5"/>
      <c r="T60" s="5"/>
      <c r="U60" s="5"/>
      <c r="V60" s="5"/>
      <c r="W60" s="121"/>
      <c r="X60" s="121"/>
    </row>
    <row r="61" spans="1:24" s="2" customFormat="1" ht="37.5" customHeight="1">
      <c r="A61" s="1178" t="s">
        <v>944</v>
      </c>
      <c r="B61" s="1178"/>
      <c r="C61" s="1178"/>
      <c r="D61" s="2026"/>
      <c r="E61" s="2026"/>
      <c r="F61" s="2026"/>
      <c r="G61" s="1179"/>
      <c r="H61" s="1179"/>
      <c r="I61" s="1179"/>
      <c r="J61" s="1180"/>
      <c r="S61" s="5"/>
      <c r="T61" s="5"/>
      <c r="U61" s="5"/>
      <c r="V61" s="5"/>
      <c r="W61" s="121"/>
      <c r="X61" s="121"/>
    </row>
    <row r="62" spans="1:24" s="2" customFormat="1" ht="18">
      <c r="A62" s="1180"/>
      <c r="B62" s="1180"/>
      <c r="S62" s="5"/>
      <c r="T62" s="5"/>
      <c r="U62" s="5"/>
      <c r="V62" s="5"/>
      <c r="W62" s="121"/>
      <c r="X62" s="121"/>
    </row>
    <row r="63" spans="1:24" s="2" customFormat="1" ht="15">
      <c r="A63" s="1181"/>
      <c r="S63" s="5"/>
      <c r="T63" s="5"/>
      <c r="U63" s="5"/>
      <c r="V63" s="5"/>
      <c r="W63" s="5"/>
      <c r="X63" s="5"/>
    </row>
    <row r="64" spans="1:24" s="2" customFormat="1" ht="15.75">
      <c r="A64" s="2024"/>
      <c r="B64" s="2024"/>
      <c r="C64" s="2024"/>
      <c r="D64" s="2024"/>
      <c r="E64" s="2024"/>
      <c r="F64" s="2024"/>
      <c r="G64" s="2024"/>
      <c r="H64" s="2024"/>
      <c r="I64" s="2024"/>
      <c r="J64" s="2024"/>
      <c r="S64" s="5"/>
      <c r="T64" s="5"/>
      <c r="U64" s="5"/>
      <c r="V64" s="5"/>
      <c r="W64" s="5"/>
      <c r="X64" s="5"/>
    </row>
    <row r="65" spans="19:24" s="2" customFormat="1" ht="12.75">
      <c r="S65" s="5"/>
      <c r="T65" s="5"/>
      <c r="U65" s="5"/>
      <c r="V65" s="5"/>
      <c r="W65" s="5"/>
      <c r="X65" s="5"/>
    </row>
  </sheetData>
  <sheetProtection selectLockedCells="1" selectUnlockedCells="1"/>
  <mergeCells count="58">
    <mergeCell ref="A51:M51"/>
    <mergeCell ref="A53:J53"/>
    <mergeCell ref="A38:J39"/>
    <mergeCell ref="A41:P41"/>
    <mergeCell ref="J43:M43"/>
    <mergeCell ref="J44:M44"/>
    <mergeCell ref="J47:M47"/>
    <mergeCell ref="J50:M50"/>
    <mergeCell ref="C45:H45"/>
    <mergeCell ref="J45:M45"/>
    <mergeCell ref="A64:J64"/>
    <mergeCell ref="A57:J57"/>
    <mergeCell ref="D58:F58"/>
    <mergeCell ref="D59:F59"/>
    <mergeCell ref="D60:F60"/>
    <mergeCell ref="A54:J54"/>
    <mergeCell ref="D61:F61"/>
    <mergeCell ref="A55:M56"/>
    <mergeCell ref="C46:H46"/>
    <mergeCell ref="J46:M46"/>
    <mergeCell ref="J48:M48"/>
    <mergeCell ref="J49:M49"/>
    <mergeCell ref="A31:G31"/>
    <mergeCell ref="A33:B33"/>
    <mergeCell ref="A37:G37"/>
    <mergeCell ref="I12:K12"/>
    <mergeCell ref="A13:C13"/>
    <mergeCell ref="I13:K13"/>
    <mergeCell ref="L14:O14"/>
    <mergeCell ref="A17:P17"/>
    <mergeCell ref="A22:C22"/>
    <mergeCell ref="D22:I22"/>
    <mergeCell ref="A14:C14"/>
    <mergeCell ref="D14:G14"/>
    <mergeCell ref="I14:K14"/>
    <mergeCell ref="D23:I23"/>
    <mergeCell ref="D24:I24"/>
    <mergeCell ref="D25:I25"/>
    <mergeCell ref="D26:I26"/>
    <mergeCell ref="D27:I27"/>
    <mergeCell ref="A29:G29"/>
    <mergeCell ref="A10:C10"/>
    <mergeCell ref="D10:G10"/>
    <mergeCell ref="A12:C12"/>
    <mergeCell ref="A6:C6"/>
    <mergeCell ref="D6:G6"/>
    <mergeCell ref="A1:J1"/>
    <mergeCell ref="A3:C3"/>
    <mergeCell ref="D3:G3"/>
    <mergeCell ref="A5:C5"/>
    <mergeCell ref="D5:G5"/>
    <mergeCell ref="I6:M8"/>
    <mergeCell ref="A9:C9"/>
    <mergeCell ref="D9:G9"/>
    <mergeCell ref="A8:C8"/>
    <mergeCell ref="D8:G8"/>
    <mergeCell ref="A7:C7"/>
    <mergeCell ref="D7:G7"/>
  </mergeCells>
  <conditionalFormatting sqref="H29:H30">
    <cfRule type="cellIs" priority="1" dxfId="5" operator="notEqual" stopIfTrue="1">
      <formula>LFA_DisbursementRecommendation7!#REF!</formula>
    </cfRule>
  </conditionalFormatting>
  <conditionalFormatting sqref="H31">
    <cfRule type="cellIs" priority="2" dxfId="5" operator="notEqual" stopIfTrue="1">
      <formula>LFA_DisbursementRecommendation7!#REF!</formula>
    </cfRule>
  </conditionalFormatting>
  <dataValidations count="9">
    <dataValidation type="list" allowBlank="1" showErrorMessage="1" sqref="B46 B50 B52">
      <formula1>"Select,Yes,No,Partially"</formula1>
      <formula2>0</formula2>
    </dataValidation>
    <dataValidation type="list" allowBlank="1" showErrorMessage="1" sqref="B44">
      <formula1>"Select,Yes,No,Partially,N/A"</formula1>
      <formula2>0</formula2>
    </dataValidation>
    <dataValidation type="list" allowBlank="1" showErrorMessage="1" sqref="B43 B45 B49">
      <formula1>"Select,Yes,No"</formula1>
      <formula2>0</formula2>
    </dataValidation>
    <dataValidation type="list" allowBlank="1" showErrorMessage="1" sqref="B47">
      <formula1>"Select,Yes,No,N/A"</formula1>
      <formula2>0</formula2>
    </dataValidation>
    <dataValidation type="list" allowBlank="1" showErrorMessage="1" sqref="H14">
      <formula1>"Select,N/A,1,2,3,4,5,6,7,8,9,10,11,12,13,14,15,16,17,18,19,20"</formula1>
      <formula2>0</formula2>
    </dataValidation>
    <dataValidation type="list" allowBlank="1" showErrorMessage="1" sqref="H6">
      <formula1>"Select,Health Systems Strengthening,HIV/AIDS,HIV/TB,Integrated,Malaria,Tuberculosis"</formula1>
      <formula2>0</formula2>
    </dataValidation>
    <dataValidation type="list" allowBlank="1" showErrorMessage="1" sqref="H10">
      <formula1>"Select,USD,EUR"</formula1>
      <formula2>0</formula2>
    </dataValidation>
    <dataValidation type="list" allowBlank="1" showErrorMessage="1" sqref="H12">
      <formula1>"Select,1,2,3,4,5,6,7,8,9,10,11,12,13,14,15,16,17,18,19,20"</formula1>
      <formula2>0</formula2>
    </dataValidation>
    <dataValidation type="list" allowBlank="1" showErrorMessage="1" sqref="J34 H35 B48">
      <formula1>"Select,Yes,No"</formula1>
      <formula2>0</formula2>
    </dataValidation>
  </dataValidations>
  <printOptions horizontalCentered="1"/>
  <pageMargins left="0.7479166666666667" right="0.7479166666666667" top="0.5902777777777778" bottom="0.5902777777777777" header="0.5118055555555555" footer="0.5118055555555555"/>
  <pageSetup cellComments="atEnd" fitToHeight="0" fitToWidth="1" horizontalDpi="300" verticalDpi="300" orientation="landscape" paperSize="9" scale="46" r:id="rId1"/>
  <headerFooter alignWithMargins="0">
    <oddFooter>&amp;L&amp;9&amp;F&amp;C&amp;A&amp;R&amp;9Page &amp;P of &amp;N</oddFooter>
  </headerFooter>
  <rowBreaks count="1" manualBreakCount="1">
    <brk id="40" max="255" man="1"/>
  </rowBreaks>
</worksheet>
</file>

<file path=xl/worksheets/sheet27.xml><?xml version="1.0" encoding="utf-8"?>
<worksheet xmlns="http://schemas.openxmlformats.org/spreadsheetml/2006/main" xmlns:r="http://schemas.openxmlformats.org/officeDocument/2006/relationships">
  <sheetPr>
    <tabColor indexed="40"/>
    <pageSetUpPr fitToPage="1"/>
  </sheetPr>
  <dimension ref="A1:O81"/>
  <sheetViews>
    <sheetView view="pageBreakPreview" zoomScaleNormal="75" zoomScaleSheetLayoutView="100" zoomScalePageLayoutView="0" workbookViewId="0" topLeftCell="A25">
      <selection activeCell="S22" sqref="S22"/>
    </sheetView>
  </sheetViews>
  <sheetFormatPr defaultColWidth="13.28125" defaultRowHeight="12.75"/>
  <cols>
    <col min="1" max="1" width="2.421875" style="588" customWidth="1"/>
    <col min="2" max="2" width="50.00390625" style="588" customWidth="1"/>
    <col min="3" max="3" width="50.140625" style="588" customWidth="1"/>
    <col min="4" max="4" width="20.8515625" style="588" customWidth="1"/>
    <col min="5" max="5" width="25.28125" style="588" customWidth="1"/>
    <col min="6" max="6" width="36.00390625" style="588" customWidth="1"/>
    <col min="7" max="7" width="9.140625" style="588" customWidth="1"/>
    <col min="8" max="8" width="10.140625" style="588" customWidth="1"/>
    <col min="9" max="9" width="9.140625" style="588" customWidth="1"/>
    <col min="10" max="16" width="0" style="588" hidden="1" customWidth="1"/>
    <col min="17" max="224" width="9.140625" style="588" customWidth="1"/>
    <col min="225" max="225" width="2.421875" style="588" customWidth="1"/>
    <col min="226" max="226" width="1.7109375" style="588" customWidth="1"/>
    <col min="227" max="227" width="7.00390625" style="588" customWidth="1"/>
    <col min="228" max="228" width="10.140625" style="588" customWidth="1"/>
    <col min="229" max="229" width="15.00390625" style="588" customWidth="1"/>
    <col min="230" max="233" width="5.421875" style="588" customWidth="1"/>
    <col min="234" max="250" width="4.140625" style="588" customWidth="1"/>
    <col min="251" max="251" width="1.7109375" style="588" customWidth="1"/>
    <col min="252" max="16384" width="13.28125" style="588" customWidth="1"/>
  </cols>
  <sheetData>
    <row r="1" spans="1:4" ht="23.25" customHeight="1">
      <c r="A1" s="1825" t="s">
        <v>846</v>
      </c>
      <c r="B1" s="1825"/>
      <c r="C1" s="1825"/>
      <c r="D1" s="1182"/>
    </row>
    <row r="2" spans="1:4" ht="9.75" customHeight="1">
      <c r="A2" s="1182"/>
      <c r="B2" s="1182"/>
      <c r="C2" s="1182"/>
      <c r="D2" s="1182"/>
    </row>
    <row r="3" spans="1:6" ht="75" customHeight="1">
      <c r="A3" s="1183"/>
      <c r="B3" s="1826" t="s">
        <v>211</v>
      </c>
      <c r="C3" s="1826"/>
      <c r="D3" s="1826"/>
      <c r="E3" s="1826"/>
      <c r="F3" s="1183"/>
    </row>
    <row r="5" spans="2:6" ht="18">
      <c r="B5" s="590" t="s">
        <v>212</v>
      </c>
      <c r="C5" s="590"/>
      <c r="D5" s="590"/>
      <c r="E5" s="590"/>
      <c r="F5" s="590"/>
    </row>
    <row r="7" spans="2:3" ht="15.75">
      <c r="B7" s="591" t="s">
        <v>213</v>
      </c>
      <c r="C7" s="612">
        <f>'PR_Bank Details_7C'!C7</f>
        <v>0</v>
      </c>
    </row>
    <row r="9" spans="2:15" ht="15">
      <c r="B9" s="593" t="s">
        <v>214</v>
      </c>
      <c r="C9" s="593"/>
      <c r="D9" s="593"/>
      <c r="E9" s="593"/>
      <c r="F9" s="593"/>
      <c r="K9" s="593" t="s">
        <v>214</v>
      </c>
      <c r="L9" s="593"/>
      <c r="M9" s="593"/>
      <c r="N9" s="593"/>
      <c r="O9" s="593"/>
    </row>
    <row r="10" spans="1:15" s="594" customFormat="1" ht="14.25">
      <c r="A10" s="588"/>
      <c r="B10" s="588"/>
      <c r="C10" s="588"/>
      <c r="D10" s="588"/>
      <c r="E10" s="588"/>
      <c r="F10" s="588"/>
      <c r="J10" s="588"/>
      <c r="K10" s="588"/>
      <c r="L10" s="588"/>
      <c r="M10" s="588"/>
      <c r="N10" s="588"/>
      <c r="O10" s="588"/>
    </row>
    <row r="11" spans="2:13" s="594" customFormat="1" ht="45">
      <c r="B11" s="595"/>
      <c r="C11" s="596" t="s">
        <v>215</v>
      </c>
      <c r="D11" s="597" t="s">
        <v>216</v>
      </c>
      <c r="K11" s="595"/>
      <c r="L11" s="596" t="s">
        <v>215</v>
      </c>
      <c r="M11" s="597" t="s">
        <v>216</v>
      </c>
    </row>
    <row r="12" spans="2:13" s="594" customFormat="1" ht="30.75" customHeight="1">
      <c r="B12" s="1184" t="s">
        <v>217</v>
      </c>
      <c r="C12" s="599">
        <f>IF(C20="","",C20)</f>
      </c>
      <c r="D12" s="600">
        <f>IF(C30="",C24,C30)</f>
      </c>
      <c r="K12" s="1184" t="s">
        <v>217</v>
      </c>
      <c r="L12" s="599">
        <f>IF(L20="","",L20)</f>
      </c>
      <c r="M12" s="600">
        <f>IF(L30="",L24,L30)</f>
      </c>
    </row>
    <row r="13" spans="2:13" s="594" customFormat="1" ht="30.75" customHeight="1">
      <c r="B13" s="1184" t="s">
        <v>218</v>
      </c>
      <c r="C13" s="599">
        <f>IF(C36="","",C36)</f>
      </c>
      <c r="D13" s="600">
        <f>IF(C46="",C40,C46)</f>
      </c>
      <c r="K13" s="1184" t="s">
        <v>218</v>
      </c>
      <c r="L13" s="599">
        <f>IF(L36="","",L36)</f>
      </c>
      <c r="M13" s="600">
        <f>IF(L46="",L40,L46)</f>
      </c>
    </row>
    <row r="14" spans="2:13" s="594" customFormat="1" ht="30.75" customHeight="1">
      <c r="B14" s="1184" t="s">
        <v>219</v>
      </c>
      <c r="C14" s="599">
        <f>IF(C53="","",C53)</f>
      </c>
      <c r="D14" s="600">
        <f>IF(C63="",C57,C63)</f>
      </c>
      <c r="K14" s="1184" t="s">
        <v>219</v>
      </c>
      <c r="L14" s="599">
        <f>IF(L53="","",L53)</f>
      </c>
      <c r="M14" s="600">
        <f>IF(L63="",L57,L63)</f>
      </c>
    </row>
    <row r="15" spans="2:13" s="594" customFormat="1" ht="30.75" customHeight="1">
      <c r="B15" s="1185" t="s">
        <v>220</v>
      </c>
      <c r="C15" s="602">
        <f>IF(C69="","",C69)</f>
      </c>
      <c r="D15" s="603">
        <f>IF(C79="",C73,C79)</f>
      </c>
      <c r="H15" s="607"/>
      <c r="K15" s="1185" t="s">
        <v>220</v>
      </c>
      <c r="L15" s="602">
        <f>IF(L69="","",L69)</f>
      </c>
      <c r="M15" s="603">
        <f>IF(L79="",L73,L79)</f>
      </c>
    </row>
    <row r="16" spans="2:15" s="594" customFormat="1" ht="33" customHeight="1">
      <c r="B16" s="1186" t="s">
        <v>779</v>
      </c>
      <c r="D16" s="606">
        <f>SUM(D12:D15)</f>
        <v>0</v>
      </c>
      <c r="E16" s="1827">
        <f>IF(D16&lt;&gt;'PR_Cash Request_7A&amp;B'!D23,"The total does not match requested amount on PR signature page","")</f>
      </c>
      <c r="F16" s="1827"/>
      <c r="K16" s="1186" t="s">
        <v>779</v>
      </c>
      <c r="M16" s="606">
        <f>SUM(M12:M15)</f>
        <v>0</v>
      </c>
      <c r="N16" s="1827">
        <f>IF(M16&lt;&gt;'PR_Cash Request_7A&amp;B'!M23,"The total does not match requested amount on PR signature page","")</f>
      </c>
      <c r="O16" s="1827"/>
    </row>
    <row r="17" spans="7:9" s="594" customFormat="1" ht="6.75" customHeight="1">
      <c r="G17" s="610"/>
      <c r="H17" s="610"/>
      <c r="I17" s="610"/>
    </row>
    <row r="18" spans="1:15" ht="15">
      <c r="A18" s="594"/>
      <c r="B18" s="609" t="s">
        <v>221</v>
      </c>
      <c r="C18" s="609"/>
      <c r="D18" s="609"/>
      <c r="E18" s="609"/>
      <c r="F18" s="609"/>
      <c r="J18" s="594"/>
      <c r="K18" s="609" t="s">
        <v>221</v>
      </c>
      <c r="L18" s="609"/>
      <c r="M18" s="609"/>
      <c r="N18" s="609"/>
      <c r="O18" s="609"/>
    </row>
    <row r="19" spans="1:15" s="594" customFormat="1" ht="14.25">
      <c r="A19" s="588"/>
      <c r="B19" s="588"/>
      <c r="C19" s="588"/>
      <c r="D19" s="588"/>
      <c r="E19" s="588"/>
      <c r="F19" s="588"/>
      <c r="J19" s="588"/>
      <c r="K19" s="588"/>
      <c r="L19" s="588"/>
      <c r="M19" s="588"/>
      <c r="N19" s="588"/>
      <c r="O19" s="588"/>
    </row>
    <row r="20" spans="2:15" s="594" customFormat="1" ht="33" customHeight="1">
      <c r="B20" s="611" t="s">
        <v>222</v>
      </c>
      <c r="C20" s="1187">
        <f>L20</f>
      </c>
      <c r="E20" s="613" t="s">
        <v>223</v>
      </c>
      <c r="F20" s="1187" t="str">
        <f>O20</f>
        <v>Ministerio de Salud</v>
      </c>
      <c r="K20" s="611" t="s">
        <v>222</v>
      </c>
      <c r="L20" s="1187">
        <f>IF('PR_Bank Details_7C'!C20="","",'PR_Bank Details_7C'!C20)</f>
      </c>
      <c r="N20" s="613" t="s">
        <v>223</v>
      </c>
      <c r="O20" s="1187" t="str">
        <f>IF('PR_Bank Details_7C'!F20="","",'PR_Bank Details_7C'!F20)</f>
        <v>Ministerio de Salud</v>
      </c>
    </row>
    <row r="21" spans="3:15" s="594" customFormat="1" ht="14.25">
      <c r="C21" s="1188"/>
      <c r="E21" s="615"/>
      <c r="F21" s="1189"/>
      <c r="L21" s="1188"/>
      <c r="N21" s="615"/>
      <c r="O21" s="1189"/>
    </row>
    <row r="22" spans="2:15" s="594" customFormat="1" ht="66">
      <c r="B22" s="617" t="s">
        <v>224</v>
      </c>
      <c r="C22" s="1190">
        <f>L22</f>
      </c>
      <c r="E22" s="613" t="s">
        <v>223</v>
      </c>
      <c r="F22" s="1187">
        <f>O22</f>
      </c>
      <c r="K22" s="617" t="s">
        <v>224</v>
      </c>
      <c r="L22" s="1187">
        <f>IF('PR_Bank Details_7C'!C22="","",'PR_Bank Details_7C'!C22)</f>
      </c>
      <c r="N22" s="613" t="s">
        <v>223</v>
      </c>
      <c r="O22" s="1187">
        <f>IF('PR_Bank Details_7C'!F22="","",'PR_Bank Details_7C'!F22)</f>
      </c>
    </row>
    <row r="23" spans="3:15" s="594" customFormat="1" ht="14.25">
      <c r="C23" s="1188"/>
      <c r="E23" s="615"/>
      <c r="F23" s="1189"/>
      <c r="L23" s="1188"/>
      <c r="N23" s="615"/>
      <c r="O23" s="1189"/>
    </row>
    <row r="24" spans="2:15" s="594" customFormat="1" ht="105">
      <c r="B24" s="619" t="s">
        <v>225</v>
      </c>
      <c r="C24" s="1191">
        <f>L24</f>
      </c>
      <c r="D24" s="621"/>
      <c r="E24" s="613" t="s">
        <v>226</v>
      </c>
      <c r="F24" s="1187">
        <f>O24</f>
      </c>
      <c r="K24" s="619" t="s">
        <v>225</v>
      </c>
      <c r="L24" s="1187">
        <f>IF('PR_Bank Details_7C'!C24="","",'PR_Bank Details_7C'!C24)</f>
      </c>
      <c r="M24" s="621"/>
      <c r="N24" s="613" t="s">
        <v>226</v>
      </c>
      <c r="O24" s="1187">
        <f>IF('PR_Bank Details_7C'!F24="","",'PR_Bank Details_7C'!F24)</f>
      </c>
    </row>
    <row r="25" spans="3:15" s="594" customFormat="1" ht="14.25">
      <c r="C25" s="1188"/>
      <c r="E25" s="615"/>
      <c r="F25" s="1189"/>
      <c r="L25" s="1188"/>
      <c r="N25" s="615"/>
      <c r="O25" s="1189"/>
    </row>
    <row r="26" spans="2:15" s="594" customFormat="1" ht="30">
      <c r="B26" s="619" t="s">
        <v>227</v>
      </c>
      <c r="C26" s="1187">
        <f>L26</f>
      </c>
      <c r="E26" s="613" t="s">
        <v>228</v>
      </c>
      <c r="F26" s="1187">
        <f>O26</f>
      </c>
      <c r="K26" s="619" t="s">
        <v>227</v>
      </c>
      <c r="L26" s="1187">
        <f>IF('PR_Bank Details_7C'!C26="","",'PR_Bank Details_7C'!C26)</f>
      </c>
      <c r="N26" s="613" t="s">
        <v>228</v>
      </c>
      <c r="O26" s="1187">
        <f>IF('PR_Bank Details_7C'!F26="","",'PR_Bank Details_7C'!F26)</f>
      </c>
    </row>
    <row r="27" spans="3:15" s="594" customFormat="1" ht="14.25">
      <c r="C27" s="1188"/>
      <c r="E27" s="615"/>
      <c r="F27" s="1189"/>
      <c r="L27" s="1188"/>
      <c r="N27" s="615"/>
      <c r="O27" s="1189"/>
    </row>
    <row r="28" spans="1:15" ht="172.5">
      <c r="A28" s="594"/>
      <c r="B28" s="619" t="s">
        <v>229</v>
      </c>
      <c r="C28" s="1190">
        <f>L28</f>
      </c>
      <c r="D28" s="594"/>
      <c r="E28" s="613" t="s">
        <v>230</v>
      </c>
      <c r="F28" s="1187">
        <f>O28</f>
      </c>
      <c r="J28" s="594"/>
      <c r="K28" s="619" t="s">
        <v>229</v>
      </c>
      <c r="L28" s="1187">
        <f>IF('PR_Bank Details_7C'!C28="","",'PR_Bank Details_7C'!C28)</f>
      </c>
      <c r="M28" s="594"/>
      <c r="N28" s="613" t="s">
        <v>230</v>
      </c>
      <c r="O28" s="1187">
        <f>IF('PR_Bank Details_7C'!F28="","",'PR_Bank Details_7C'!F28)</f>
      </c>
    </row>
    <row r="29" spans="1:15" s="594" customFormat="1" ht="14.25">
      <c r="A29" s="588"/>
      <c r="B29" s="588"/>
      <c r="C29" s="1192"/>
      <c r="D29" s="588"/>
      <c r="E29" s="623"/>
      <c r="F29" s="1189"/>
      <c r="J29" s="588"/>
      <c r="K29" s="588"/>
      <c r="L29" s="1192"/>
      <c r="M29" s="588"/>
      <c r="N29" s="623"/>
      <c r="O29" s="1189"/>
    </row>
    <row r="30" spans="1:15" ht="96">
      <c r="A30" s="594"/>
      <c r="B30" s="619" t="s">
        <v>231</v>
      </c>
      <c r="C30" s="1191">
        <f>L30</f>
      </c>
      <c r="D30" s="594"/>
      <c r="E30" s="613" t="s">
        <v>232</v>
      </c>
      <c r="F30" s="1187">
        <f>O30</f>
      </c>
      <c r="J30" s="594"/>
      <c r="K30" s="619" t="s">
        <v>231</v>
      </c>
      <c r="L30" s="1187">
        <f>IF('PR_Bank Details_7C'!C30="","",'PR_Bank Details_7C'!C30)</f>
      </c>
      <c r="M30" s="594"/>
      <c r="N30" s="613" t="s">
        <v>232</v>
      </c>
      <c r="O30" s="1187">
        <f>IF('PR_Bank Details_7C'!F30="","",'PR_Bank Details_7C'!F30)</f>
      </c>
    </row>
    <row r="31" spans="1:15" s="594" customFormat="1" ht="14.25">
      <c r="A31" s="588"/>
      <c r="B31" s="588"/>
      <c r="C31" s="1192"/>
      <c r="D31" s="588"/>
      <c r="E31" s="623"/>
      <c r="F31" s="1193"/>
      <c r="J31" s="588"/>
      <c r="K31" s="588"/>
      <c r="L31" s="1192"/>
      <c r="M31" s="588"/>
      <c r="N31" s="623"/>
      <c r="O31" s="1193"/>
    </row>
    <row r="32" spans="2:15" s="594" customFormat="1" ht="25.5" customHeight="1">
      <c r="B32" s="624"/>
      <c r="C32" s="1194"/>
      <c r="E32" s="613" t="s">
        <v>233</v>
      </c>
      <c r="F32" s="1187">
        <f>O32</f>
      </c>
      <c r="K32" s="624"/>
      <c r="L32" s="1194"/>
      <c r="N32" s="613" t="s">
        <v>233</v>
      </c>
      <c r="O32" s="1187">
        <f>IF('PR_Bank Details_7C'!F32="","",'PR_Bank Details_7C'!F32)</f>
      </c>
    </row>
    <row r="33" spans="2:15" s="594" customFormat="1" ht="5.25" customHeight="1">
      <c r="B33" s="621"/>
      <c r="C33" s="1195"/>
      <c r="F33" s="1196"/>
      <c r="G33" s="610"/>
      <c r="H33" s="610"/>
      <c r="I33" s="610"/>
      <c r="K33" s="621"/>
      <c r="L33" s="1195"/>
      <c r="O33" s="1196"/>
    </row>
    <row r="34" spans="1:15" ht="15">
      <c r="A34" s="594"/>
      <c r="B34" s="609" t="s">
        <v>218</v>
      </c>
      <c r="C34" s="1197"/>
      <c r="D34" s="609"/>
      <c r="E34" s="609"/>
      <c r="F34" s="1197"/>
      <c r="J34" s="594"/>
      <c r="K34" s="609" t="s">
        <v>218</v>
      </c>
      <c r="L34" s="1197"/>
      <c r="M34" s="609"/>
      <c r="N34" s="609"/>
      <c r="O34" s="1197"/>
    </row>
    <row r="35" spans="1:15" s="594" customFormat="1" ht="14.25">
      <c r="A35" s="588"/>
      <c r="B35" s="588"/>
      <c r="C35" s="1192"/>
      <c r="D35" s="588"/>
      <c r="E35" s="588"/>
      <c r="F35" s="1192"/>
      <c r="J35" s="588"/>
      <c r="K35" s="588"/>
      <c r="L35" s="1192"/>
      <c r="M35" s="588"/>
      <c r="N35" s="588"/>
      <c r="O35" s="1192"/>
    </row>
    <row r="36" spans="2:15" s="594" customFormat="1" ht="33" customHeight="1">
      <c r="B36" s="611" t="s">
        <v>222</v>
      </c>
      <c r="C36" s="1187">
        <f>L36</f>
      </c>
      <c r="E36" s="613" t="s">
        <v>223</v>
      </c>
      <c r="F36" s="1187">
        <f>O36</f>
      </c>
      <c r="K36" s="611" t="s">
        <v>222</v>
      </c>
      <c r="L36" s="1187">
        <f>IF('PR_Bank Details_7C'!C36="","",'PR_Bank Details_7C'!C36)</f>
      </c>
      <c r="N36" s="613" t="s">
        <v>223</v>
      </c>
      <c r="O36" s="1187">
        <f>IF('PR_Bank Details_7C'!F36="","",'PR_Bank Details_7C'!F36)</f>
      </c>
    </row>
    <row r="37" spans="3:15" s="594" customFormat="1" ht="14.25">
      <c r="C37" s="1188"/>
      <c r="E37" s="615"/>
      <c r="F37" s="1189"/>
      <c r="L37" s="1188"/>
      <c r="N37" s="615"/>
      <c r="O37" s="1189"/>
    </row>
    <row r="38" spans="2:15" s="594" customFormat="1" ht="66">
      <c r="B38" s="617" t="s">
        <v>224</v>
      </c>
      <c r="C38" s="1187">
        <f>L38</f>
      </c>
      <c r="E38" s="613" t="s">
        <v>223</v>
      </c>
      <c r="F38" s="1187">
        <f>O38</f>
      </c>
      <c r="K38" s="617" t="s">
        <v>224</v>
      </c>
      <c r="L38" s="1187">
        <f>IF('PR_Bank Details_7C'!C38="","",'PR_Bank Details_7C'!C38)</f>
      </c>
      <c r="N38" s="613" t="s">
        <v>223</v>
      </c>
      <c r="O38" s="1187">
        <f>IF('PR_Bank Details_7C'!F38="","",'PR_Bank Details_7C'!F38)</f>
      </c>
    </row>
    <row r="39" spans="3:15" s="594" customFormat="1" ht="14.25">
      <c r="C39" s="1188"/>
      <c r="E39" s="615"/>
      <c r="F39" s="1189"/>
      <c r="L39" s="1188"/>
      <c r="N39" s="615"/>
      <c r="O39" s="1189"/>
    </row>
    <row r="40" spans="2:15" s="594" customFormat="1" ht="105">
      <c r="B40" s="619" t="s">
        <v>225</v>
      </c>
      <c r="C40" s="1191">
        <f>L40</f>
      </c>
      <c r="D40" s="621"/>
      <c r="E40" s="613" t="s">
        <v>226</v>
      </c>
      <c r="F40" s="1187">
        <f>O40</f>
      </c>
      <c r="K40" s="619" t="s">
        <v>225</v>
      </c>
      <c r="L40" s="1187">
        <f>IF('PR_Bank Details_7C'!C40="","",'PR_Bank Details_7C'!C40)</f>
      </c>
      <c r="M40" s="621"/>
      <c r="N40" s="613" t="s">
        <v>226</v>
      </c>
      <c r="O40" s="1187">
        <f>IF('PR_Bank Details_7C'!F40="","",'PR_Bank Details_7C'!F40)</f>
      </c>
    </row>
    <row r="41" spans="3:15" s="594" customFormat="1" ht="14.25">
      <c r="C41" s="1188"/>
      <c r="E41" s="615"/>
      <c r="F41" s="1189"/>
      <c r="L41" s="1188"/>
      <c r="N41" s="615"/>
      <c r="O41" s="1189"/>
    </row>
    <row r="42" spans="2:15" s="594" customFormat="1" ht="30">
      <c r="B42" s="619" t="s">
        <v>227</v>
      </c>
      <c r="C42" s="1187">
        <f>L42</f>
      </c>
      <c r="E42" s="613" t="s">
        <v>228</v>
      </c>
      <c r="F42" s="1187">
        <f>O42</f>
      </c>
      <c r="K42" s="619" t="s">
        <v>227</v>
      </c>
      <c r="L42" s="1187">
        <f>IF('PR_Bank Details_7C'!C42="","",'PR_Bank Details_7C'!C42)</f>
      </c>
      <c r="N42" s="613" t="s">
        <v>228</v>
      </c>
      <c r="O42" s="1187">
        <f>IF('PR_Bank Details_7C'!F42="","",'PR_Bank Details_7C'!F42)</f>
      </c>
    </row>
    <row r="43" spans="3:15" s="594" customFormat="1" ht="14.25">
      <c r="C43" s="1188"/>
      <c r="E43" s="615"/>
      <c r="F43" s="1189"/>
      <c r="L43" s="1188"/>
      <c r="N43" s="615"/>
      <c r="O43" s="1189"/>
    </row>
    <row r="44" spans="1:15" ht="172.5">
      <c r="A44" s="594"/>
      <c r="B44" s="619" t="s">
        <v>229</v>
      </c>
      <c r="C44" s="1198">
        <f>L44</f>
      </c>
      <c r="D44" s="594"/>
      <c r="E44" s="613" t="s">
        <v>230</v>
      </c>
      <c r="F44" s="1187">
        <f>O44</f>
      </c>
      <c r="J44" s="594"/>
      <c r="K44" s="619" t="s">
        <v>229</v>
      </c>
      <c r="L44" s="1187">
        <f>IF('PR_Bank Details_7C'!C44="","",'PR_Bank Details_7C'!C44)</f>
      </c>
      <c r="M44" s="594"/>
      <c r="N44" s="613" t="s">
        <v>230</v>
      </c>
      <c r="O44" s="1187">
        <f>IF('PR_Bank Details_7C'!F44="","",'PR_Bank Details_7C'!F44)</f>
      </c>
    </row>
    <row r="45" spans="1:15" s="594" customFormat="1" ht="14.25">
      <c r="A45" s="588"/>
      <c r="B45" s="588"/>
      <c r="C45" s="1192"/>
      <c r="D45" s="588"/>
      <c r="E45" s="623"/>
      <c r="F45" s="1189"/>
      <c r="J45" s="588"/>
      <c r="K45" s="588"/>
      <c r="L45" s="1192"/>
      <c r="M45" s="588"/>
      <c r="N45" s="623"/>
      <c r="O45" s="1189"/>
    </row>
    <row r="46" spans="1:15" ht="96">
      <c r="A46" s="594"/>
      <c r="B46" s="619" t="s">
        <v>231</v>
      </c>
      <c r="C46" s="1191">
        <f>L46</f>
      </c>
      <c r="D46" s="594"/>
      <c r="E46" s="613" t="s">
        <v>232</v>
      </c>
      <c r="F46" s="1187">
        <f>O46</f>
      </c>
      <c r="J46" s="594"/>
      <c r="K46" s="619" t="s">
        <v>231</v>
      </c>
      <c r="L46" s="1187">
        <f>IF('PR_Bank Details_7C'!C46="","",'PR_Bank Details_7C'!C46)</f>
      </c>
      <c r="M46" s="594"/>
      <c r="N46" s="613" t="s">
        <v>232</v>
      </c>
      <c r="O46" s="1187">
        <f>IF('PR_Bank Details_7C'!F46="","",'PR_Bank Details_7C'!F46)</f>
      </c>
    </row>
    <row r="47" spans="1:15" s="594" customFormat="1" ht="14.25">
      <c r="A47" s="588"/>
      <c r="B47" s="588"/>
      <c r="C47" s="1192"/>
      <c r="D47" s="588"/>
      <c r="E47" s="623"/>
      <c r="F47" s="1193"/>
      <c r="J47" s="588"/>
      <c r="K47" s="588"/>
      <c r="L47" s="1192"/>
      <c r="M47" s="588"/>
      <c r="N47" s="623"/>
      <c r="O47" s="1193"/>
    </row>
    <row r="48" spans="2:15" s="594" customFormat="1" ht="25.5" customHeight="1">
      <c r="B48" s="624"/>
      <c r="C48" s="1194"/>
      <c r="E48" s="613" t="s">
        <v>233</v>
      </c>
      <c r="F48" s="1187">
        <f>O48</f>
      </c>
      <c r="K48" s="624"/>
      <c r="L48" s="1194"/>
      <c r="N48" s="613" t="s">
        <v>233</v>
      </c>
      <c r="O48" s="1187">
        <f>IF('PR_Bank Details_7C'!F48="","",'PR_Bank Details_7C'!F48)</f>
      </c>
    </row>
    <row r="49" spans="2:15" s="594" customFormat="1" ht="6.75" customHeight="1">
      <c r="B49" s="621"/>
      <c r="C49" s="1195"/>
      <c r="F49" s="1196"/>
      <c r="K49" s="621"/>
      <c r="L49" s="1195"/>
      <c r="O49" s="1196"/>
    </row>
    <row r="50" spans="3:15" s="594" customFormat="1" ht="8.25" customHeight="1">
      <c r="C50" s="1196"/>
      <c r="F50" s="1196"/>
      <c r="G50" s="610"/>
      <c r="H50" s="610"/>
      <c r="I50" s="610"/>
      <c r="L50" s="1196"/>
      <c r="O50" s="1196"/>
    </row>
    <row r="51" spans="1:15" ht="15">
      <c r="A51" s="594"/>
      <c r="B51" s="609" t="s">
        <v>219</v>
      </c>
      <c r="C51" s="1197"/>
      <c r="D51" s="609"/>
      <c r="E51" s="609"/>
      <c r="F51" s="1197"/>
      <c r="J51" s="594"/>
      <c r="K51" s="609" t="s">
        <v>219</v>
      </c>
      <c r="L51" s="1197"/>
      <c r="M51" s="609"/>
      <c r="N51" s="609"/>
      <c r="O51" s="1197"/>
    </row>
    <row r="52" spans="1:15" s="594" customFormat="1" ht="14.25">
      <c r="A52" s="588"/>
      <c r="B52" s="588"/>
      <c r="C52" s="1192"/>
      <c r="D52" s="588"/>
      <c r="E52" s="588"/>
      <c r="F52" s="1192"/>
      <c r="J52" s="588"/>
      <c r="K52" s="588"/>
      <c r="L52" s="1192"/>
      <c r="M52" s="588"/>
      <c r="N52" s="588"/>
      <c r="O52" s="1192"/>
    </row>
    <row r="53" spans="2:15" s="594" customFormat="1" ht="33" customHeight="1">
      <c r="B53" s="611" t="s">
        <v>222</v>
      </c>
      <c r="C53" s="1187">
        <f>L53</f>
      </c>
      <c r="E53" s="613" t="s">
        <v>223</v>
      </c>
      <c r="F53" s="1187">
        <f>O53</f>
      </c>
      <c r="K53" s="611" t="s">
        <v>222</v>
      </c>
      <c r="L53" s="1187">
        <f>IF('PR_Bank Details_7C'!C53="","",'PR_Bank Details_7C'!C53)</f>
      </c>
      <c r="N53" s="613" t="s">
        <v>223</v>
      </c>
      <c r="O53" s="1187">
        <f>IF('PR_Bank Details_7C'!F53="","",'PR_Bank Details_7C'!F53)</f>
      </c>
    </row>
    <row r="54" spans="3:15" s="594" customFormat="1" ht="14.25">
      <c r="C54" s="1188"/>
      <c r="E54" s="615"/>
      <c r="F54" s="1189"/>
      <c r="L54" s="1188"/>
      <c r="N54" s="615"/>
      <c r="O54" s="1189"/>
    </row>
    <row r="55" spans="2:15" s="594" customFormat="1" ht="66">
      <c r="B55" s="617" t="s">
        <v>224</v>
      </c>
      <c r="C55" s="1187">
        <f>L55</f>
      </c>
      <c r="E55" s="613" t="s">
        <v>223</v>
      </c>
      <c r="F55" s="1187">
        <f>O55</f>
      </c>
      <c r="K55" s="617" t="s">
        <v>224</v>
      </c>
      <c r="L55" s="1187">
        <f>IF('PR_Bank Details_7C'!C55="","",'PR_Bank Details_7C'!C55)</f>
      </c>
      <c r="N55" s="613" t="s">
        <v>223</v>
      </c>
      <c r="O55" s="1187">
        <f>IF('PR_Bank Details_7C'!F55="","",'PR_Bank Details_7C'!F55)</f>
      </c>
    </row>
    <row r="56" spans="3:15" s="594" customFormat="1" ht="14.25">
      <c r="C56" s="1188"/>
      <c r="E56" s="615"/>
      <c r="F56" s="1189"/>
      <c r="L56" s="1188"/>
      <c r="N56" s="615"/>
      <c r="O56" s="1189"/>
    </row>
    <row r="57" spans="2:15" s="594" customFormat="1" ht="105">
      <c r="B57" s="619" t="s">
        <v>225</v>
      </c>
      <c r="C57" s="1199">
        <f>L57</f>
      </c>
      <c r="D57" s="621"/>
      <c r="E57" s="613" t="s">
        <v>226</v>
      </c>
      <c r="F57" s="1187">
        <f>O57</f>
      </c>
      <c r="K57" s="619" t="s">
        <v>225</v>
      </c>
      <c r="L57" s="1187">
        <f>IF('PR_Bank Details_7C'!C57="","",'PR_Bank Details_7C'!C57)</f>
      </c>
      <c r="M57" s="621"/>
      <c r="N57" s="613" t="s">
        <v>226</v>
      </c>
      <c r="O57" s="1187">
        <f>IF('PR_Bank Details_7C'!F57="","",'PR_Bank Details_7C'!F57)</f>
      </c>
    </row>
    <row r="58" spans="3:15" s="594" customFormat="1" ht="14.25">
      <c r="C58" s="1188"/>
      <c r="E58" s="615"/>
      <c r="F58" s="1189"/>
      <c r="L58" s="1188"/>
      <c r="N58" s="615"/>
      <c r="O58" s="1189"/>
    </row>
    <row r="59" spans="2:15" s="594" customFormat="1" ht="30">
      <c r="B59" s="619" t="s">
        <v>227</v>
      </c>
      <c r="C59" s="1187">
        <f>L59</f>
      </c>
      <c r="E59" s="613" t="s">
        <v>228</v>
      </c>
      <c r="F59" s="1187">
        <f>O59</f>
      </c>
      <c r="K59" s="619" t="s">
        <v>227</v>
      </c>
      <c r="L59" s="1187">
        <f>IF('PR_Bank Details_7C'!C59="","",'PR_Bank Details_7C'!C59)</f>
      </c>
      <c r="N59" s="613" t="s">
        <v>228</v>
      </c>
      <c r="O59" s="1187">
        <f>IF('PR_Bank Details_7C'!F59="","",'PR_Bank Details_7C'!F59)</f>
      </c>
    </row>
    <row r="60" spans="3:15" s="594" customFormat="1" ht="14.25">
      <c r="C60" s="1188"/>
      <c r="E60" s="615"/>
      <c r="F60" s="1189"/>
      <c r="L60" s="1188"/>
      <c r="N60" s="615"/>
      <c r="O60" s="1189"/>
    </row>
    <row r="61" spans="1:15" ht="172.5">
      <c r="A61" s="594"/>
      <c r="B61" s="619" t="s">
        <v>229</v>
      </c>
      <c r="C61" s="1199">
        <f>L61</f>
      </c>
      <c r="D61" s="594"/>
      <c r="E61" s="613" t="s">
        <v>230</v>
      </c>
      <c r="F61" s="1187">
        <f>O61</f>
      </c>
      <c r="J61" s="594"/>
      <c r="K61" s="619" t="s">
        <v>229</v>
      </c>
      <c r="L61" s="1187">
        <f>IF('PR_Bank Details_7C'!C61="","",'PR_Bank Details_7C'!C61)</f>
      </c>
      <c r="M61" s="594"/>
      <c r="N61" s="613" t="s">
        <v>230</v>
      </c>
      <c r="O61" s="1187">
        <f>IF('PR_Bank Details_7C'!F61="","",'PR_Bank Details_7C'!F61)</f>
      </c>
    </row>
    <row r="62" spans="1:15" s="594" customFormat="1" ht="14.25">
      <c r="A62" s="588"/>
      <c r="B62" s="588"/>
      <c r="C62" s="1192"/>
      <c r="D62" s="588"/>
      <c r="E62" s="623"/>
      <c r="F62" s="1189"/>
      <c r="J62" s="588"/>
      <c r="K62" s="588"/>
      <c r="L62" s="1192"/>
      <c r="M62" s="588"/>
      <c r="N62" s="623"/>
      <c r="O62" s="1189"/>
    </row>
    <row r="63" spans="1:15" ht="96">
      <c r="A63" s="594"/>
      <c r="B63" s="619" t="s">
        <v>231</v>
      </c>
      <c r="C63" s="1199">
        <f>L63</f>
      </c>
      <c r="D63" s="594"/>
      <c r="E63" s="613" t="s">
        <v>232</v>
      </c>
      <c r="F63" s="1187">
        <f>O63</f>
      </c>
      <c r="J63" s="594"/>
      <c r="K63" s="619" t="s">
        <v>231</v>
      </c>
      <c r="L63" s="1187">
        <f>IF('PR_Bank Details_7C'!C63="","",'PR_Bank Details_7C'!C63)</f>
      </c>
      <c r="M63" s="594"/>
      <c r="N63" s="613" t="s">
        <v>232</v>
      </c>
      <c r="O63" s="1187">
        <f>IF('PR_Bank Details_7C'!F63="","",'PR_Bank Details_7C'!F63)</f>
      </c>
    </row>
    <row r="64" spans="1:15" s="594" customFormat="1" ht="14.25">
      <c r="A64" s="588"/>
      <c r="B64" s="588"/>
      <c r="C64" s="1192"/>
      <c r="D64" s="588"/>
      <c r="E64" s="623"/>
      <c r="F64" s="1193"/>
      <c r="J64" s="588"/>
      <c r="K64" s="588"/>
      <c r="L64" s="1192"/>
      <c r="M64" s="588"/>
      <c r="N64" s="623"/>
      <c r="O64" s="1193"/>
    </row>
    <row r="65" spans="2:15" s="594" customFormat="1" ht="25.5" customHeight="1">
      <c r="B65" s="624"/>
      <c r="C65" s="1194"/>
      <c r="E65" s="613" t="s">
        <v>233</v>
      </c>
      <c r="F65" s="1187">
        <f>O65</f>
      </c>
      <c r="K65" s="624"/>
      <c r="L65" s="1194"/>
      <c r="N65" s="613" t="s">
        <v>233</v>
      </c>
      <c r="O65" s="1187">
        <f>IF('PR_Bank Details_7C'!F65="","",'PR_Bank Details_7C'!F65)</f>
      </c>
    </row>
    <row r="66" spans="2:15" s="594" customFormat="1" ht="6.75" customHeight="1">
      <c r="B66" s="621"/>
      <c r="C66" s="1195"/>
      <c r="F66" s="1196"/>
      <c r="G66" s="610"/>
      <c r="H66" s="610"/>
      <c r="I66" s="610"/>
      <c r="K66" s="621"/>
      <c r="L66" s="1195"/>
      <c r="O66" s="1196"/>
    </row>
    <row r="67" spans="1:15" ht="15">
      <c r="A67" s="594"/>
      <c r="B67" s="609" t="s">
        <v>220</v>
      </c>
      <c r="C67" s="1197"/>
      <c r="D67" s="609"/>
      <c r="E67" s="609"/>
      <c r="F67" s="1197"/>
      <c r="J67" s="594"/>
      <c r="K67" s="609" t="s">
        <v>220</v>
      </c>
      <c r="L67" s="1197"/>
      <c r="M67" s="609"/>
      <c r="N67" s="609"/>
      <c r="O67" s="1197"/>
    </row>
    <row r="68" spans="1:15" s="594" customFormat="1" ht="14.25">
      <c r="A68" s="588"/>
      <c r="B68" s="588"/>
      <c r="C68" s="1192"/>
      <c r="D68" s="588"/>
      <c r="E68" s="588"/>
      <c r="F68" s="1192"/>
      <c r="J68" s="588"/>
      <c r="K68" s="588"/>
      <c r="L68" s="1192"/>
      <c r="M68" s="588"/>
      <c r="N68" s="588"/>
      <c r="O68" s="1192"/>
    </row>
    <row r="69" spans="2:15" s="594" customFormat="1" ht="33" customHeight="1">
      <c r="B69" s="611" t="s">
        <v>222</v>
      </c>
      <c r="C69" s="1187">
        <f>L69</f>
      </c>
      <c r="E69" s="613" t="s">
        <v>223</v>
      </c>
      <c r="F69" s="1187">
        <f>O69</f>
      </c>
      <c r="K69" s="611" t="s">
        <v>222</v>
      </c>
      <c r="L69" s="1187">
        <f>IF('PR_Bank Details_7C'!C69="","",'PR_Bank Details_7C'!C69)</f>
      </c>
      <c r="N69" s="613" t="s">
        <v>223</v>
      </c>
      <c r="O69" s="1187">
        <f>IF('PR_Bank Details_7C'!F69="","",'PR_Bank Details_7C'!F69)</f>
      </c>
    </row>
    <row r="70" spans="3:15" s="594" customFormat="1" ht="14.25">
      <c r="C70" s="1188"/>
      <c r="E70" s="615"/>
      <c r="F70" s="1189"/>
      <c r="L70" s="1188"/>
      <c r="N70" s="615"/>
      <c r="O70" s="1189"/>
    </row>
    <row r="71" spans="2:15" s="594" customFormat="1" ht="66">
      <c r="B71" s="617" t="s">
        <v>224</v>
      </c>
      <c r="C71" s="1187">
        <f>L71</f>
      </c>
      <c r="E71" s="613" t="s">
        <v>223</v>
      </c>
      <c r="F71" s="1187">
        <f>O71</f>
      </c>
      <c r="K71" s="617" t="s">
        <v>224</v>
      </c>
      <c r="L71" s="1187">
        <f>IF('PR_Bank Details_7C'!C71="","",'PR_Bank Details_7C'!C71)</f>
      </c>
      <c r="N71" s="613" t="s">
        <v>223</v>
      </c>
      <c r="O71" s="1187">
        <f>IF('PR_Bank Details_7C'!F71="","",'PR_Bank Details_7C'!F71)</f>
      </c>
    </row>
    <row r="72" spans="3:15" s="594" customFormat="1" ht="14.25">
      <c r="C72" s="1188"/>
      <c r="E72" s="615"/>
      <c r="F72" s="1189"/>
      <c r="L72" s="1188"/>
      <c r="N72" s="615"/>
      <c r="O72" s="1189"/>
    </row>
    <row r="73" spans="2:15" s="594" customFormat="1" ht="105">
      <c r="B73" s="619" t="s">
        <v>225</v>
      </c>
      <c r="C73" s="1200">
        <f>L73</f>
      </c>
      <c r="D73" s="621"/>
      <c r="E73" s="613" t="s">
        <v>226</v>
      </c>
      <c r="F73" s="1187">
        <f>O73</f>
      </c>
      <c r="K73" s="619" t="s">
        <v>225</v>
      </c>
      <c r="L73" s="1187">
        <f>IF('PR_Bank Details_7C'!C73="","",'PR_Bank Details_7C'!C73)</f>
      </c>
      <c r="M73" s="621"/>
      <c r="N73" s="613" t="s">
        <v>226</v>
      </c>
      <c r="O73" s="1187">
        <f>IF('PR_Bank Details_7C'!F73="","",'PR_Bank Details_7C'!F73)</f>
      </c>
    </row>
    <row r="74" spans="3:15" s="594" customFormat="1" ht="14.25">
      <c r="C74" s="1188"/>
      <c r="E74" s="615"/>
      <c r="F74" s="1189"/>
      <c r="L74" s="1188"/>
      <c r="N74" s="615"/>
      <c r="O74" s="1189"/>
    </row>
    <row r="75" spans="2:15" s="594" customFormat="1" ht="30">
      <c r="B75" s="619" t="s">
        <v>227</v>
      </c>
      <c r="C75" s="1187">
        <f>L75</f>
      </c>
      <c r="E75" s="613" t="s">
        <v>228</v>
      </c>
      <c r="F75" s="1187">
        <f>O75</f>
      </c>
      <c r="K75" s="619" t="s">
        <v>227</v>
      </c>
      <c r="L75" s="1187">
        <f>IF('PR_Bank Details_7C'!C75="","",'PR_Bank Details_7C'!C75)</f>
      </c>
      <c r="N75" s="613" t="s">
        <v>228</v>
      </c>
      <c r="O75" s="1187">
        <f>IF('PR_Bank Details_7C'!F75="","",'PR_Bank Details_7C'!F75)</f>
      </c>
    </row>
    <row r="76" spans="3:15" s="594" customFormat="1" ht="14.25">
      <c r="C76" s="1188"/>
      <c r="E76" s="615"/>
      <c r="F76" s="1189"/>
      <c r="L76" s="1188"/>
      <c r="N76" s="615"/>
      <c r="O76" s="1189"/>
    </row>
    <row r="77" spans="1:15" ht="172.5">
      <c r="A77" s="594"/>
      <c r="B77" s="619" t="s">
        <v>229</v>
      </c>
      <c r="C77" s="1201">
        <f>L77</f>
      </c>
      <c r="D77" s="594"/>
      <c r="E77" s="613" t="s">
        <v>230</v>
      </c>
      <c r="F77" s="1187">
        <f>O77</f>
      </c>
      <c r="J77" s="594"/>
      <c r="K77" s="619" t="s">
        <v>229</v>
      </c>
      <c r="L77" s="1187">
        <f>IF('PR_Bank Details_7C'!C77="","",'PR_Bank Details_7C'!C77)</f>
      </c>
      <c r="M77" s="594"/>
      <c r="N77" s="613" t="s">
        <v>230</v>
      </c>
      <c r="O77" s="1187">
        <f>IF('PR_Bank Details_7C'!F77="","",'PR_Bank Details_7C'!F77)</f>
      </c>
    </row>
    <row r="78" spans="1:15" s="594" customFormat="1" ht="14.25">
      <c r="A78" s="588"/>
      <c r="B78" s="588"/>
      <c r="C78" s="1192"/>
      <c r="D78" s="588"/>
      <c r="E78" s="623"/>
      <c r="F78" s="1189"/>
      <c r="J78" s="588"/>
      <c r="K78" s="588"/>
      <c r="L78" s="1192"/>
      <c r="M78" s="588"/>
      <c r="N78" s="623"/>
      <c r="O78" s="1189"/>
    </row>
    <row r="79" spans="1:15" ht="96">
      <c r="A79" s="594"/>
      <c r="B79" s="619" t="s">
        <v>231</v>
      </c>
      <c r="C79" s="1200">
        <f>L79</f>
      </c>
      <c r="D79" s="594"/>
      <c r="E79" s="613" t="s">
        <v>232</v>
      </c>
      <c r="F79" s="1187">
        <f>O79</f>
      </c>
      <c r="J79" s="594"/>
      <c r="K79" s="619" t="s">
        <v>231</v>
      </c>
      <c r="L79" s="1187">
        <f>IF('PR_Bank Details_7C'!C79="","",'PR_Bank Details_7C'!C79)</f>
      </c>
      <c r="M79" s="594"/>
      <c r="N79" s="613" t="s">
        <v>232</v>
      </c>
      <c r="O79" s="1187">
        <f>IF('PR_Bank Details_7C'!F79="","",'PR_Bank Details_7C'!F79)</f>
      </c>
    </row>
    <row r="80" spans="1:15" s="594" customFormat="1" ht="14.25">
      <c r="A80" s="588"/>
      <c r="B80" s="588"/>
      <c r="C80" s="588"/>
      <c r="D80" s="588"/>
      <c r="E80" s="623"/>
      <c r="F80" s="1193"/>
      <c r="J80" s="588"/>
      <c r="K80" s="588"/>
      <c r="L80" s="588"/>
      <c r="M80" s="588"/>
      <c r="N80" s="623"/>
      <c r="O80" s="1193"/>
    </row>
    <row r="81" spans="2:15" s="594" customFormat="1" ht="25.5" customHeight="1">
      <c r="B81" s="624"/>
      <c r="C81" s="625"/>
      <c r="E81" s="613" t="s">
        <v>233</v>
      </c>
      <c r="F81" s="1187">
        <f>O81</f>
      </c>
      <c r="K81" s="624"/>
      <c r="L81" s="625"/>
      <c r="N81" s="613" t="s">
        <v>233</v>
      </c>
      <c r="O81" s="1187">
        <f>IF('PR_Bank Details_7C'!F81="","",'PR_Bank Details_7C'!F81)</f>
      </c>
    </row>
    <row r="82" ht="4.5" customHeight="1"/>
  </sheetData>
  <sheetProtection password="92D1" sheet="1"/>
  <mergeCells count="4">
    <mergeCell ref="A1:C1"/>
    <mergeCell ref="B3:E3"/>
    <mergeCell ref="E16:F16"/>
    <mergeCell ref="N16:O16"/>
  </mergeCells>
  <conditionalFormatting sqref="E16">
    <cfRule type="cellIs" priority="1" dxfId="3" operator="equal" stopIfTrue="1">
      <formula>""</formula>
    </cfRule>
  </conditionalFormatting>
  <conditionalFormatting sqref="N16">
    <cfRule type="cellIs" priority="2" dxfId="3" operator="equal" stopIfTrue="1">
      <formula>""</formula>
    </cfRule>
  </conditionalFormatting>
  <conditionalFormatting sqref="C12:D16 C20 C24 C26 C28 F20 F22 F24 F26 F28 F30 F32 C36 C38 C42 C44 F36 F38 F40 F42 F44 F46:F48 C53 C55 C59 F53 F55 F57 F59 F61 F63 F65 C69 C75 F69 F71 F73 F75 F77 F79 F81 C40 C46 C57 C61 C63 C71:C73 C77 C79 C22 C30">
    <cfRule type="cellIs" priority="3" dxfId="1" operator="notEqual" stopIfTrue="1">
      <formula>L12</formula>
    </cfRule>
  </conditionalFormatting>
  <printOptions/>
  <pageMargins left="0.7083333333333334" right="0.7083333333333334" top="0.7479166666666667" bottom="0.7479166666666667" header="0.5118055555555555" footer="0.5118055555555555"/>
  <pageSetup fitToHeight="0" fitToWidth="1" horizontalDpi="300" verticalDpi="300" orientation="portrait" paperSize="9" scale="48" r:id="rId1"/>
  <rowBreaks count="1" manualBreakCount="1">
    <brk id="49" max="255" man="1"/>
  </rowBreaks>
</worksheet>
</file>

<file path=xl/worksheets/sheet28.xml><?xml version="1.0" encoding="utf-8"?>
<worksheet xmlns="http://schemas.openxmlformats.org/spreadsheetml/2006/main" xmlns:r="http://schemas.openxmlformats.org/officeDocument/2006/relationships">
  <sheetPr>
    <tabColor indexed="40"/>
    <pageSetUpPr fitToPage="1"/>
  </sheetPr>
  <dimension ref="B1:AI39"/>
  <sheetViews>
    <sheetView view="pageBreakPreview" zoomScale="65" zoomScaleNormal="70" zoomScaleSheetLayoutView="65" zoomScalePageLayoutView="0" workbookViewId="0" topLeftCell="A5">
      <selection activeCell="L21" sqref="L21:L22"/>
    </sheetView>
  </sheetViews>
  <sheetFormatPr defaultColWidth="9.140625" defaultRowHeight="12.75"/>
  <cols>
    <col min="1" max="1" width="2.00390625" style="2" customWidth="1"/>
    <col min="2" max="2" width="20.421875" style="2" customWidth="1"/>
    <col min="3" max="3" width="0" style="2" hidden="1" customWidth="1"/>
    <col min="4" max="4" width="19.00390625" style="2" customWidth="1"/>
    <col min="5" max="5" width="2.28125" style="2" customWidth="1"/>
    <col min="6" max="6" width="15.8515625" style="2" customWidth="1"/>
    <col min="7" max="7" width="20.57421875" style="2" customWidth="1"/>
    <col min="8" max="8" width="2.421875" style="2" customWidth="1"/>
    <col min="9" max="9" width="16.57421875" style="2" customWidth="1"/>
    <col min="10" max="10" width="15.00390625" style="2" customWidth="1"/>
    <col min="11" max="11" width="2.57421875" style="2" customWidth="1"/>
    <col min="12" max="12" width="18.28125" style="2" customWidth="1"/>
    <col min="13" max="13" width="19.421875" style="2" customWidth="1"/>
    <col min="14" max="14" width="20.421875" style="165" customWidth="1"/>
    <col min="15" max="15" width="0" style="2" hidden="1" customWidth="1"/>
    <col min="16" max="16" width="46.28125" style="2" customWidth="1"/>
    <col min="17" max="17" width="38.57421875" style="2" customWidth="1"/>
    <col min="18" max="18" width="7.57421875" style="2" customWidth="1"/>
    <col min="19" max="19" width="9.140625" style="2" customWidth="1"/>
    <col min="20" max="36" width="0" style="2" hidden="1" customWidth="1"/>
    <col min="37" max="16384" width="9.140625" style="2" customWidth="1"/>
  </cols>
  <sheetData>
    <row r="1" spans="2:18" ht="25.5" customHeight="1">
      <c r="B1" s="1829" t="s">
        <v>846</v>
      </c>
      <c r="C1" s="1829"/>
      <c r="D1" s="1829"/>
      <c r="E1" s="1829"/>
      <c r="F1" s="1829"/>
      <c r="G1" s="1829"/>
      <c r="H1" s="1829"/>
      <c r="I1" s="1829"/>
      <c r="J1" s="1829"/>
      <c r="K1" s="1829"/>
      <c r="L1" s="1829"/>
      <c r="M1" s="1829"/>
      <c r="N1" s="1829"/>
      <c r="O1" s="1829"/>
      <c r="P1" s="1829"/>
      <c r="Q1" s="1829"/>
      <c r="R1" s="1202"/>
    </row>
    <row r="2" spans="2:14" ht="6" customHeight="1">
      <c r="B2" s="5"/>
      <c r="C2" s="5"/>
      <c r="D2" s="5"/>
      <c r="E2" s="5"/>
      <c r="F2" s="5"/>
      <c r="G2" s="5"/>
      <c r="H2" s="5"/>
      <c r="I2" s="628"/>
      <c r="J2" s="119"/>
      <c r="K2" s="5"/>
      <c r="L2" s="5"/>
      <c r="M2" s="5"/>
      <c r="N2" s="5"/>
    </row>
    <row r="3" spans="2:18" s="107" customFormat="1" ht="45.75" customHeight="1">
      <c r="B3" s="2032" t="s">
        <v>234</v>
      </c>
      <c r="C3" s="2032"/>
      <c r="D3" s="2032"/>
      <c r="E3" s="2032"/>
      <c r="F3" s="2032"/>
      <c r="G3" s="2032"/>
      <c r="H3" s="2032"/>
      <c r="I3" s="2032"/>
      <c r="J3" s="2032"/>
      <c r="K3" s="2032"/>
      <c r="L3" s="2032"/>
      <c r="M3" s="2032"/>
      <c r="N3" s="2032"/>
      <c r="O3" s="2032"/>
      <c r="P3" s="2032"/>
      <c r="Q3" s="2032"/>
      <c r="R3" s="1203"/>
    </row>
    <row r="5" spans="2:15" ht="15">
      <c r="B5" s="566" t="s">
        <v>879</v>
      </c>
      <c r="C5" s="567"/>
      <c r="D5" s="567"/>
      <c r="E5" s="567"/>
      <c r="F5" s="567"/>
      <c r="G5" s="1204" t="str">
        <f>'LFA_Programmatic Progress_1A'!C7</f>
        <v>SLV-910-G08-T</v>
      </c>
      <c r="H5" s="1205"/>
      <c r="I5" s="1205"/>
      <c r="J5" s="1205"/>
      <c r="K5" s="1206"/>
      <c r="L5" s="1207"/>
      <c r="N5" s="1208"/>
      <c r="O5" s="1209"/>
    </row>
    <row r="6" spans="2:15" ht="15">
      <c r="B6" s="90" t="s">
        <v>856</v>
      </c>
      <c r="C6" s="91"/>
      <c r="D6" s="91"/>
      <c r="E6" s="91"/>
      <c r="F6" s="91"/>
      <c r="G6" s="92" t="s">
        <v>857</v>
      </c>
      <c r="H6" s="1830" t="str">
        <f>'PR_Programmatic Progress_1A'!D12</f>
        <v>Semestral</v>
      </c>
      <c r="I6" s="1830"/>
      <c r="J6" s="93" t="s">
        <v>858</v>
      </c>
      <c r="K6" s="634"/>
      <c r="L6" s="123">
        <f>'PR_Programmatic Progress_1A'!F12</f>
        <v>10</v>
      </c>
      <c r="O6" s="1209"/>
    </row>
    <row r="7" spans="2:15" ht="15">
      <c r="B7" s="94" t="s">
        <v>859</v>
      </c>
      <c r="C7" s="95"/>
      <c r="D7" s="95"/>
      <c r="E7" s="95"/>
      <c r="F7" s="95"/>
      <c r="G7" s="96" t="s">
        <v>860</v>
      </c>
      <c r="H7" s="1832">
        <f>'PR_Programmatic Progress_1A'!D13</f>
        <v>42005</v>
      </c>
      <c r="I7" s="1832"/>
      <c r="J7" s="93" t="s">
        <v>542</v>
      </c>
      <c r="K7" s="634"/>
      <c r="L7" s="125">
        <f>'PR_Programmatic Progress_1A'!F13</f>
        <v>42185</v>
      </c>
      <c r="O7" s="1209"/>
    </row>
    <row r="8" spans="2:15" ht="15">
      <c r="B8" s="97" t="s">
        <v>861</v>
      </c>
      <c r="C8" s="98"/>
      <c r="D8" s="98"/>
      <c r="E8" s="98"/>
      <c r="F8" s="99"/>
      <c r="G8" s="1763">
        <f>'LFA_Programmatic Progress_1A'!C14</f>
        <v>10</v>
      </c>
      <c r="H8" s="1763"/>
      <c r="I8" s="1763"/>
      <c r="J8" s="1763"/>
      <c r="K8" s="1763"/>
      <c r="L8" s="1763"/>
      <c r="O8" s="1210"/>
    </row>
    <row r="9" spans="2:14" ht="15.75" customHeight="1">
      <c r="B9" s="2033" t="s">
        <v>854</v>
      </c>
      <c r="C9" s="2033"/>
      <c r="D9" s="2033"/>
      <c r="E9" s="2033"/>
      <c r="F9" s="2033"/>
      <c r="G9" s="1828" t="str">
        <f>IF('LFA_Programmatic Progress_1A'!C10="","",'LFA_Programmatic Progress_1A'!C10)</f>
        <v>USD</v>
      </c>
      <c r="H9" s="1828"/>
      <c r="I9" s="1828"/>
      <c r="J9" s="1828"/>
      <c r="K9" s="1828"/>
      <c r="L9" s="1828"/>
      <c r="N9" s="636"/>
    </row>
    <row r="10" ht="12.75">
      <c r="N10" s="636"/>
    </row>
    <row r="11" spans="2:18" ht="15.75" customHeight="1">
      <c r="B11" s="2031" t="s">
        <v>235</v>
      </c>
      <c r="C11" s="2031"/>
      <c r="D11" s="2031"/>
      <c r="E11" s="2031"/>
      <c r="F11" s="2031"/>
      <c r="G11" s="2031"/>
      <c r="H11" s="2031"/>
      <c r="I11" s="2031"/>
      <c r="J11" s="2031"/>
      <c r="K11" s="2031"/>
      <c r="L11" s="2031"/>
      <c r="M11" s="2031"/>
      <c r="N11" s="2031"/>
      <c r="O11" s="2031"/>
      <c r="P11" s="2031"/>
      <c r="Q11" s="2031"/>
      <c r="R11" s="1211"/>
    </row>
    <row r="12" spans="2:18" ht="12" customHeight="1">
      <c r="B12" s="1174"/>
      <c r="C12" s="1212"/>
      <c r="D12" s="1212"/>
      <c r="E12" s="1212"/>
      <c r="F12" s="1212"/>
      <c r="G12" s="1212"/>
      <c r="H12" s="1212"/>
      <c r="I12" s="1212"/>
      <c r="J12" s="1212"/>
      <c r="K12" s="1212"/>
      <c r="L12" s="1212"/>
      <c r="M12" s="1212"/>
      <c r="N12" s="1212"/>
      <c r="O12" s="1212"/>
      <c r="P12" s="1212"/>
      <c r="Q12" s="1212"/>
      <c r="R12" s="1212"/>
    </row>
    <row r="13" spans="2:17" ht="15.75">
      <c r="B13" s="1213"/>
      <c r="C13" s="1214"/>
      <c r="D13" s="1214"/>
      <c r="E13" s="816"/>
      <c r="F13" s="1214"/>
      <c r="G13" s="1214"/>
      <c r="H13" s="816"/>
      <c r="I13" s="1214"/>
      <c r="J13" s="1214"/>
      <c r="K13" s="816"/>
      <c r="L13" s="1214"/>
      <c r="M13" s="1214"/>
      <c r="N13" s="1164"/>
      <c r="O13" s="1214"/>
      <c r="P13" s="1214"/>
      <c r="Q13" s="1214"/>
    </row>
    <row r="14" spans="2:35" s="637" customFormat="1" ht="120" customHeight="1">
      <c r="B14" s="1215" t="s">
        <v>236</v>
      </c>
      <c r="C14" s="1216" t="s">
        <v>796</v>
      </c>
      <c r="D14" s="1217" t="s">
        <v>237</v>
      </c>
      <c r="E14" s="1218"/>
      <c r="F14" s="1219" t="s">
        <v>566</v>
      </c>
      <c r="G14" s="1217" t="s">
        <v>238</v>
      </c>
      <c r="H14" s="1218"/>
      <c r="I14" s="1219" t="s">
        <v>239</v>
      </c>
      <c r="J14" s="1217" t="s">
        <v>240</v>
      </c>
      <c r="K14" s="1218"/>
      <c r="L14" s="1219" t="s">
        <v>241</v>
      </c>
      <c r="M14" s="1217" t="s">
        <v>242</v>
      </c>
      <c r="N14" s="1217" t="s">
        <v>243</v>
      </c>
      <c r="O14" s="1220" t="s">
        <v>805</v>
      </c>
      <c r="P14" s="1217" t="s">
        <v>244</v>
      </c>
      <c r="Q14" s="1217" t="s">
        <v>245</v>
      </c>
      <c r="U14" s="1215" t="s">
        <v>236</v>
      </c>
      <c r="V14" s="1216" t="s">
        <v>796</v>
      </c>
      <c r="W14" s="1217" t="s">
        <v>237</v>
      </c>
      <c r="X14" s="1218"/>
      <c r="Y14" s="1219" t="s">
        <v>566</v>
      </c>
      <c r="Z14" s="1217" t="s">
        <v>238</v>
      </c>
      <c r="AA14" s="1218"/>
      <c r="AB14" s="1219" t="s">
        <v>239</v>
      </c>
      <c r="AC14" s="1217" t="s">
        <v>240</v>
      </c>
      <c r="AD14" s="1218"/>
      <c r="AE14" s="1219" t="s">
        <v>246</v>
      </c>
      <c r="AF14" s="1217" t="s">
        <v>247</v>
      </c>
      <c r="AG14" s="1217" t="s">
        <v>243</v>
      </c>
      <c r="AH14" s="1220" t="s">
        <v>805</v>
      </c>
      <c r="AI14" s="1219" t="s">
        <v>248</v>
      </c>
    </row>
    <row r="15" spans="2:35" ht="49.5" customHeight="1">
      <c r="B15" s="1221">
        <f>U15</f>
      </c>
      <c r="C15" s="1221">
        <f aca="true" t="shared" si="0" ref="C15:D30">V15</f>
        <v>0</v>
      </c>
      <c r="D15" s="1221">
        <f t="shared" si="0"/>
      </c>
      <c r="E15" s="1222"/>
      <c r="F15" s="1221" t="str">
        <f>Y15</f>
        <v>N/A</v>
      </c>
      <c r="G15" s="1221" t="str">
        <f>Z15</f>
        <v>N/A</v>
      </c>
      <c r="H15" s="1222"/>
      <c r="I15" s="1221" t="str">
        <f>AB15</f>
        <v>N/A</v>
      </c>
      <c r="J15" s="1221" t="str">
        <f>AC15</f>
        <v>N/A</v>
      </c>
      <c r="K15" s="1222"/>
      <c r="L15" s="1221" t="str">
        <f>AE15</f>
        <v>N/A</v>
      </c>
      <c r="M15" s="1221"/>
      <c r="N15" s="1223" t="e">
        <f>IF(I15="",IF(L15="",0,SUM(I15-L15)),SUM(I15-L15))</f>
        <v>#VALUE!</v>
      </c>
      <c r="O15" s="1224">
        <v>0</v>
      </c>
      <c r="P15" s="1221">
        <f>AI15</f>
      </c>
      <c r="Q15" s="1225"/>
      <c r="U15" s="1221">
        <f>IF('PR_Annex_SR-Financials'!B15="","",'PR_Annex_SR-Financials'!B15)</f>
      </c>
      <c r="V15" s="1221">
        <f>IF('PR_Annex_SR-Financials'!C15="","",'PR_Annex_SR-Financials'!C15)</f>
        <v>0</v>
      </c>
      <c r="W15" s="1221">
        <f>IF('PR_Annex_SR-Financials'!D15="","",'PR_Annex_SR-Financials'!D15)</f>
      </c>
      <c r="X15" s="1222"/>
      <c r="Y15" s="1221" t="str">
        <f>IF('PR_Annex_SR-Financials'!F15="","",'PR_Annex_SR-Financials'!F15)</f>
        <v>N/A</v>
      </c>
      <c r="Z15" s="1221" t="str">
        <f>IF('PR_Annex_SR-Financials'!G15="","",'PR_Annex_SR-Financials'!G15)</f>
        <v>N/A</v>
      </c>
      <c r="AA15" s="1222"/>
      <c r="AB15" s="1221" t="str">
        <f>IF('PR_Annex_SR-Financials'!I15="","",'PR_Annex_SR-Financials'!I15)</f>
        <v>N/A</v>
      </c>
      <c r="AC15" s="1221" t="str">
        <f>IF('PR_Annex_SR-Financials'!J15="","",'PR_Annex_SR-Financials'!J15)</f>
        <v>N/A</v>
      </c>
      <c r="AD15" s="1222"/>
      <c r="AE15" s="1221" t="str">
        <f>IF('PR_Annex_SR-Financials'!L15="","",'PR_Annex_SR-Financials'!L15)</f>
        <v>N/A</v>
      </c>
      <c r="AF15" s="1221">
        <f>IF('PR_Annex_SR-Financials'!M15="","",'PR_Annex_SR-Financials'!M15)</f>
      </c>
      <c r="AG15" s="1221" t="e">
        <f>IF(AB15="",IF(AE15="",0,SUM(AB15-AE15)),SUM(AB15-AE15))</f>
        <v>#VALUE!</v>
      </c>
      <c r="AH15" s="1221"/>
      <c r="AI15" s="1226">
        <f>IF('PR_Annex_SR-Financials'!P15="","",'PR_Annex_SR-Financials'!P15)</f>
      </c>
    </row>
    <row r="16" spans="2:35" ht="49.5" customHeight="1">
      <c r="B16" s="1221">
        <f aca="true" t="shared" si="1" ref="B16:B34">U16</f>
      </c>
      <c r="C16" s="1224">
        <f>IF('PR_Annex_SR-Financials'!C16="","",'PR_Annex_SR-Financials'!C16)</f>
        <v>0</v>
      </c>
      <c r="D16" s="1221">
        <f t="shared" si="0"/>
      </c>
      <c r="E16" s="1222"/>
      <c r="F16" s="1221">
        <f aca="true" t="shared" si="2" ref="F16:F33">Y16</f>
        <v>0</v>
      </c>
      <c r="G16" s="1221">
        <f aca="true" t="shared" si="3" ref="G16:G33">Z16</f>
        <v>0</v>
      </c>
      <c r="H16" s="1222"/>
      <c r="I16" s="1221">
        <f aca="true" t="shared" si="4" ref="I16:I34">AB16</f>
        <v>0</v>
      </c>
      <c r="J16" s="1221">
        <f aca="true" t="shared" si="5" ref="J16:J34">AC16</f>
        <v>0</v>
      </c>
      <c r="K16" s="1222"/>
      <c r="L16" s="1221">
        <f aca="true" t="shared" si="6" ref="L16:L33">AE16</f>
        <v>0</v>
      </c>
      <c r="M16" s="1221"/>
      <c r="N16" s="1223">
        <f aca="true" t="shared" si="7" ref="N16:N34">IF(I16="",IF(L16="",0,SUM(I16-L16)),SUM(I16-L16))</f>
        <v>0</v>
      </c>
      <c r="O16" s="1224">
        <v>0</v>
      </c>
      <c r="P16" s="1221">
        <f aca="true" t="shared" si="8" ref="P16:P34">AI16</f>
      </c>
      <c r="Q16" s="1225"/>
      <c r="U16" s="1221">
        <f>IF('PR_Annex_SR-Financials'!B16="","",'PR_Annex_SR-Financials'!B16)</f>
      </c>
      <c r="V16" s="1221">
        <f>IF('PR_Annex_SR-Financials'!C16="","",'PR_Annex_SR-Financials'!C16)</f>
        <v>0</v>
      </c>
      <c r="W16" s="1221">
        <f>IF('PR_Annex_SR-Financials'!D16="","",'PR_Annex_SR-Financials'!D16)</f>
      </c>
      <c r="X16" s="1222"/>
      <c r="Y16" s="1221">
        <f>IF('PR_Annex_SR-Financials'!F16="","",'PR_Annex_SR-Financials'!F16)</f>
        <v>0</v>
      </c>
      <c r="Z16" s="1221">
        <f>IF('PR_Annex_SR-Financials'!G16="","",'PR_Annex_SR-Financials'!G16)</f>
        <v>0</v>
      </c>
      <c r="AA16" s="1222"/>
      <c r="AB16" s="1221">
        <f>IF('PR_Annex_SR-Financials'!I16="","",'PR_Annex_SR-Financials'!I16)</f>
        <v>0</v>
      </c>
      <c r="AC16" s="1221">
        <f>IF('PR_Annex_SR-Financials'!J16="","",'PR_Annex_SR-Financials'!J16)</f>
        <v>0</v>
      </c>
      <c r="AD16" s="1222"/>
      <c r="AE16" s="1221">
        <f>IF('PR_Annex_SR-Financials'!L16="","",'PR_Annex_SR-Financials'!L16)</f>
        <v>0</v>
      </c>
      <c r="AF16" s="1221">
        <f>IF('PR_Annex_SR-Financials'!M16="","",'PR_Annex_SR-Financials'!M16)</f>
      </c>
      <c r="AG16" s="1221">
        <f aca="true" t="shared" si="9" ref="AG16:AG34">IF(AB16="",IF(AE16="",0,SUM(AB16-AE16)),SUM(AB16-AE16))</f>
        <v>0</v>
      </c>
      <c r="AH16" s="1224"/>
      <c r="AI16" s="1226">
        <f>IF('PR_Annex_SR-Financials'!P16="","",'PR_Annex_SR-Financials'!P16)</f>
      </c>
    </row>
    <row r="17" spans="2:35" ht="49.5" customHeight="1">
      <c r="B17" s="1221">
        <f t="shared" si="1"/>
      </c>
      <c r="C17" s="1224">
        <f>IF('PR_Annex_SR-Financials'!C17="","",'PR_Annex_SR-Financials'!C17)</f>
        <v>0</v>
      </c>
      <c r="D17" s="1221">
        <f t="shared" si="0"/>
      </c>
      <c r="E17" s="1222"/>
      <c r="F17" s="1221">
        <f t="shared" si="2"/>
        <v>0</v>
      </c>
      <c r="G17" s="1221">
        <f t="shared" si="3"/>
        <v>0</v>
      </c>
      <c r="H17" s="1222"/>
      <c r="I17" s="1221">
        <f t="shared" si="4"/>
        <v>0</v>
      </c>
      <c r="J17" s="1221">
        <f t="shared" si="5"/>
        <v>0</v>
      </c>
      <c r="K17" s="1222"/>
      <c r="L17" s="1221">
        <f t="shared" si="6"/>
        <v>0</v>
      </c>
      <c r="M17" s="1221">
        <f aca="true" t="shared" si="10" ref="M17:M34">AF17</f>
      </c>
      <c r="N17" s="1223">
        <f t="shared" si="7"/>
        <v>0</v>
      </c>
      <c r="O17" s="1224">
        <v>0</v>
      </c>
      <c r="P17" s="1221">
        <f t="shared" si="8"/>
      </c>
      <c r="Q17" s="1225"/>
      <c r="U17" s="1221">
        <f>IF('PR_Annex_SR-Financials'!B17="","",'PR_Annex_SR-Financials'!B17)</f>
      </c>
      <c r="V17" s="1221">
        <f>IF('PR_Annex_SR-Financials'!C17="","",'PR_Annex_SR-Financials'!C17)</f>
        <v>0</v>
      </c>
      <c r="W17" s="1221">
        <f>IF('PR_Annex_SR-Financials'!D17="","",'PR_Annex_SR-Financials'!D17)</f>
      </c>
      <c r="X17" s="1222"/>
      <c r="Y17" s="1221">
        <f>IF('PR_Annex_SR-Financials'!F17="","",'PR_Annex_SR-Financials'!F17)</f>
        <v>0</v>
      </c>
      <c r="Z17" s="1221">
        <f>IF('PR_Annex_SR-Financials'!G17="","",'PR_Annex_SR-Financials'!G17)</f>
        <v>0</v>
      </c>
      <c r="AA17" s="1222"/>
      <c r="AB17" s="1221">
        <f>IF('PR_Annex_SR-Financials'!I17="","",'PR_Annex_SR-Financials'!I17)</f>
        <v>0</v>
      </c>
      <c r="AC17" s="1221">
        <f>IF('PR_Annex_SR-Financials'!J17="","",'PR_Annex_SR-Financials'!J17)</f>
        <v>0</v>
      </c>
      <c r="AD17" s="1222"/>
      <c r="AE17" s="1221">
        <f>IF('PR_Annex_SR-Financials'!L17="","",'PR_Annex_SR-Financials'!L17)</f>
        <v>0</v>
      </c>
      <c r="AF17" s="1221">
        <f>IF('PR_Annex_SR-Financials'!M17="","",'PR_Annex_SR-Financials'!M17)</f>
      </c>
      <c r="AG17" s="1221">
        <f t="shared" si="9"/>
        <v>0</v>
      </c>
      <c r="AH17" s="1224"/>
      <c r="AI17" s="1226">
        <f>IF('PR_Annex_SR-Financials'!P17="","",'PR_Annex_SR-Financials'!P17)</f>
      </c>
    </row>
    <row r="18" spans="2:35" ht="49.5" customHeight="1">
      <c r="B18" s="1221">
        <f t="shared" si="1"/>
      </c>
      <c r="C18" s="1224">
        <f>IF('PR_Annex_SR-Financials'!C18="","",'PR_Annex_SR-Financials'!C18)</f>
        <v>0</v>
      </c>
      <c r="D18" s="1221">
        <f t="shared" si="0"/>
      </c>
      <c r="E18" s="1222"/>
      <c r="F18" s="1221">
        <f t="shared" si="2"/>
        <v>0</v>
      </c>
      <c r="G18" s="1221">
        <f t="shared" si="3"/>
        <v>0</v>
      </c>
      <c r="H18" s="1222"/>
      <c r="I18" s="1221">
        <f t="shared" si="4"/>
        <v>0</v>
      </c>
      <c r="J18" s="1221">
        <f t="shared" si="5"/>
        <v>0</v>
      </c>
      <c r="K18" s="1222"/>
      <c r="L18" s="1221">
        <f t="shared" si="6"/>
        <v>0</v>
      </c>
      <c r="M18" s="1221">
        <f t="shared" si="10"/>
      </c>
      <c r="N18" s="1223">
        <f t="shared" si="7"/>
        <v>0</v>
      </c>
      <c r="O18" s="1224">
        <v>0</v>
      </c>
      <c r="P18" s="1221">
        <f t="shared" si="8"/>
      </c>
      <c r="Q18" s="1225"/>
      <c r="U18" s="1221">
        <f>IF('PR_Annex_SR-Financials'!B18="","",'PR_Annex_SR-Financials'!B18)</f>
      </c>
      <c r="V18" s="1221">
        <f>IF('PR_Annex_SR-Financials'!C18="","",'PR_Annex_SR-Financials'!C18)</f>
        <v>0</v>
      </c>
      <c r="W18" s="1221">
        <f>IF('PR_Annex_SR-Financials'!D18="","",'PR_Annex_SR-Financials'!D18)</f>
      </c>
      <c r="X18" s="1222"/>
      <c r="Y18" s="1221">
        <f>IF('PR_Annex_SR-Financials'!F18="","",'PR_Annex_SR-Financials'!F18)</f>
        <v>0</v>
      </c>
      <c r="Z18" s="1221">
        <f>IF('PR_Annex_SR-Financials'!G18="","",'PR_Annex_SR-Financials'!G18)</f>
        <v>0</v>
      </c>
      <c r="AA18" s="1222"/>
      <c r="AB18" s="1221">
        <f>IF('PR_Annex_SR-Financials'!I18="","",'PR_Annex_SR-Financials'!I18)</f>
        <v>0</v>
      </c>
      <c r="AC18" s="1221">
        <f>IF('PR_Annex_SR-Financials'!J18="","",'PR_Annex_SR-Financials'!J18)</f>
        <v>0</v>
      </c>
      <c r="AD18" s="1222"/>
      <c r="AE18" s="1221">
        <f>IF('PR_Annex_SR-Financials'!L18="","",'PR_Annex_SR-Financials'!L18)</f>
        <v>0</v>
      </c>
      <c r="AF18" s="1221">
        <f>IF('PR_Annex_SR-Financials'!M18="","",'PR_Annex_SR-Financials'!M18)</f>
      </c>
      <c r="AG18" s="1221">
        <f t="shared" si="9"/>
        <v>0</v>
      </c>
      <c r="AH18" s="1224"/>
      <c r="AI18" s="1226">
        <f>IF('PR_Annex_SR-Financials'!P18="","",'PR_Annex_SR-Financials'!P18)</f>
      </c>
    </row>
    <row r="19" spans="2:35" ht="49.5" customHeight="1">
      <c r="B19" s="1221">
        <f t="shared" si="1"/>
      </c>
      <c r="C19" s="1224">
        <f>IF('PR_Annex_SR-Financials'!C19="","",'PR_Annex_SR-Financials'!C19)</f>
        <v>0</v>
      </c>
      <c r="D19" s="1221">
        <f t="shared" si="0"/>
      </c>
      <c r="E19" s="1222"/>
      <c r="F19" s="1221">
        <f t="shared" si="2"/>
        <v>0</v>
      </c>
      <c r="G19" s="1221">
        <f t="shared" si="3"/>
        <v>0</v>
      </c>
      <c r="H19" s="1222"/>
      <c r="I19" s="1221">
        <f t="shared" si="4"/>
        <v>0</v>
      </c>
      <c r="J19" s="1221">
        <f t="shared" si="5"/>
        <v>0</v>
      </c>
      <c r="K19" s="1222"/>
      <c r="L19" s="1221">
        <f t="shared" si="6"/>
        <v>0</v>
      </c>
      <c r="M19" s="1221">
        <f t="shared" si="10"/>
      </c>
      <c r="N19" s="1223">
        <f t="shared" si="7"/>
        <v>0</v>
      </c>
      <c r="O19" s="1224">
        <v>0</v>
      </c>
      <c r="P19" s="1221">
        <f t="shared" si="8"/>
      </c>
      <c r="Q19" s="1225"/>
      <c r="U19" s="1221">
        <f>IF('PR_Annex_SR-Financials'!B19="","",'PR_Annex_SR-Financials'!B19)</f>
      </c>
      <c r="V19" s="1221">
        <f>IF('PR_Annex_SR-Financials'!C19="","",'PR_Annex_SR-Financials'!C19)</f>
        <v>0</v>
      </c>
      <c r="W19" s="1221">
        <f>IF('PR_Annex_SR-Financials'!D19="","",'PR_Annex_SR-Financials'!D19)</f>
      </c>
      <c r="X19" s="1222"/>
      <c r="Y19" s="1221">
        <f>IF('PR_Annex_SR-Financials'!F19="","",'PR_Annex_SR-Financials'!F19)</f>
        <v>0</v>
      </c>
      <c r="Z19" s="1221">
        <f>IF('PR_Annex_SR-Financials'!G19="","",'PR_Annex_SR-Financials'!G19)</f>
        <v>0</v>
      </c>
      <c r="AA19" s="1222"/>
      <c r="AB19" s="1221">
        <f>IF('PR_Annex_SR-Financials'!I19="","",'PR_Annex_SR-Financials'!I19)</f>
        <v>0</v>
      </c>
      <c r="AC19" s="1221">
        <f>IF('PR_Annex_SR-Financials'!J19="","",'PR_Annex_SR-Financials'!J19)</f>
        <v>0</v>
      </c>
      <c r="AD19" s="1222"/>
      <c r="AE19" s="1221">
        <f>IF('PR_Annex_SR-Financials'!L19="","",'PR_Annex_SR-Financials'!L19)</f>
        <v>0</v>
      </c>
      <c r="AF19" s="1221">
        <f>IF('PR_Annex_SR-Financials'!M19="","",'PR_Annex_SR-Financials'!M19)</f>
      </c>
      <c r="AG19" s="1221">
        <f t="shared" si="9"/>
        <v>0</v>
      </c>
      <c r="AH19" s="1224"/>
      <c r="AI19" s="1226">
        <f>IF('PR_Annex_SR-Financials'!P19="","",'PR_Annex_SR-Financials'!P19)</f>
      </c>
    </row>
    <row r="20" spans="2:35" ht="49.5" customHeight="1">
      <c r="B20" s="1221">
        <f t="shared" si="1"/>
      </c>
      <c r="C20" s="1224">
        <f>IF('PR_Annex_SR-Financials'!C20="","",'PR_Annex_SR-Financials'!C20)</f>
        <v>0</v>
      </c>
      <c r="D20" s="1221">
        <f t="shared" si="0"/>
      </c>
      <c r="E20" s="1222"/>
      <c r="F20" s="1221">
        <f t="shared" si="2"/>
        <v>0</v>
      </c>
      <c r="G20" s="1221">
        <f t="shared" si="3"/>
        <v>0</v>
      </c>
      <c r="H20" s="1222"/>
      <c r="I20" s="1221">
        <f t="shared" si="4"/>
        <v>0</v>
      </c>
      <c r="J20" s="1221">
        <f t="shared" si="5"/>
        <v>0</v>
      </c>
      <c r="K20" s="1222"/>
      <c r="L20" s="1221">
        <f t="shared" si="6"/>
        <v>0</v>
      </c>
      <c r="M20" s="1221">
        <f t="shared" si="10"/>
      </c>
      <c r="N20" s="1223">
        <f t="shared" si="7"/>
        <v>0</v>
      </c>
      <c r="O20" s="1224">
        <v>0</v>
      </c>
      <c r="P20" s="1221">
        <f t="shared" si="8"/>
      </c>
      <c r="Q20" s="1225"/>
      <c r="U20" s="1221">
        <f>IF('PR_Annex_SR-Financials'!B20="","",'PR_Annex_SR-Financials'!B20)</f>
      </c>
      <c r="V20" s="1221">
        <f>IF('PR_Annex_SR-Financials'!C20="","",'PR_Annex_SR-Financials'!C20)</f>
        <v>0</v>
      </c>
      <c r="W20" s="1221">
        <f>IF('PR_Annex_SR-Financials'!D20="","",'PR_Annex_SR-Financials'!D20)</f>
      </c>
      <c r="X20" s="1222"/>
      <c r="Y20" s="1221">
        <f>IF('PR_Annex_SR-Financials'!F20="","",'PR_Annex_SR-Financials'!F20)</f>
        <v>0</v>
      </c>
      <c r="Z20" s="1221">
        <f>IF('PR_Annex_SR-Financials'!G20="","",'PR_Annex_SR-Financials'!G20)</f>
        <v>0</v>
      </c>
      <c r="AA20" s="1222"/>
      <c r="AB20" s="1221">
        <f>IF('PR_Annex_SR-Financials'!I20="","",'PR_Annex_SR-Financials'!I20)</f>
        <v>0</v>
      </c>
      <c r="AC20" s="1221">
        <f>IF('PR_Annex_SR-Financials'!J20="","",'PR_Annex_SR-Financials'!J20)</f>
        <v>0</v>
      </c>
      <c r="AD20" s="1222"/>
      <c r="AE20" s="1221">
        <f>IF('PR_Annex_SR-Financials'!L20="","",'PR_Annex_SR-Financials'!L20)</f>
        <v>0</v>
      </c>
      <c r="AF20" s="1221">
        <f>IF('PR_Annex_SR-Financials'!M20="","",'PR_Annex_SR-Financials'!M20)</f>
      </c>
      <c r="AG20" s="1221">
        <f t="shared" si="9"/>
        <v>0</v>
      </c>
      <c r="AH20" s="1224"/>
      <c r="AI20" s="1226">
        <f>IF('PR_Annex_SR-Financials'!P20="","",'PR_Annex_SR-Financials'!P20)</f>
      </c>
    </row>
    <row r="21" spans="2:35" ht="49.5" customHeight="1">
      <c r="B21" s="1221">
        <f t="shared" si="1"/>
      </c>
      <c r="C21" s="1224">
        <f>IF('PR_Annex_SR-Financials'!C21="","",'PR_Annex_SR-Financials'!C21)</f>
        <v>0</v>
      </c>
      <c r="D21" s="1221">
        <f t="shared" si="0"/>
      </c>
      <c r="E21" s="1222"/>
      <c r="F21" s="1221">
        <f t="shared" si="2"/>
        <v>0</v>
      </c>
      <c r="G21" s="1221">
        <f t="shared" si="3"/>
        <v>0</v>
      </c>
      <c r="H21" s="1222"/>
      <c r="I21" s="1221">
        <f t="shared" si="4"/>
        <v>0</v>
      </c>
      <c r="J21" s="1221">
        <f t="shared" si="5"/>
        <v>0</v>
      </c>
      <c r="K21" s="1222"/>
      <c r="L21" s="1221">
        <f t="shared" si="6"/>
        <v>0</v>
      </c>
      <c r="M21" s="1221">
        <f t="shared" si="10"/>
      </c>
      <c r="N21" s="1223">
        <f t="shared" si="7"/>
        <v>0</v>
      </c>
      <c r="O21" s="1224">
        <v>0</v>
      </c>
      <c r="P21" s="1221">
        <f t="shared" si="8"/>
      </c>
      <c r="Q21" s="1227"/>
      <c r="U21" s="1221">
        <f>IF('PR_Annex_SR-Financials'!B21="","",'PR_Annex_SR-Financials'!B21)</f>
      </c>
      <c r="V21" s="1221">
        <f>IF('PR_Annex_SR-Financials'!C21="","",'PR_Annex_SR-Financials'!C21)</f>
        <v>0</v>
      </c>
      <c r="W21" s="1221">
        <f>IF('PR_Annex_SR-Financials'!D21="","",'PR_Annex_SR-Financials'!D21)</f>
      </c>
      <c r="X21" s="1222"/>
      <c r="Y21" s="1221">
        <f>IF('PR_Annex_SR-Financials'!F21="","",'PR_Annex_SR-Financials'!F21)</f>
        <v>0</v>
      </c>
      <c r="Z21" s="1221">
        <f>IF('PR_Annex_SR-Financials'!G21="","",'PR_Annex_SR-Financials'!G21)</f>
        <v>0</v>
      </c>
      <c r="AA21" s="1222"/>
      <c r="AB21" s="1221">
        <f>IF('PR_Annex_SR-Financials'!I21="","",'PR_Annex_SR-Financials'!I21)</f>
        <v>0</v>
      </c>
      <c r="AC21" s="1221">
        <f>IF('PR_Annex_SR-Financials'!J21="","",'PR_Annex_SR-Financials'!J21)</f>
        <v>0</v>
      </c>
      <c r="AD21" s="1222"/>
      <c r="AE21" s="1221">
        <f>IF('PR_Annex_SR-Financials'!L21="","",'PR_Annex_SR-Financials'!L21)</f>
        <v>0</v>
      </c>
      <c r="AF21" s="1221">
        <f>IF('PR_Annex_SR-Financials'!M21="","",'PR_Annex_SR-Financials'!M21)</f>
      </c>
      <c r="AG21" s="1221">
        <f t="shared" si="9"/>
        <v>0</v>
      </c>
      <c r="AH21" s="1224"/>
      <c r="AI21" s="1226">
        <f>IF('PR_Annex_SR-Financials'!P21="","",'PR_Annex_SR-Financials'!P21)</f>
      </c>
    </row>
    <row r="22" spans="2:35" ht="49.5" customHeight="1">
      <c r="B22" s="1221">
        <f t="shared" si="1"/>
      </c>
      <c r="C22" s="1224">
        <f>IF('PR_Annex_SR-Financials'!C22="","",'PR_Annex_SR-Financials'!C22)</f>
        <v>0</v>
      </c>
      <c r="D22" s="1221">
        <f t="shared" si="0"/>
      </c>
      <c r="E22" s="1222"/>
      <c r="F22" s="1221">
        <f t="shared" si="2"/>
        <v>0</v>
      </c>
      <c r="G22" s="1221">
        <f t="shared" si="3"/>
        <v>0</v>
      </c>
      <c r="H22" s="1222"/>
      <c r="I22" s="1221">
        <f t="shared" si="4"/>
        <v>0</v>
      </c>
      <c r="J22" s="1221">
        <f t="shared" si="5"/>
        <v>0</v>
      </c>
      <c r="K22" s="1222"/>
      <c r="L22" s="1221">
        <f t="shared" si="6"/>
        <v>0</v>
      </c>
      <c r="M22" s="1221">
        <f t="shared" si="10"/>
      </c>
      <c r="N22" s="1223">
        <f t="shared" si="7"/>
        <v>0</v>
      </c>
      <c r="O22" s="1224">
        <v>0</v>
      </c>
      <c r="P22" s="1221">
        <f t="shared" si="8"/>
      </c>
      <c r="Q22" s="1227"/>
      <c r="U22" s="1221">
        <f>IF('PR_Annex_SR-Financials'!B22="","",'PR_Annex_SR-Financials'!B22)</f>
      </c>
      <c r="V22" s="1221">
        <f>IF('PR_Annex_SR-Financials'!C22="","",'PR_Annex_SR-Financials'!C22)</f>
        <v>0</v>
      </c>
      <c r="W22" s="1221">
        <f>IF('PR_Annex_SR-Financials'!D22="","",'PR_Annex_SR-Financials'!D22)</f>
      </c>
      <c r="X22" s="1222"/>
      <c r="Y22" s="1221">
        <f>IF('PR_Annex_SR-Financials'!F22="","",'PR_Annex_SR-Financials'!F22)</f>
        <v>0</v>
      </c>
      <c r="Z22" s="1221">
        <f>IF('PR_Annex_SR-Financials'!G22="","",'PR_Annex_SR-Financials'!G22)</f>
        <v>0</v>
      </c>
      <c r="AA22" s="1222"/>
      <c r="AB22" s="1221">
        <f>IF('PR_Annex_SR-Financials'!I22="","",'PR_Annex_SR-Financials'!I22)</f>
        <v>0</v>
      </c>
      <c r="AC22" s="1221">
        <f>IF('PR_Annex_SR-Financials'!J22="","",'PR_Annex_SR-Financials'!J22)</f>
        <v>0</v>
      </c>
      <c r="AD22" s="1222"/>
      <c r="AE22" s="1221">
        <f>IF('PR_Annex_SR-Financials'!L22="","",'PR_Annex_SR-Financials'!L22)</f>
        <v>0</v>
      </c>
      <c r="AF22" s="1221">
        <f>IF('PR_Annex_SR-Financials'!M22="","",'PR_Annex_SR-Financials'!M22)</f>
      </c>
      <c r="AG22" s="1221">
        <f t="shared" si="9"/>
        <v>0</v>
      </c>
      <c r="AH22" s="1224"/>
      <c r="AI22" s="1226">
        <f>IF('PR_Annex_SR-Financials'!P22="","",'PR_Annex_SR-Financials'!P22)</f>
      </c>
    </row>
    <row r="23" spans="2:35" ht="49.5" customHeight="1">
      <c r="B23" s="1221">
        <f t="shared" si="1"/>
      </c>
      <c r="C23" s="1224">
        <f>IF('PR_Annex_SR-Financials'!C23="","",'PR_Annex_SR-Financials'!C23)</f>
        <v>0</v>
      </c>
      <c r="D23" s="1221">
        <f t="shared" si="0"/>
      </c>
      <c r="E23" s="1222"/>
      <c r="F23" s="1221">
        <f t="shared" si="2"/>
        <v>0</v>
      </c>
      <c r="G23" s="1221">
        <f t="shared" si="3"/>
        <v>0</v>
      </c>
      <c r="H23" s="1222"/>
      <c r="I23" s="1221">
        <f t="shared" si="4"/>
        <v>0</v>
      </c>
      <c r="J23" s="1221">
        <f t="shared" si="5"/>
        <v>0</v>
      </c>
      <c r="K23" s="1222"/>
      <c r="L23" s="1221">
        <f t="shared" si="6"/>
        <v>0</v>
      </c>
      <c r="M23" s="1221">
        <f t="shared" si="10"/>
      </c>
      <c r="N23" s="1223">
        <f t="shared" si="7"/>
        <v>0</v>
      </c>
      <c r="O23" s="1224">
        <v>0</v>
      </c>
      <c r="P23" s="1221">
        <f t="shared" si="8"/>
      </c>
      <c r="Q23" s="1227"/>
      <c r="U23" s="1221">
        <f>IF('PR_Annex_SR-Financials'!B23="","",'PR_Annex_SR-Financials'!B23)</f>
      </c>
      <c r="V23" s="1221">
        <f>IF('PR_Annex_SR-Financials'!C23="","",'PR_Annex_SR-Financials'!C23)</f>
        <v>0</v>
      </c>
      <c r="W23" s="1221">
        <f>IF('PR_Annex_SR-Financials'!D23="","",'PR_Annex_SR-Financials'!D23)</f>
      </c>
      <c r="X23" s="1222"/>
      <c r="Y23" s="1221">
        <f>IF('PR_Annex_SR-Financials'!F23="","",'PR_Annex_SR-Financials'!F23)</f>
        <v>0</v>
      </c>
      <c r="Z23" s="1221">
        <f>IF('PR_Annex_SR-Financials'!G23="","",'PR_Annex_SR-Financials'!G23)</f>
        <v>0</v>
      </c>
      <c r="AA23" s="1222"/>
      <c r="AB23" s="1221">
        <f>IF('PR_Annex_SR-Financials'!I23="","",'PR_Annex_SR-Financials'!I23)</f>
        <v>0</v>
      </c>
      <c r="AC23" s="1221">
        <f>IF('PR_Annex_SR-Financials'!J23="","",'PR_Annex_SR-Financials'!J23)</f>
        <v>0</v>
      </c>
      <c r="AD23" s="1222"/>
      <c r="AE23" s="1221">
        <f>IF('PR_Annex_SR-Financials'!L23="","",'PR_Annex_SR-Financials'!L23)</f>
        <v>0</v>
      </c>
      <c r="AF23" s="1221">
        <f>IF('PR_Annex_SR-Financials'!M23="","",'PR_Annex_SR-Financials'!M23)</f>
      </c>
      <c r="AG23" s="1221">
        <f t="shared" si="9"/>
        <v>0</v>
      </c>
      <c r="AH23" s="1224"/>
      <c r="AI23" s="1226">
        <f>IF('PR_Annex_SR-Financials'!P23="","",'PR_Annex_SR-Financials'!P23)</f>
      </c>
    </row>
    <row r="24" spans="2:35" ht="49.5" customHeight="1">
      <c r="B24" s="1221">
        <f t="shared" si="1"/>
      </c>
      <c r="C24" s="1224">
        <f>IF('PR_Annex_SR-Financials'!C24="","",'PR_Annex_SR-Financials'!C24)</f>
        <v>0</v>
      </c>
      <c r="D24" s="1221">
        <f t="shared" si="0"/>
      </c>
      <c r="E24" s="1222"/>
      <c r="F24" s="1221">
        <f t="shared" si="2"/>
        <v>0</v>
      </c>
      <c r="G24" s="1221">
        <f t="shared" si="3"/>
        <v>0</v>
      </c>
      <c r="H24" s="1222"/>
      <c r="I24" s="1221">
        <f t="shared" si="4"/>
        <v>0</v>
      </c>
      <c r="J24" s="1221">
        <f t="shared" si="5"/>
        <v>0</v>
      </c>
      <c r="K24" s="1222"/>
      <c r="L24" s="1221">
        <f t="shared" si="6"/>
        <v>0</v>
      </c>
      <c r="M24" s="1221">
        <f t="shared" si="10"/>
      </c>
      <c r="N24" s="1223">
        <f t="shared" si="7"/>
        <v>0</v>
      </c>
      <c r="O24" s="1224">
        <v>0</v>
      </c>
      <c r="P24" s="1221">
        <f t="shared" si="8"/>
      </c>
      <c r="Q24" s="1227"/>
      <c r="U24" s="1221">
        <f>IF('PR_Annex_SR-Financials'!B24="","",'PR_Annex_SR-Financials'!B24)</f>
      </c>
      <c r="V24" s="1221">
        <f>IF('PR_Annex_SR-Financials'!C24="","",'PR_Annex_SR-Financials'!C24)</f>
        <v>0</v>
      </c>
      <c r="W24" s="1221">
        <f>IF('PR_Annex_SR-Financials'!D24="","",'PR_Annex_SR-Financials'!D24)</f>
      </c>
      <c r="X24" s="1222"/>
      <c r="Y24" s="1221">
        <f>IF('PR_Annex_SR-Financials'!F24="","",'PR_Annex_SR-Financials'!F24)</f>
        <v>0</v>
      </c>
      <c r="Z24" s="1221">
        <f>IF('PR_Annex_SR-Financials'!G24="","",'PR_Annex_SR-Financials'!G24)</f>
        <v>0</v>
      </c>
      <c r="AA24" s="1222"/>
      <c r="AB24" s="1221">
        <f>IF('PR_Annex_SR-Financials'!I24="","",'PR_Annex_SR-Financials'!I24)</f>
        <v>0</v>
      </c>
      <c r="AC24" s="1221">
        <f>IF('PR_Annex_SR-Financials'!J24="","",'PR_Annex_SR-Financials'!J24)</f>
        <v>0</v>
      </c>
      <c r="AD24" s="1222"/>
      <c r="AE24" s="1221">
        <f>IF('PR_Annex_SR-Financials'!L24="","",'PR_Annex_SR-Financials'!L24)</f>
        <v>0</v>
      </c>
      <c r="AF24" s="1221">
        <f>IF('PR_Annex_SR-Financials'!M24="","",'PR_Annex_SR-Financials'!M24)</f>
      </c>
      <c r="AG24" s="1221">
        <f t="shared" si="9"/>
        <v>0</v>
      </c>
      <c r="AH24" s="1224"/>
      <c r="AI24" s="1226">
        <f>IF('PR_Annex_SR-Financials'!P24="","",'PR_Annex_SR-Financials'!P24)</f>
      </c>
    </row>
    <row r="25" spans="2:35" ht="49.5" customHeight="1">
      <c r="B25" s="1221">
        <f t="shared" si="1"/>
      </c>
      <c r="C25" s="1224">
        <f>IF('PR_Annex_SR-Financials'!C25="","",'PR_Annex_SR-Financials'!C25)</f>
        <v>0</v>
      </c>
      <c r="D25" s="1221">
        <f t="shared" si="0"/>
      </c>
      <c r="E25" s="1222"/>
      <c r="F25" s="1221">
        <f t="shared" si="2"/>
        <v>0</v>
      </c>
      <c r="G25" s="1221">
        <f t="shared" si="3"/>
        <v>0</v>
      </c>
      <c r="H25" s="1222"/>
      <c r="I25" s="1221">
        <f t="shared" si="4"/>
        <v>0</v>
      </c>
      <c r="J25" s="1221">
        <f t="shared" si="5"/>
        <v>0</v>
      </c>
      <c r="K25" s="1222"/>
      <c r="L25" s="1221">
        <f t="shared" si="6"/>
        <v>0</v>
      </c>
      <c r="M25" s="1221">
        <f t="shared" si="10"/>
      </c>
      <c r="N25" s="1223">
        <f t="shared" si="7"/>
        <v>0</v>
      </c>
      <c r="O25" s="1224">
        <v>0</v>
      </c>
      <c r="P25" s="1221">
        <f t="shared" si="8"/>
      </c>
      <c r="Q25" s="1227"/>
      <c r="U25" s="1221">
        <f>IF('PR_Annex_SR-Financials'!B25="","",'PR_Annex_SR-Financials'!B25)</f>
      </c>
      <c r="V25" s="1221">
        <f>IF('PR_Annex_SR-Financials'!C25="","",'PR_Annex_SR-Financials'!C25)</f>
        <v>0</v>
      </c>
      <c r="W25" s="1221">
        <f>IF('PR_Annex_SR-Financials'!D25="","",'PR_Annex_SR-Financials'!D25)</f>
      </c>
      <c r="X25" s="1222"/>
      <c r="Y25" s="1221">
        <f>IF('PR_Annex_SR-Financials'!F25="","",'PR_Annex_SR-Financials'!F25)</f>
        <v>0</v>
      </c>
      <c r="Z25" s="1221">
        <f>IF('PR_Annex_SR-Financials'!G25="","",'PR_Annex_SR-Financials'!G25)</f>
        <v>0</v>
      </c>
      <c r="AA25" s="1222"/>
      <c r="AB25" s="1221">
        <f>IF('PR_Annex_SR-Financials'!I25="","",'PR_Annex_SR-Financials'!I25)</f>
        <v>0</v>
      </c>
      <c r="AC25" s="1221">
        <f>IF('PR_Annex_SR-Financials'!J25="","",'PR_Annex_SR-Financials'!J25)</f>
        <v>0</v>
      </c>
      <c r="AD25" s="1222"/>
      <c r="AE25" s="1221">
        <f>IF('PR_Annex_SR-Financials'!L25="","",'PR_Annex_SR-Financials'!L25)</f>
        <v>0</v>
      </c>
      <c r="AF25" s="1221">
        <f>IF('PR_Annex_SR-Financials'!M25="","",'PR_Annex_SR-Financials'!M25)</f>
      </c>
      <c r="AG25" s="1221">
        <f t="shared" si="9"/>
        <v>0</v>
      </c>
      <c r="AH25" s="1224"/>
      <c r="AI25" s="1226">
        <f>IF('PR_Annex_SR-Financials'!P25="","",'PR_Annex_SR-Financials'!P25)</f>
      </c>
    </row>
    <row r="26" spans="2:35" ht="49.5" customHeight="1">
      <c r="B26" s="1221">
        <f t="shared" si="1"/>
      </c>
      <c r="C26" s="1224">
        <f>IF('PR_Annex_SR-Financials'!C26="","",'PR_Annex_SR-Financials'!C26)</f>
        <v>0</v>
      </c>
      <c r="D26" s="1221">
        <f t="shared" si="0"/>
      </c>
      <c r="E26" s="1222"/>
      <c r="F26" s="1221">
        <f t="shared" si="2"/>
        <v>0</v>
      </c>
      <c r="G26" s="1221">
        <f t="shared" si="3"/>
        <v>0</v>
      </c>
      <c r="H26" s="1222"/>
      <c r="I26" s="1221">
        <f t="shared" si="4"/>
        <v>0</v>
      </c>
      <c r="J26" s="1221">
        <f t="shared" si="5"/>
        <v>0</v>
      </c>
      <c r="K26" s="1222"/>
      <c r="L26" s="1221">
        <f t="shared" si="6"/>
        <v>0</v>
      </c>
      <c r="M26" s="1221">
        <f t="shared" si="10"/>
      </c>
      <c r="N26" s="1223">
        <f t="shared" si="7"/>
        <v>0</v>
      </c>
      <c r="O26" s="1224">
        <v>0</v>
      </c>
      <c r="P26" s="1221">
        <f t="shared" si="8"/>
      </c>
      <c r="Q26" s="1227"/>
      <c r="U26" s="1221">
        <f>IF('PR_Annex_SR-Financials'!B26="","",'PR_Annex_SR-Financials'!B26)</f>
      </c>
      <c r="V26" s="1221">
        <f>IF('PR_Annex_SR-Financials'!C26="","",'PR_Annex_SR-Financials'!C26)</f>
        <v>0</v>
      </c>
      <c r="W26" s="1221">
        <f>IF('PR_Annex_SR-Financials'!D26="","",'PR_Annex_SR-Financials'!D26)</f>
      </c>
      <c r="X26" s="1222"/>
      <c r="Y26" s="1221">
        <f>IF('PR_Annex_SR-Financials'!F26="","",'PR_Annex_SR-Financials'!F26)</f>
        <v>0</v>
      </c>
      <c r="Z26" s="1221">
        <f>IF('PR_Annex_SR-Financials'!G26="","",'PR_Annex_SR-Financials'!G26)</f>
        <v>0</v>
      </c>
      <c r="AA26" s="1222"/>
      <c r="AB26" s="1221">
        <f>IF('PR_Annex_SR-Financials'!I26="","",'PR_Annex_SR-Financials'!I26)</f>
        <v>0</v>
      </c>
      <c r="AC26" s="1221">
        <f>IF('PR_Annex_SR-Financials'!J26="","",'PR_Annex_SR-Financials'!J26)</f>
        <v>0</v>
      </c>
      <c r="AD26" s="1222"/>
      <c r="AE26" s="1221">
        <f>IF('PR_Annex_SR-Financials'!L26="","",'PR_Annex_SR-Financials'!L26)</f>
        <v>0</v>
      </c>
      <c r="AF26" s="1221">
        <f>IF('PR_Annex_SR-Financials'!M26="","",'PR_Annex_SR-Financials'!M26)</f>
      </c>
      <c r="AG26" s="1221">
        <f t="shared" si="9"/>
        <v>0</v>
      </c>
      <c r="AH26" s="1224"/>
      <c r="AI26" s="1226">
        <f>IF('PR_Annex_SR-Financials'!P26="","",'PR_Annex_SR-Financials'!P26)</f>
      </c>
    </row>
    <row r="27" spans="2:35" ht="49.5" customHeight="1">
      <c r="B27" s="1221">
        <f t="shared" si="1"/>
      </c>
      <c r="C27" s="1224">
        <f>IF('PR_Annex_SR-Financials'!C27="","",'PR_Annex_SR-Financials'!C27)</f>
        <v>0</v>
      </c>
      <c r="D27" s="1221">
        <f t="shared" si="0"/>
      </c>
      <c r="E27" s="1222"/>
      <c r="F27" s="1221">
        <f t="shared" si="2"/>
        <v>0</v>
      </c>
      <c r="G27" s="1221">
        <f t="shared" si="3"/>
        <v>0</v>
      </c>
      <c r="H27" s="1222"/>
      <c r="I27" s="1221">
        <f t="shared" si="4"/>
        <v>0</v>
      </c>
      <c r="J27" s="1221">
        <f t="shared" si="5"/>
        <v>0</v>
      </c>
      <c r="K27" s="1222"/>
      <c r="L27" s="1221">
        <f t="shared" si="6"/>
        <v>0</v>
      </c>
      <c r="M27" s="1221">
        <f t="shared" si="10"/>
      </c>
      <c r="N27" s="1223">
        <f t="shared" si="7"/>
        <v>0</v>
      </c>
      <c r="O27" s="1224">
        <v>0</v>
      </c>
      <c r="P27" s="1221">
        <f t="shared" si="8"/>
      </c>
      <c r="Q27" s="1227"/>
      <c r="U27" s="1221">
        <f>IF('PR_Annex_SR-Financials'!B27="","",'PR_Annex_SR-Financials'!B27)</f>
      </c>
      <c r="V27" s="1221">
        <f>IF('PR_Annex_SR-Financials'!C27="","",'PR_Annex_SR-Financials'!C27)</f>
        <v>0</v>
      </c>
      <c r="W27" s="1221">
        <f>IF('PR_Annex_SR-Financials'!D27="","",'PR_Annex_SR-Financials'!D27)</f>
      </c>
      <c r="X27" s="1222"/>
      <c r="Y27" s="1221">
        <f>IF('PR_Annex_SR-Financials'!F27="","",'PR_Annex_SR-Financials'!F27)</f>
        <v>0</v>
      </c>
      <c r="Z27" s="1221">
        <f>IF('PR_Annex_SR-Financials'!G27="","",'PR_Annex_SR-Financials'!G27)</f>
        <v>0</v>
      </c>
      <c r="AA27" s="1222"/>
      <c r="AB27" s="1221">
        <f>IF('PR_Annex_SR-Financials'!I27="","",'PR_Annex_SR-Financials'!I27)</f>
        <v>0</v>
      </c>
      <c r="AC27" s="1221">
        <f>IF('PR_Annex_SR-Financials'!J27="","",'PR_Annex_SR-Financials'!J27)</f>
        <v>0</v>
      </c>
      <c r="AD27" s="1222"/>
      <c r="AE27" s="1221">
        <f>IF('PR_Annex_SR-Financials'!L27="","",'PR_Annex_SR-Financials'!L27)</f>
        <v>0</v>
      </c>
      <c r="AF27" s="1221">
        <f>IF('PR_Annex_SR-Financials'!M27="","",'PR_Annex_SR-Financials'!M27)</f>
      </c>
      <c r="AG27" s="1221">
        <f t="shared" si="9"/>
        <v>0</v>
      </c>
      <c r="AH27" s="1224"/>
      <c r="AI27" s="1226">
        <f>IF('PR_Annex_SR-Financials'!P27="","",'PR_Annex_SR-Financials'!P27)</f>
      </c>
    </row>
    <row r="28" spans="2:35" ht="49.5" customHeight="1">
      <c r="B28" s="1221">
        <f t="shared" si="1"/>
      </c>
      <c r="C28" s="1224">
        <f>IF('PR_Annex_SR-Financials'!C28="","",'PR_Annex_SR-Financials'!C28)</f>
        <v>0</v>
      </c>
      <c r="D28" s="1221">
        <f t="shared" si="0"/>
      </c>
      <c r="E28" s="1222"/>
      <c r="F28" s="1221">
        <f t="shared" si="2"/>
        <v>0</v>
      </c>
      <c r="G28" s="1221">
        <f t="shared" si="3"/>
        <v>0</v>
      </c>
      <c r="H28" s="1222"/>
      <c r="I28" s="1221">
        <f t="shared" si="4"/>
        <v>0</v>
      </c>
      <c r="J28" s="1221">
        <f t="shared" si="5"/>
        <v>0</v>
      </c>
      <c r="K28" s="1222"/>
      <c r="L28" s="1221">
        <f t="shared" si="6"/>
        <v>0</v>
      </c>
      <c r="M28" s="1221">
        <f t="shared" si="10"/>
      </c>
      <c r="N28" s="1223">
        <f t="shared" si="7"/>
        <v>0</v>
      </c>
      <c r="O28" s="1224">
        <v>0</v>
      </c>
      <c r="P28" s="1221">
        <f t="shared" si="8"/>
      </c>
      <c r="Q28" s="1227"/>
      <c r="U28" s="1221">
        <f>IF('PR_Annex_SR-Financials'!B28="","",'PR_Annex_SR-Financials'!B28)</f>
      </c>
      <c r="V28" s="1221">
        <f>IF('PR_Annex_SR-Financials'!C28="","",'PR_Annex_SR-Financials'!C28)</f>
        <v>0</v>
      </c>
      <c r="W28" s="1221">
        <f>IF('PR_Annex_SR-Financials'!D28="","",'PR_Annex_SR-Financials'!D28)</f>
      </c>
      <c r="X28" s="1222"/>
      <c r="Y28" s="1221">
        <f>IF('PR_Annex_SR-Financials'!F28="","",'PR_Annex_SR-Financials'!F28)</f>
        <v>0</v>
      </c>
      <c r="Z28" s="1221">
        <f>IF('PR_Annex_SR-Financials'!G28="","",'PR_Annex_SR-Financials'!G28)</f>
        <v>0</v>
      </c>
      <c r="AA28" s="1222"/>
      <c r="AB28" s="1221">
        <f>IF('PR_Annex_SR-Financials'!I28="","",'PR_Annex_SR-Financials'!I28)</f>
        <v>0</v>
      </c>
      <c r="AC28" s="1221">
        <f>IF('PR_Annex_SR-Financials'!J28="","",'PR_Annex_SR-Financials'!J28)</f>
        <v>0</v>
      </c>
      <c r="AD28" s="1222"/>
      <c r="AE28" s="1221">
        <f>IF('PR_Annex_SR-Financials'!L28="","",'PR_Annex_SR-Financials'!L28)</f>
        <v>0</v>
      </c>
      <c r="AF28" s="1221">
        <f>IF('PR_Annex_SR-Financials'!M28="","",'PR_Annex_SR-Financials'!M28)</f>
      </c>
      <c r="AG28" s="1221">
        <f t="shared" si="9"/>
        <v>0</v>
      </c>
      <c r="AH28" s="1224"/>
      <c r="AI28" s="1226">
        <f>IF('PR_Annex_SR-Financials'!P28="","",'PR_Annex_SR-Financials'!P28)</f>
      </c>
    </row>
    <row r="29" spans="2:35" ht="49.5" customHeight="1">
      <c r="B29" s="1221">
        <f t="shared" si="1"/>
      </c>
      <c r="C29" s="1224">
        <f>IF('PR_Annex_SR-Financials'!C29="","",'PR_Annex_SR-Financials'!C29)</f>
        <v>0</v>
      </c>
      <c r="D29" s="1221">
        <f t="shared" si="0"/>
      </c>
      <c r="E29" s="1222"/>
      <c r="F29" s="1221">
        <f t="shared" si="2"/>
        <v>0</v>
      </c>
      <c r="G29" s="1221">
        <f t="shared" si="3"/>
        <v>0</v>
      </c>
      <c r="H29" s="1222"/>
      <c r="I29" s="1221">
        <f t="shared" si="4"/>
        <v>0</v>
      </c>
      <c r="J29" s="1221">
        <f t="shared" si="5"/>
        <v>0</v>
      </c>
      <c r="K29" s="1222"/>
      <c r="L29" s="1221">
        <f t="shared" si="6"/>
        <v>0</v>
      </c>
      <c r="M29" s="1221">
        <f t="shared" si="10"/>
      </c>
      <c r="N29" s="1223">
        <f t="shared" si="7"/>
        <v>0</v>
      </c>
      <c r="O29" s="1224">
        <v>0</v>
      </c>
      <c r="P29" s="1221">
        <f t="shared" si="8"/>
      </c>
      <c r="Q29" s="1227"/>
      <c r="U29" s="1221">
        <f>IF('PR_Annex_SR-Financials'!B29="","",'PR_Annex_SR-Financials'!B29)</f>
      </c>
      <c r="V29" s="1221">
        <f>IF('PR_Annex_SR-Financials'!C29="","",'PR_Annex_SR-Financials'!C29)</f>
        <v>0</v>
      </c>
      <c r="W29" s="1221">
        <f>IF('PR_Annex_SR-Financials'!D29="","",'PR_Annex_SR-Financials'!D29)</f>
      </c>
      <c r="X29" s="1222"/>
      <c r="Y29" s="1221">
        <f>IF('PR_Annex_SR-Financials'!F29="","",'PR_Annex_SR-Financials'!F29)</f>
        <v>0</v>
      </c>
      <c r="Z29" s="1221">
        <f>IF('PR_Annex_SR-Financials'!G29="","",'PR_Annex_SR-Financials'!G29)</f>
        <v>0</v>
      </c>
      <c r="AA29" s="1222"/>
      <c r="AB29" s="1221">
        <f>IF('PR_Annex_SR-Financials'!I29="","",'PR_Annex_SR-Financials'!I29)</f>
        <v>0</v>
      </c>
      <c r="AC29" s="1221">
        <f>IF('PR_Annex_SR-Financials'!J29="","",'PR_Annex_SR-Financials'!J29)</f>
        <v>0</v>
      </c>
      <c r="AD29" s="1222"/>
      <c r="AE29" s="1221">
        <f>IF('PR_Annex_SR-Financials'!L29="","",'PR_Annex_SR-Financials'!L29)</f>
        <v>0</v>
      </c>
      <c r="AF29" s="1221">
        <f>IF('PR_Annex_SR-Financials'!M29="","",'PR_Annex_SR-Financials'!M29)</f>
      </c>
      <c r="AG29" s="1221">
        <f t="shared" si="9"/>
        <v>0</v>
      </c>
      <c r="AH29" s="1224"/>
      <c r="AI29" s="1226">
        <f>IF('PR_Annex_SR-Financials'!P29="","",'PR_Annex_SR-Financials'!P29)</f>
      </c>
    </row>
    <row r="30" spans="2:35" ht="49.5" customHeight="1">
      <c r="B30" s="1221">
        <f t="shared" si="1"/>
      </c>
      <c r="C30" s="1224">
        <f>IF('PR_Annex_SR-Financials'!C30="","",'PR_Annex_SR-Financials'!C30)</f>
        <v>0</v>
      </c>
      <c r="D30" s="1221">
        <f t="shared" si="0"/>
      </c>
      <c r="E30" s="1222"/>
      <c r="F30" s="1221">
        <f t="shared" si="2"/>
        <v>0</v>
      </c>
      <c r="G30" s="1221">
        <f t="shared" si="3"/>
        <v>0</v>
      </c>
      <c r="H30" s="1222"/>
      <c r="I30" s="1221">
        <f t="shared" si="4"/>
        <v>0</v>
      </c>
      <c r="J30" s="1221">
        <f t="shared" si="5"/>
        <v>0</v>
      </c>
      <c r="K30" s="1222"/>
      <c r="L30" s="1221">
        <f t="shared" si="6"/>
        <v>0</v>
      </c>
      <c r="M30" s="1221">
        <f t="shared" si="10"/>
      </c>
      <c r="N30" s="1223">
        <f t="shared" si="7"/>
        <v>0</v>
      </c>
      <c r="O30" s="1224">
        <v>0</v>
      </c>
      <c r="P30" s="1221">
        <f t="shared" si="8"/>
      </c>
      <c r="Q30" s="1227"/>
      <c r="U30" s="1221">
        <f>IF('PR_Annex_SR-Financials'!B30="","",'PR_Annex_SR-Financials'!B30)</f>
      </c>
      <c r="V30" s="1221">
        <f>IF('PR_Annex_SR-Financials'!C30="","",'PR_Annex_SR-Financials'!C30)</f>
        <v>0</v>
      </c>
      <c r="W30" s="1221">
        <f>IF('PR_Annex_SR-Financials'!D30="","",'PR_Annex_SR-Financials'!D30)</f>
      </c>
      <c r="X30" s="1222"/>
      <c r="Y30" s="1221">
        <f>IF('PR_Annex_SR-Financials'!F30="","",'PR_Annex_SR-Financials'!F30)</f>
        <v>0</v>
      </c>
      <c r="Z30" s="1221">
        <f>IF('PR_Annex_SR-Financials'!G30="","",'PR_Annex_SR-Financials'!G30)</f>
        <v>0</v>
      </c>
      <c r="AA30" s="1222"/>
      <c r="AB30" s="1221">
        <f>IF('PR_Annex_SR-Financials'!I30="","",'PR_Annex_SR-Financials'!I30)</f>
        <v>0</v>
      </c>
      <c r="AC30" s="1221">
        <f>IF('PR_Annex_SR-Financials'!J30="","",'PR_Annex_SR-Financials'!J30)</f>
        <v>0</v>
      </c>
      <c r="AD30" s="1222"/>
      <c r="AE30" s="1221">
        <f>IF('PR_Annex_SR-Financials'!L30="","",'PR_Annex_SR-Financials'!L30)</f>
        <v>0</v>
      </c>
      <c r="AF30" s="1221">
        <f>IF('PR_Annex_SR-Financials'!M30="","",'PR_Annex_SR-Financials'!M30)</f>
      </c>
      <c r="AG30" s="1221">
        <f t="shared" si="9"/>
        <v>0</v>
      </c>
      <c r="AH30" s="1224"/>
      <c r="AI30" s="1226">
        <f>IF('PR_Annex_SR-Financials'!P30="","",'PR_Annex_SR-Financials'!P30)</f>
      </c>
    </row>
    <row r="31" spans="2:35" ht="49.5" customHeight="1">
      <c r="B31" s="1221">
        <f t="shared" si="1"/>
      </c>
      <c r="C31" s="1224">
        <f>IF('PR_Annex_SR-Financials'!C31="","",'PR_Annex_SR-Financials'!C31)</f>
        <v>0</v>
      </c>
      <c r="D31" s="1221">
        <f>W31</f>
      </c>
      <c r="E31" s="1222"/>
      <c r="F31" s="1221">
        <f t="shared" si="2"/>
        <v>0</v>
      </c>
      <c r="G31" s="1221">
        <f t="shared" si="3"/>
        <v>0</v>
      </c>
      <c r="H31" s="1222"/>
      <c r="I31" s="1221">
        <f t="shared" si="4"/>
        <v>0</v>
      </c>
      <c r="J31" s="1221">
        <f t="shared" si="5"/>
        <v>0</v>
      </c>
      <c r="K31" s="1222"/>
      <c r="L31" s="1221">
        <f t="shared" si="6"/>
        <v>0</v>
      </c>
      <c r="M31" s="1221">
        <f t="shared" si="10"/>
      </c>
      <c r="N31" s="1223">
        <f t="shared" si="7"/>
        <v>0</v>
      </c>
      <c r="O31" s="1224">
        <v>0</v>
      </c>
      <c r="P31" s="1221">
        <f t="shared" si="8"/>
      </c>
      <c r="Q31" s="1227"/>
      <c r="U31" s="1221">
        <f>IF('PR_Annex_SR-Financials'!B31="","",'PR_Annex_SR-Financials'!B31)</f>
      </c>
      <c r="V31" s="1221">
        <f>IF('PR_Annex_SR-Financials'!C31="","",'PR_Annex_SR-Financials'!C31)</f>
        <v>0</v>
      </c>
      <c r="W31" s="1221">
        <f>IF('PR_Annex_SR-Financials'!D31="","",'PR_Annex_SR-Financials'!D31)</f>
      </c>
      <c r="X31" s="1222"/>
      <c r="Y31" s="1221">
        <f>IF('PR_Annex_SR-Financials'!F31="","",'PR_Annex_SR-Financials'!F31)</f>
        <v>0</v>
      </c>
      <c r="Z31" s="1221">
        <f>IF('PR_Annex_SR-Financials'!G31="","",'PR_Annex_SR-Financials'!G31)</f>
        <v>0</v>
      </c>
      <c r="AA31" s="1222"/>
      <c r="AB31" s="1221">
        <f>IF('PR_Annex_SR-Financials'!I31="","",'PR_Annex_SR-Financials'!I31)</f>
        <v>0</v>
      </c>
      <c r="AC31" s="1221">
        <f>IF('PR_Annex_SR-Financials'!J31="","",'PR_Annex_SR-Financials'!J31)</f>
        <v>0</v>
      </c>
      <c r="AD31" s="1222"/>
      <c r="AE31" s="1221">
        <f>IF('PR_Annex_SR-Financials'!L31="","",'PR_Annex_SR-Financials'!L31)</f>
        <v>0</v>
      </c>
      <c r="AF31" s="1221">
        <f>IF('PR_Annex_SR-Financials'!M31="","",'PR_Annex_SR-Financials'!M31)</f>
      </c>
      <c r="AG31" s="1221">
        <f t="shared" si="9"/>
        <v>0</v>
      </c>
      <c r="AH31" s="1224"/>
      <c r="AI31" s="1226">
        <f>IF('PR_Annex_SR-Financials'!P31="","",'PR_Annex_SR-Financials'!P31)</f>
      </c>
    </row>
    <row r="32" spans="2:35" ht="49.5" customHeight="1">
      <c r="B32" s="1221">
        <f t="shared" si="1"/>
      </c>
      <c r="C32" s="1224">
        <f>IF('PR_Annex_SR-Financials'!C32="","",'PR_Annex_SR-Financials'!C32)</f>
        <v>0</v>
      </c>
      <c r="D32" s="1221">
        <f>W32</f>
      </c>
      <c r="E32" s="1222"/>
      <c r="F32" s="1221">
        <f t="shared" si="2"/>
        <v>0</v>
      </c>
      <c r="G32" s="1221">
        <f t="shared" si="3"/>
        <v>0</v>
      </c>
      <c r="H32" s="1222"/>
      <c r="I32" s="1221">
        <f t="shared" si="4"/>
        <v>0</v>
      </c>
      <c r="J32" s="1221">
        <f t="shared" si="5"/>
        <v>0</v>
      </c>
      <c r="K32" s="1222"/>
      <c r="L32" s="1221">
        <f t="shared" si="6"/>
        <v>0</v>
      </c>
      <c r="M32" s="1221">
        <f t="shared" si="10"/>
      </c>
      <c r="N32" s="1223">
        <f t="shared" si="7"/>
        <v>0</v>
      </c>
      <c r="O32" s="1224">
        <v>0</v>
      </c>
      <c r="P32" s="1221">
        <f t="shared" si="8"/>
      </c>
      <c r="Q32" s="1227"/>
      <c r="U32" s="1221">
        <f>IF('PR_Annex_SR-Financials'!B32="","",'PR_Annex_SR-Financials'!B32)</f>
      </c>
      <c r="V32" s="1221">
        <f>IF('PR_Annex_SR-Financials'!C32="","",'PR_Annex_SR-Financials'!C32)</f>
        <v>0</v>
      </c>
      <c r="W32" s="1221">
        <f>IF('PR_Annex_SR-Financials'!D32="","",'PR_Annex_SR-Financials'!D32)</f>
      </c>
      <c r="X32" s="1222"/>
      <c r="Y32" s="1221">
        <f>IF('PR_Annex_SR-Financials'!F32="","",'PR_Annex_SR-Financials'!F32)</f>
        <v>0</v>
      </c>
      <c r="Z32" s="1221">
        <f>IF('PR_Annex_SR-Financials'!G32="","",'PR_Annex_SR-Financials'!G32)</f>
        <v>0</v>
      </c>
      <c r="AA32" s="1222"/>
      <c r="AB32" s="1221">
        <f>IF('PR_Annex_SR-Financials'!I32="","",'PR_Annex_SR-Financials'!I32)</f>
        <v>0</v>
      </c>
      <c r="AC32" s="1221">
        <f>IF('PR_Annex_SR-Financials'!J32="","",'PR_Annex_SR-Financials'!J32)</f>
        <v>0</v>
      </c>
      <c r="AD32" s="1222"/>
      <c r="AE32" s="1221">
        <f>IF('PR_Annex_SR-Financials'!L32="","",'PR_Annex_SR-Financials'!L32)</f>
        <v>0</v>
      </c>
      <c r="AF32" s="1221">
        <f>IF('PR_Annex_SR-Financials'!M32="","",'PR_Annex_SR-Financials'!M32)</f>
      </c>
      <c r="AG32" s="1221">
        <f t="shared" si="9"/>
        <v>0</v>
      </c>
      <c r="AH32" s="1224"/>
      <c r="AI32" s="1226">
        <f>IF('PR_Annex_SR-Financials'!P32="","",'PR_Annex_SR-Financials'!P32)</f>
      </c>
    </row>
    <row r="33" spans="2:35" ht="49.5" customHeight="1">
      <c r="B33" s="1221">
        <f t="shared" si="1"/>
      </c>
      <c r="C33" s="1224">
        <f>IF('PR_Annex_SR-Financials'!C33="","",'PR_Annex_SR-Financials'!C33)</f>
        <v>0</v>
      </c>
      <c r="D33" s="1221">
        <f>W33</f>
      </c>
      <c r="E33" s="1222"/>
      <c r="F33" s="1221">
        <f t="shared" si="2"/>
        <v>0</v>
      </c>
      <c r="G33" s="1221">
        <f t="shared" si="3"/>
        <v>0</v>
      </c>
      <c r="H33" s="1222"/>
      <c r="I33" s="1221">
        <f t="shared" si="4"/>
        <v>0</v>
      </c>
      <c r="J33" s="1221">
        <f t="shared" si="5"/>
        <v>0</v>
      </c>
      <c r="K33" s="1222"/>
      <c r="L33" s="1221">
        <f t="shared" si="6"/>
        <v>0</v>
      </c>
      <c r="M33" s="1221">
        <f t="shared" si="10"/>
      </c>
      <c r="N33" s="1223">
        <f t="shared" si="7"/>
        <v>0</v>
      </c>
      <c r="O33" s="1224">
        <v>0</v>
      </c>
      <c r="P33" s="1221">
        <f t="shared" si="8"/>
      </c>
      <c r="Q33" s="1227"/>
      <c r="U33" s="1221">
        <f>IF('PR_Annex_SR-Financials'!B33="","",'PR_Annex_SR-Financials'!B33)</f>
      </c>
      <c r="V33" s="1221">
        <f>IF('PR_Annex_SR-Financials'!C33="","",'PR_Annex_SR-Financials'!C33)</f>
        <v>0</v>
      </c>
      <c r="W33" s="1221">
        <f>IF('PR_Annex_SR-Financials'!D33="","",'PR_Annex_SR-Financials'!D33)</f>
      </c>
      <c r="X33" s="1222"/>
      <c r="Y33" s="1221">
        <f>IF('PR_Annex_SR-Financials'!F33="","",'PR_Annex_SR-Financials'!F33)</f>
        <v>0</v>
      </c>
      <c r="Z33" s="1221">
        <f>IF('PR_Annex_SR-Financials'!G33="","",'PR_Annex_SR-Financials'!G33)</f>
        <v>0</v>
      </c>
      <c r="AA33" s="1222"/>
      <c r="AB33" s="1221">
        <f>IF('PR_Annex_SR-Financials'!I33="","",'PR_Annex_SR-Financials'!I33)</f>
        <v>0</v>
      </c>
      <c r="AC33" s="1221">
        <f>IF('PR_Annex_SR-Financials'!J33="","",'PR_Annex_SR-Financials'!J33)</f>
        <v>0</v>
      </c>
      <c r="AD33" s="1222"/>
      <c r="AE33" s="1221">
        <f>IF('PR_Annex_SR-Financials'!L33="","",'PR_Annex_SR-Financials'!L33)</f>
        <v>0</v>
      </c>
      <c r="AF33" s="1221">
        <f>IF('PR_Annex_SR-Financials'!M33="","",'PR_Annex_SR-Financials'!M33)</f>
      </c>
      <c r="AG33" s="1221">
        <f t="shared" si="9"/>
        <v>0</v>
      </c>
      <c r="AH33" s="1224"/>
      <c r="AI33" s="1226">
        <f>IF('PR_Annex_SR-Financials'!P33="","",'PR_Annex_SR-Financials'!P33)</f>
      </c>
    </row>
    <row r="34" spans="2:35" ht="49.5" customHeight="1">
      <c r="B34" s="1221">
        <f t="shared" si="1"/>
      </c>
      <c r="C34" s="1224">
        <f>IF('PR_Annex_SR-Financials'!C34="","",'PR_Annex_SR-Financials'!C34)</f>
        <v>0</v>
      </c>
      <c r="D34" s="1221">
        <f>W34</f>
      </c>
      <c r="E34" s="1222"/>
      <c r="F34" s="1221">
        <f>Y34</f>
        <v>0</v>
      </c>
      <c r="G34" s="1221">
        <f>Z34</f>
        <v>0</v>
      </c>
      <c r="H34" s="1222"/>
      <c r="I34" s="1221">
        <f t="shared" si="4"/>
        <v>0</v>
      </c>
      <c r="J34" s="1221">
        <f t="shared" si="5"/>
        <v>0</v>
      </c>
      <c r="K34" s="1222"/>
      <c r="L34" s="1221"/>
      <c r="M34" s="1221">
        <f t="shared" si="10"/>
      </c>
      <c r="N34" s="1223">
        <f t="shared" si="7"/>
        <v>0</v>
      </c>
      <c r="O34" s="1224">
        <v>0</v>
      </c>
      <c r="P34" s="1221">
        <f t="shared" si="8"/>
      </c>
      <c r="Q34" s="1227"/>
      <c r="U34" s="1221">
        <f>IF('PR_Annex_SR-Financials'!B34="","",'PR_Annex_SR-Financials'!B34)</f>
      </c>
      <c r="V34" s="1221">
        <f>IF('PR_Annex_SR-Financials'!C34="","",'PR_Annex_SR-Financials'!C34)</f>
        <v>0</v>
      </c>
      <c r="W34" s="1221">
        <f>IF('PR_Annex_SR-Financials'!D34="","",'PR_Annex_SR-Financials'!D34)</f>
      </c>
      <c r="X34" s="1222"/>
      <c r="Y34" s="1221">
        <f>IF('PR_Annex_SR-Financials'!F34="","",'PR_Annex_SR-Financials'!F34)</f>
        <v>0</v>
      </c>
      <c r="Z34" s="1221">
        <f>IF('PR_Annex_SR-Financials'!G34="","",'PR_Annex_SR-Financials'!G34)</f>
        <v>0</v>
      </c>
      <c r="AA34" s="1222"/>
      <c r="AB34" s="1221">
        <f>IF('PR_Annex_SR-Financials'!I34="","",'PR_Annex_SR-Financials'!I34)</f>
        <v>0</v>
      </c>
      <c r="AC34" s="1221">
        <f>IF('PR_Annex_SR-Financials'!J34="","",'PR_Annex_SR-Financials'!J34)</f>
        <v>0</v>
      </c>
      <c r="AD34" s="1222"/>
      <c r="AE34" s="1221">
        <f>IF('PR_Annex_SR-Financials'!L34="","",'PR_Annex_SR-Financials'!L34)</f>
        <v>0</v>
      </c>
      <c r="AF34" s="1221">
        <f>IF('PR_Annex_SR-Financials'!M34="","",'PR_Annex_SR-Financials'!M34)</f>
      </c>
      <c r="AG34" s="1221">
        <f t="shared" si="9"/>
        <v>0</v>
      </c>
      <c r="AH34" s="1224"/>
      <c r="AI34" s="1226">
        <f>IF('PR_Annex_SR-Financials'!P34="","",'PR_Annex_SR-Financials'!P34)</f>
      </c>
    </row>
    <row r="35" spans="2:17" ht="12.75" customHeight="1">
      <c r="B35" s="664"/>
      <c r="C35" s="665"/>
      <c r="D35" s="664"/>
      <c r="E35" s="466"/>
      <c r="F35" s="1228"/>
      <c r="G35" s="1228"/>
      <c r="H35" s="466"/>
      <c r="I35" s="1228"/>
      <c r="J35" s="1228"/>
      <c r="K35" s="466"/>
      <c r="L35" s="1228"/>
      <c r="M35" s="1229"/>
      <c r="N35" s="1228"/>
      <c r="O35" s="1230"/>
      <c r="P35" s="1229"/>
      <c r="Q35" s="664"/>
    </row>
    <row r="36" spans="2:33" ht="15">
      <c r="B36" s="664" t="s">
        <v>579</v>
      </c>
      <c r="C36" s="665"/>
      <c r="D36" s="664"/>
      <c r="E36" s="466"/>
      <c r="F36" s="1231">
        <f>SUM(F15:F34)</f>
        <v>0</v>
      </c>
      <c r="G36" s="1231">
        <f>SUM(G15:G34)</f>
        <v>0</v>
      </c>
      <c r="H36" s="1232"/>
      <c r="I36" s="1231">
        <f>SUM(I15:I34)</f>
        <v>0</v>
      </c>
      <c r="J36" s="1231">
        <f>SUM(J15:J34)</f>
        <v>0</v>
      </c>
      <c r="K36" s="1232"/>
      <c r="L36" s="1231">
        <f>SUM(L15:L34)</f>
        <v>0</v>
      </c>
      <c r="M36" s="1233"/>
      <c r="N36" s="1231" t="e">
        <f>SUM(N15:N34)</f>
        <v>#VALUE!</v>
      </c>
      <c r="O36" s="1230"/>
      <c r="P36" s="1234"/>
      <c r="Q36" s="664"/>
      <c r="U36" s="664" t="s">
        <v>579</v>
      </c>
      <c r="V36" s="665"/>
      <c r="W36" s="664"/>
      <c r="X36" s="466"/>
      <c r="Y36" s="1235">
        <f>SUM(Y15:Y34)</f>
        <v>0</v>
      </c>
      <c r="Z36" s="1235">
        <f>SUM(Z15:Z34)</f>
        <v>0</v>
      </c>
      <c r="AA36" s="466"/>
      <c r="AB36" s="1235">
        <f>SUM(AB15:AB34)</f>
        <v>0</v>
      </c>
      <c r="AC36" s="1235">
        <f>SUM(AC15:AC34)</f>
        <v>0</v>
      </c>
      <c r="AD36" s="466"/>
      <c r="AE36" s="1235">
        <f>SUM(AE15:AE34)</f>
        <v>0</v>
      </c>
      <c r="AF36" s="1236"/>
      <c r="AG36" s="1235" t="e">
        <f>SUM(AG15:AG34)</f>
        <v>#VALUE!</v>
      </c>
    </row>
    <row r="37" spans="2:17" ht="14.25">
      <c r="B37" s="666"/>
      <c r="C37" s="666"/>
      <c r="D37" s="666"/>
      <c r="E37" s="666"/>
      <c r="F37" s="666"/>
      <c r="G37" s="666"/>
      <c r="H37" s="666"/>
      <c r="I37" s="666"/>
      <c r="J37" s="666"/>
      <c r="K37" s="666"/>
      <c r="L37" s="666"/>
      <c r="M37" s="666"/>
      <c r="N37" s="672"/>
      <c r="O37" s="666"/>
      <c r="P37" s="666"/>
      <c r="Q37" s="666"/>
    </row>
    <row r="38" spans="2:17" ht="14.25">
      <c r="B38" s="666" t="s">
        <v>249</v>
      </c>
      <c r="C38" s="666"/>
      <c r="D38" s="666"/>
      <c r="E38" s="666"/>
      <c r="F38" s="666"/>
      <c r="G38" s="666"/>
      <c r="H38" s="666"/>
      <c r="I38" s="666"/>
      <c r="J38" s="666"/>
      <c r="K38" s="666"/>
      <c r="L38" s="666"/>
      <c r="M38" s="666"/>
      <c r="N38" s="672"/>
      <c r="O38" s="666"/>
      <c r="P38" s="666"/>
      <c r="Q38" s="666"/>
    </row>
    <row r="39" spans="2:17" ht="14.25">
      <c r="B39" s="666" t="s">
        <v>252</v>
      </c>
      <c r="C39" s="666"/>
      <c r="D39" s="666"/>
      <c r="E39" s="666"/>
      <c r="F39" s="666"/>
      <c r="G39" s="666"/>
      <c r="H39" s="666"/>
      <c r="I39" s="666"/>
      <c r="J39" s="666"/>
      <c r="K39" s="666"/>
      <c r="L39" s="666"/>
      <c r="M39" s="666"/>
      <c r="N39" s="672"/>
      <c r="O39" s="666"/>
      <c r="P39" s="666"/>
      <c r="Q39" s="666"/>
    </row>
  </sheetData>
  <sheetProtection selectLockedCells="1" selectUnlockedCells="1"/>
  <mergeCells count="8">
    <mergeCell ref="B11:Q11"/>
    <mergeCell ref="B1:Q1"/>
    <mergeCell ref="B3:Q3"/>
    <mergeCell ref="H6:I6"/>
    <mergeCell ref="H7:I7"/>
    <mergeCell ref="G8:L8"/>
    <mergeCell ref="B9:F9"/>
    <mergeCell ref="G9:L9"/>
  </mergeCells>
  <conditionalFormatting sqref="F36:N36 B15:P34">
    <cfRule type="cellIs" priority="1" dxfId="1" operator="notEqual" stopIfTrue="1">
      <formula>U15</formula>
    </cfRule>
  </conditionalFormatting>
  <printOptions horizontalCentered="1"/>
  <pageMargins left="0.31527777777777777" right="0.31527777777777777" top="0.5902777777777778" bottom="0.5902777777777777" header="0.5118055555555555" footer="0.5118055555555555"/>
  <pageSetup cellComments="atEnd" fitToHeight="0" fitToWidth="1" horizontalDpi="300" verticalDpi="300" orientation="landscape" paperSize="9" scale="53" r:id="rId1"/>
  <headerFooter alignWithMargins="0">
    <oddFooter>&amp;L&amp;9&amp;F&amp;C&amp;A&amp;R&amp;9Page &amp;P of &amp;N</oddFooter>
  </headerFooter>
  <rowBreaks count="1" manualBreakCount="1">
    <brk id="26" max="255" man="1"/>
  </rowBreaks>
</worksheet>
</file>

<file path=xl/worksheets/sheet29.xml><?xml version="1.0" encoding="utf-8"?>
<worksheet xmlns="http://schemas.openxmlformats.org/spreadsheetml/2006/main" xmlns:r="http://schemas.openxmlformats.org/officeDocument/2006/relationships">
  <dimension ref="A1:U453"/>
  <sheetViews>
    <sheetView zoomScalePageLayoutView="0" workbookViewId="0" topLeftCell="F130">
      <pane ySplit="4" topLeftCell="A390" activePane="bottomLeft" state="frozen"/>
      <selection pane="topLeft" activeCell="A130" sqref="A130"/>
      <selection pane="bottomLeft" activeCell="Q390" sqref="Q390"/>
    </sheetView>
  </sheetViews>
  <sheetFormatPr defaultColWidth="11.421875" defaultRowHeight="12.75"/>
  <cols>
    <col min="1" max="1" width="35.421875" style="0" customWidth="1"/>
    <col min="2" max="2" width="40.57421875" style="0" customWidth="1"/>
    <col min="4" max="4" width="48.7109375" style="0" customWidth="1"/>
    <col min="5" max="5" width="13.140625" style="1241" customWidth="1"/>
    <col min="6" max="6" width="11.421875" style="1241" customWidth="1"/>
    <col min="7" max="7" width="12.421875" style="1241" bestFit="1" customWidth="1"/>
    <col min="8" max="9" width="11.421875" style="1241" customWidth="1"/>
    <col min="10" max="10" width="15.00390625" style="1241" customWidth="1"/>
    <col min="11" max="15" width="11.421875" style="1241" customWidth="1"/>
    <col min="16" max="16" width="12.28125" style="1241" bestFit="1" customWidth="1"/>
    <col min="17" max="17" width="12.421875" style="1241" bestFit="1" customWidth="1"/>
    <col min="18" max="19" width="11.421875" style="1241" customWidth="1"/>
  </cols>
  <sheetData>
    <row r="1" spans="1:16" ht="12.75">
      <c r="A1" s="1429"/>
      <c r="B1" s="1429"/>
      <c r="C1" s="1429"/>
      <c r="D1" s="1429"/>
      <c r="E1" s="1430"/>
      <c r="F1" s="1430"/>
      <c r="G1" s="1430"/>
      <c r="H1" s="1430"/>
      <c r="I1" s="1430"/>
      <c r="J1" s="1430"/>
      <c r="K1" s="1430"/>
      <c r="L1" s="1430"/>
      <c r="M1" s="1430"/>
      <c r="N1" s="1430"/>
      <c r="O1" s="1430"/>
      <c r="P1" s="1430"/>
    </row>
    <row r="2" spans="1:16" ht="59.25" customHeight="1" thickBot="1">
      <c r="A2" s="1237" t="s">
        <v>253</v>
      </c>
      <c r="B2" s="1431" t="s">
        <v>254</v>
      </c>
      <c r="C2" s="1238"/>
      <c r="D2" s="1238"/>
      <c r="E2" s="1432"/>
      <c r="F2" s="1432"/>
      <c r="G2" s="1432"/>
      <c r="H2" s="1432"/>
      <c r="I2" s="1430"/>
      <c r="J2" s="1430"/>
      <c r="K2" s="1430"/>
      <c r="L2" s="1430"/>
      <c r="M2" s="1430"/>
      <c r="N2" s="1430"/>
      <c r="O2" s="1430"/>
      <c r="P2" s="1430"/>
    </row>
    <row r="3" spans="1:16" ht="23.25" thickBot="1">
      <c r="A3" s="2039" t="s">
        <v>255</v>
      </c>
      <c r="B3" s="2040"/>
      <c r="C3" s="2041"/>
      <c r="D3" s="1239"/>
      <c r="E3" s="1433" t="s">
        <v>989</v>
      </c>
      <c r="F3" s="1404" t="s">
        <v>990</v>
      </c>
      <c r="G3" s="1404" t="s">
        <v>262</v>
      </c>
      <c r="H3" s="1434" t="s">
        <v>991</v>
      </c>
      <c r="I3" s="1372"/>
      <c r="J3" s="1430"/>
      <c r="K3" s="1430"/>
      <c r="L3" s="1430"/>
      <c r="M3" s="1430"/>
      <c r="N3" s="1430"/>
      <c r="O3" s="1430"/>
      <c r="P3" s="1430"/>
    </row>
    <row r="4" spans="1:16" ht="12.75">
      <c r="A4" s="1315"/>
      <c r="B4" s="1239"/>
      <c r="C4" s="1239"/>
      <c r="D4" s="1239"/>
      <c r="E4" s="1375"/>
      <c r="F4" s="1376"/>
      <c r="G4" s="1376"/>
      <c r="H4" s="1377"/>
      <c r="I4" s="1435"/>
      <c r="J4" s="1430"/>
      <c r="K4" s="1430"/>
      <c r="L4" s="1430"/>
      <c r="M4" s="1430"/>
      <c r="N4" s="1430"/>
      <c r="O4" s="1430"/>
      <c r="P4" s="1430"/>
    </row>
    <row r="5" spans="1:16" ht="12.75">
      <c r="A5" s="1373">
        <v>3405.95</v>
      </c>
      <c r="B5" s="1374" t="s">
        <v>702</v>
      </c>
      <c r="C5" s="1244"/>
      <c r="D5" s="1239"/>
      <c r="E5" s="1375"/>
      <c r="F5" s="1376"/>
      <c r="G5" s="1376"/>
      <c r="H5" s="1377"/>
      <c r="I5" s="1435"/>
      <c r="J5" s="1430"/>
      <c r="K5" s="1430"/>
      <c r="L5" s="1430"/>
      <c r="M5" s="1430"/>
      <c r="N5" s="1430"/>
      <c r="O5" s="1430"/>
      <c r="P5" s="1430"/>
    </row>
    <row r="6" spans="1:16" ht="12.75">
      <c r="A6" s="1378">
        <v>0.54</v>
      </c>
      <c r="B6" s="1379" t="s">
        <v>19</v>
      </c>
      <c r="C6" s="1244"/>
      <c r="D6" s="1239"/>
      <c r="E6" s="1375"/>
      <c r="F6" s="1376"/>
      <c r="G6" s="1376"/>
      <c r="H6" s="1380"/>
      <c r="I6" s="1435"/>
      <c r="J6" s="1430"/>
      <c r="K6" s="1430"/>
      <c r="L6" s="1430"/>
      <c r="M6" s="1430"/>
      <c r="N6" s="1430"/>
      <c r="O6" s="1430"/>
      <c r="P6" s="1430"/>
    </row>
    <row r="7" spans="1:16" ht="12.75">
      <c r="A7" s="1378">
        <v>10534.8</v>
      </c>
      <c r="B7" s="1379" t="s">
        <v>703</v>
      </c>
      <c r="C7" s="1244"/>
      <c r="D7" s="1239"/>
      <c r="E7" s="1375"/>
      <c r="F7" s="1376"/>
      <c r="G7" s="1376"/>
      <c r="H7" s="1380"/>
      <c r="I7" s="1435"/>
      <c r="J7" s="1430"/>
      <c r="K7" s="1430"/>
      <c r="L7" s="1430"/>
      <c r="M7" s="1430"/>
      <c r="N7" s="1430"/>
      <c r="O7" s="1430"/>
      <c r="P7" s="1430"/>
    </row>
    <row r="8" spans="1:16" ht="12.75">
      <c r="A8" s="1381">
        <v>17970.17</v>
      </c>
      <c r="B8" s="1382" t="s">
        <v>18</v>
      </c>
      <c r="C8" s="1244"/>
      <c r="D8" s="1239"/>
      <c r="E8" s="1375"/>
      <c r="F8" s="1384"/>
      <c r="G8" s="1384"/>
      <c r="H8" s="1377"/>
      <c r="I8" s="1435"/>
      <c r="J8" s="1430"/>
      <c r="K8" s="1430"/>
      <c r="L8" s="1430"/>
      <c r="M8" s="1430"/>
      <c r="N8" s="1430"/>
      <c r="O8" s="1430"/>
      <c r="P8" s="1430"/>
    </row>
    <row r="9" spans="1:16" ht="12.75">
      <c r="A9" s="1381">
        <v>-25587.85</v>
      </c>
      <c r="B9" s="1382" t="s">
        <v>704</v>
      </c>
      <c r="C9" s="1244"/>
      <c r="D9" s="1239"/>
      <c r="E9" s="1375"/>
      <c r="F9" s="1384"/>
      <c r="G9" s="1384"/>
      <c r="H9" s="1377"/>
      <c r="I9" s="1435"/>
      <c r="J9" s="1430"/>
      <c r="K9" s="1430"/>
      <c r="L9" s="1430"/>
      <c r="M9" s="1430"/>
      <c r="N9" s="1430"/>
      <c r="O9" s="1430"/>
      <c r="P9" s="1430"/>
    </row>
    <row r="10" spans="1:16" ht="12.75">
      <c r="A10" s="1381">
        <v>-0.52</v>
      </c>
      <c r="B10" s="1382" t="s">
        <v>32</v>
      </c>
      <c r="C10" s="1244"/>
      <c r="D10" s="1239"/>
      <c r="E10" s="1375"/>
      <c r="F10" s="1376"/>
      <c r="G10" s="1376"/>
      <c r="H10" s="1380"/>
      <c r="I10" s="1435"/>
      <c r="J10" s="1430"/>
      <c r="K10" s="1430"/>
      <c r="L10" s="1430"/>
      <c r="M10" s="1430"/>
      <c r="N10" s="1430"/>
      <c r="O10" s="1430"/>
      <c r="P10" s="1430"/>
    </row>
    <row r="11" spans="1:16" ht="12.75">
      <c r="A11" s="1385">
        <v>-0.5</v>
      </c>
      <c r="B11" s="1386" t="s">
        <v>264</v>
      </c>
      <c r="C11" s="1312"/>
      <c r="D11" s="1239"/>
      <c r="E11" s="1375"/>
      <c r="F11" s="1376"/>
      <c r="G11" s="1376"/>
      <c r="H11" s="1377"/>
      <c r="I11" s="1435"/>
      <c r="J11" s="1430"/>
      <c r="K11" s="1430"/>
      <c r="L11" s="1430"/>
      <c r="M11" s="1430"/>
      <c r="N11" s="1430"/>
      <c r="O11" s="1430"/>
      <c r="P11" s="1430"/>
    </row>
    <row r="12" spans="1:16" ht="12.75">
      <c r="A12" s="1387">
        <f>+SUM(A5:A11)</f>
        <v>6322.59</v>
      </c>
      <c r="B12" s="1436" t="s">
        <v>257</v>
      </c>
      <c r="C12" s="1313"/>
      <c r="D12" s="1239"/>
      <c r="E12" s="1375"/>
      <c r="F12" s="1376"/>
      <c r="G12" s="1376"/>
      <c r="H12" s="1377"/>
      <c r="I12" s="1435"/>
      <c r="J12" s="1430"/>
      <c r="K12" s="1430"/>
      <c r="L12" s="1430"/>
      <c r="M12" s="1430"/>
      <c r="N12" s="1430"/>
      <c r="O12" s="1430"/>
      <c r="P12" s="1430"/>
    </row>
    <row r="13" spans="1:16" ht="12.75">
      <c r="A13" s="1314"/>
      <c r="B13" s="1239"/>
      <c r="C13" s="1239"/>
      <c r="D13" s="1239"/>
      <c r="E13" s="1375"/>
      <c r="F13" s="1376"/>
      <c r="G13" s="1376"/>
      <c r="H13" s="1377"/>
      <c r="I13" s="1435"/>
      <c r="J13" s="1430"/>
      <c r="K13" s="1430"/>
      <c r="L13" s="1430"/>
      <c r="M13" s="1430"/>
      <c r="N13" s="1430"/>
      <c r="O13" s="1430"/>
      <c r="P13" s="1430"/>
    </row>
    <row r="14" spans="1:16" ht="12.75">
      <c r="A14" s="1314"/>
      <c r="B14" s="1388"/>
      <c r="C14" s="1239"/>
      <c r="D14" s="1239"/>
      <c r="E14" s="1375"/>
      <c r="F14" s="1376"/>
      <c r="G14" s="1376"/>
      <c r="H14" s="1377"/>
      <c r="I14" s="1435"/>
      <c r="J14" s="1430"/>
      <c r="K14" s="1430"/>
      <c r="L14" s="1430"/>
      <c r="M14" s="1430"/>
      <c r="N14" s="1430"/>
      <c r="O14" s="1430"/>
      <c r="P14" s="1430"/>
    </row>
    <row r="15" spans="1:16" ht="12.75">
      <c r="A15" s="1314"/>
      <c r="B15" s="1239"/>
      <c r="C15" s="1239"/>
      <c r="D15" s="1239"/>
      <c r="E15" s="1375"/>
      <c r="F15" s="1376"/>
      <c r="G15" s="1376"/>
      <c r="H15" s="1377"/>
      <c r="I15" s="1435"/>
      <c r="J15" s="1430"/>
      <c r="K15" s="1430"/>
      <c r="L15" s="1430"/>
      <c r="M15" s="1430"/>
      <c r="N15" s="1430"/>
      <c r="O15" s="1430"/>
      <c r="P15" s="1430"/>
    </row>
    <row r="16" spans="1:16" ht="12.75">
      <c r="A16" s="1315"/>
      <c r="B16" s="1239"/>
      <c r="C16" s="1239"/>
      <c r="D16" s="1239"/>
      <c r="E16" s="1375"/>
      <c r="F16" s="1376"/>
      <c r="G16" s="1376"/>
      <c r="H16" s="1377"/>
      <c r="I16" s="1435"/>
      <c r="J16" s="1430"/>
      <c r="K16" s="1430"/>
      <c r="L16" s="1430"/>
      <c r="M16" s="1430"/>
      <c r="N16" s="1430"/>
      <c r="O16" s="1430"/>
      <c r="P16" s="1430"/>
    </row>
    <row r="17" spans="1:16" ht="13.5" thickBot="1">
      <c r="A17" s="1315"/>
      <c r="B17" s="1239"/>
      <c r="C17" s="1239"/>
      <c r="D17" s="1239"/>
      <c r="E17" s="1375"/>
      <c r="F17" s="1376"/>
      <c r="G17" s="1376"/>
      <c r="H17" s="1437"/>
      <c r="I17" s="1435"/>
      <c r="J17" s="1430"/>
      <c r="K17" s="1430"/>
      <c r="L17" s="1430"/>
      <c r="M17" s="1430"/>
      <c r="N17" s="1430"/>
      <c r="O17" s="1430"/>
      <c r="P17" s="1430"/>
    </row>
    <row r="18" spans="1:16" ht="13.5" thickBot="1">
      <c r="A18" s="2042" t="s">
        <v>258</v>
      </c>
      <c r="B18" s="2043"/>
      <c r="C18" s="2043"/>
      <c r="D18" s="1240"/>
      <c r="E18" s="1375"/>
      <c r="F18" s="1376"/>
      <c r="G18" s="1376"/>
      <c r="H18" s="1437"/>
      <c r="I18" s="1435"/>
      <c r="J18" s="1430"/>
      <c r="K18" s="1430"/>
      <c r="L18" s="1430"/>
      <c r="M18" s="1430"/>
      <c r="N18" s="1430"/>
      <c r="O18" s="1430"/>
      <c r="P18" s="1430"/>
    </row>
    <row r="19" spans="1:16" ht="12.75">
      <c r="A19" s="1243"/>
      <c r="B19" s="1244"/>
      <c r="C19" s="1244"/>
      <c r="D19" s="1239"/>
      <c r="E19" s="1375"/>
      <c r="F19" s="1376"/>
      <c r="G19" s="1376"/>
      <c r="H19" s="1437"/>
      <c r="I19" s="1435"/>
      <c r="J19" s="1430"/>
      <c r="K19" s="1430"/>
      <c r="L19" s="1430"/>
      <c r="M19" s="1430"/>
      <c r="N19" s="1430"/>
      <c r="O19" s="1430"/>
      <c r="P19" s="1430"/>
    </row>
    <row r="20" spans="1:16" ht="12.75">
      <c r="A20" s="1438">
        <v>19113.79</v>
      </c>
      <c r="B20" t="s">
        <v>705</v>
      </c>
      <c r="C20" s="1430"/>
      <c r="D20" s="1439"/>
      <c r="E20" s="1375"/>
      <c r="F20" s="1376"/>
      <c r="G20" s="1384"/>
      <c r="H20" s="1437"/>
      <c r="I20" s="1435"/>
      <c r="J20" s="1439"/>
      <c r="K20" s="1430"/>
      <c r="L20" s="1430"/>
      <c r="M20" s="1430"/>
      <c r="N20" s="1430"/>
      <c r="O20" s="1430"/>
      <c r="P20" s="1430"/>
    </row>
    <row r="21" spans="1:16" ht="12.75">
      <c r="A21" s="1438">
        <v>6000</v>
      </c>
      <c r="B21" t="s">
        <v>706</v>
      </c>
      <c r="C21" s="1430"/>
      <c r="D21" s="1439"/>
      <c r="E21" s="1383"/>
      <c r="F21" s="1376"/>
      <c r="G21" s="1376"/>
      <c r="H21" s="1437"/>
      <c r="I21" s="1435"/>
      <c r="J21" s="1439"/>
      <c r="K21" s="1430"/>
      <c r="L21" s="1430"/>
      <c r="M21" s="1430"/>
      <c r="N21" s="1430"/>
      <c r="O21" s="1430"/>
      <c r="P21" s="1430"/>
    </row>
    <row r="22" spans="1:16" ht="12.75">
      <c r="A22" s="1327">
        <v>-1285.71</v>
      </c>
      <c r="B22" t="s">
        <v>704</v>
      </c>
      <c r="C22" s="1430"/>
      <c r="D22" s="1439"/>
      <c r="E22" s="1383"/>
      <c r="F22" s="1376"/>
      <c r="G22" s="1376"/>
      <c r="H22" s="1437"/>
      <c r="I22" s="1435"/>
      <c r="J22" s="1439"/>
      <c r="K22" s="1430"/>
      <c r="L22" s="1430"/>
      <c r="M22" s="1430"/>
      <c r="N22" s="1430"/>
      <c r="O22" s="1430"/>
      <c r="P22" s="1430"/>
    </row>
    <row r="23" spans="1:16" ht="12.75">
      <c r="A23" s="1327">
        <f>-15500</f>
        <v>-15500</v>
      </c>
      <c r="B23" s="1440" t="s">
        <v>707</v>
      </c>
      <c r="C23" s="1436"/>
      <c r="D23" s="1439"/>
      <c r="E23" s="1389"/>
      <c r="F23" s="1376"/>
      <c r="G23" s="1376"/>
      <c r="H23" s="1437"/>
      <c r="I23" s="1435"/>
      <c r="J23" s="1439"/>
      <c r="K23" s="1430"/>
      <c r="L23" s="1430"/>
      <c r="M23" s="1430"/>
      <c r="N23" s="1430"/>
      <c r="O23" s="1430"/>
      <c r="P23" s="1430"/>
    </row>
    <row r="24" spans="1:16" ht="12.75">
      <c r="A24" s="1327">
        <v>3000</v>
      </c>
      <c r="B24" s="1440" t="s">
        <v>707</v>
      </c>
      <c r="C24" s="1436"/>
      <c r="D24" s="1439"/>
      <c r="E24" s="1389"/>
      <c r="F24" s="1376"/>
      <c r="G24" s="1376"/>
      <c r="H24" s="1437"/>
      <c r="I24" s="1435"/>
      <c r="J24" s="1439"/>
      <c r="K24" s="1430"/>
      <c r="L24" s="1430"/>
      <c r="M24" s="1430"/>
      <c r="N24" s="1430"/>
      <c r="O24" s="1430"/>
      <c r="P24" s="1430"/>
    </row>
    <row r="25" spans="1:16" ht="12.75">
      <c r="A25" s="1438">
        <v>-0.55</v>
      </c>
      <c r="B25" t="s">
        <v>707</v>
      </c>
      <c r="C25" s="1436"/>
      <c r="D25" s="1239"/>
      <c r="E25" s="1375"/>
      <c r="F25" s="1376"/>
      <c r="G25" s="1390"/>
      <c r="H25" s="1437"/>
      <c r="I25" s="1435"/>
      <c r="J25" s="1439"/>
      <c r="K25" s="1430"/>
      <c r="L25" s="1430"/>
      <c r="M25" s="1430"/>
      <c r="N25" s="1430"/>
      <c r="O25" s="1430"/>
      <c r="P25" s="1430"/>
    </row>
    <row r="26" spans="1:16" ht="12.75">
      <c r="A26" s="1441">
        <v>-22812.4</v>
      </c>
      <c r="B26" t="s">
        <v>708</v>
      </c>
      <c r="C26" s="1436"/>
      <c r="D26" s="1239"/>
      <c r="E26" s="1375"/>
      <c r="F26" s="1390"/>
      <c r="G26" s="1390">
        <f>-A26</f>
        <v>22812.4</v>
      </c>
      <c r="H26" s="1437"/>
      <c r="I26" s="1435"/>
      <c r="J26" s="1439"/>
      <c r="K26" s="1430"/>
      <c r="L26" s="1430"/>
      <c r="M26" s="1430"/>
      <c r="N26" s="1430"/>
      <c r="O26" s="1430"/>
      <c r="P26" s="1430"/>
    </row>
    <row r="27" spans="1:16" ht="12.75">
      <c r="A27" s="1441">
        <v>-8460.7</v>
      </c>
      <c r="B27" t="s">
        <v>709</v>
      </c>
      <c r="C27" s="1436"/>
      <c r="D27" s="1439"/>
      <c r="E27" s="1375"/>
      <c r="F27" s="1390">
        <f>-A27</f>
        <v>8460.7</v>
      </c>
      <c r="G27" s="1376"/>
      <c r="H27" s="1437"/>
      <c r="I27" s="1435"/>
      <c r="J27" s="1439"/>
      <c r="K27" s="1430"/>
      <c r="L27" s="1430"/>
      <c r="M27" s="1430"/>
      <c r="N27" s="1430"/>
      <c r="O27" s="1430"/>
      <c r="P27" s="1430"/>
    </row>
    <row r="28" spans="1:16" ht="12.75">
      <c r="A28" s="1441">
        <v>0.11</v>
      </c>
      <c r="B28" t="s">
        <v>710</v>
      </c>
      <c r="C28" s="1436"/>
      <c r="D28" s="1439"/>
      <c r="E28" s="1375"/>
      <c r="F28" s="1390"/>
      <c r="G28" s="1376"/>
      <c r="H28" s="1442">
        <f>+A28</f>
        <v>0.11</v>
      </c>
      <c r="I28" s="1435"/>
      <c r="J28" s="1439"/>
      <c r="K28" s="1430"/>
      <c r="L28" s="1430"/>
      <c r="M28" s="1430"/>
      <c r="N28" s="1430"/>
      <c r="O28" s="1430"/>
      <c r="P28" s="1430"/>
    </row>
    <row r="29" spans="1:16" ht="12.75">
      <c r="A29" s="1441">
        <f>-20000</f>
        <v>-20000</v>
      </c>
      <c r="B29" s="1443" t="s">
        <v>711</v>
      </c>
      <c r="C29" s="1436"/>
      <c r="D29" s="1439"/>
      <c r="E29" s="1375"/>
      <c r="F29" s="1390"/>
      <c r="G29" s="1376"/>
      <c r="H29" s="1437"/>
      <c r="I29" s="1435"/>
      <c r="J29" s="1439"/>
      <c r="K29" s="1430"/>
      <c r="L29" s="1430"/>
      <c r="M29" s="1430"/>
      <c r="N29" s="1430"/>
      <c r="O29" s="1430"/>
      <c r="P29" s="1430"/>
    </row>
    <row r="30" spans="1:16" ht="12.75">
      <c r="A30" s="1441">
        <v>1050</v>
      </c>
      <c r="B30" s="1443" t="s">
        <v>711</v>
      </c>
      <c r="C30" s="1436"/>
      <c r="D30" s="1439"/>
      <c r="E30" s="1375"/>
      <c r="F30" s="1390"/>
      <c r="G30" s="1376"/>
      <c r="H30" s="1437"/>
      <c r="I30" s="1435"/>
      <c r="J30" s="1439"/>
      <c r="K30" s="1430"/>
      <c r="L30" s="1430"/>
      <c r="M30" s="1430"/>
      <c r="N30" s="1430"/>
      <c r="O30" s="1430"/>
      <c r="P30" s="1430"/>
    </row>
    <row r="31" spans="1:16" ht="12.75">
      <c r="A31" s="1439">
        <f>+SUM(A20:A30)</f>
        <v>-38895.46</v>
      </c>
      <c r="B31" s="1436" t="s">
        <v>257</v>
      </c>
      <c r="C31" s="1436"/>
      <c r="D31" s="1239"/>
      <c r="E31" s="1375"/>
      <c r="F31" s="1376"/>
      <c r="G31" s="1376"/>
      <c r="H31" s="1437"/>
      <c r="I31" s="1435"/>
      <c r="J31" s="1439"/>
      <c r="K31" s="1430"/>
      <c r="L31" s="1430"/>
      <c r="M31" s="1430"/>
      <c r="N31" s="1430"/>
      <c r="O31" s="1430"/>
      <c r="P31" s="1430"/>
    </row>
    <row r="32" spans="1:16" ht="12.75">
      <c r="A32" s="1439"/>
      <c r="B32" s="1436"/>
      <c r="C32" s="1436"/>
      <c r="D32" s="1239"/>
      <c r="E32" s="1375"/>
      <c r="F32" s="1376"/>
      <c r="G32" s="1376"/>
      <c r="H32" s="1437"/>
      <c r="I32" s="1435"/>
      <c r="J32" s="1430"/>
      <c r="K32" s="1430"/>
      <c r="L32" s="1430"/>
      <c r="M32" s="1430"/>
      <c r="N32" s="1430"/>
      <c r="O32" s="1430"/>
      <c r="P32" s="1430"/>
    </row>
    <row r="33" spans="1:16" ht="12.75">
      <c r="A33" s="1436"/>
      <c r="B33" s="1239"/>
      <c r="C33" s="1439"/>
      <c r="D33" s="1239"/>
      <c r="E33" s="1375"/>
      <c r="F33" s="1376"/>
      <c r="G33" s="1376"/>
      <c r="H33" s="1437"/>
      <c r="I33" s="1435"/>
      <c r="J33" s="1430"/>
      <c r="K33" s="1430"/>
      <c r="L33" s="1430"/>
      <c r="M33" s="1430"/>
      <c r="N33" s="1430"/>
      <c r="O33" s="1430"/>
      <c r="P33" s="1430"/>
    </row>
    <row r="34" spans="1:16" ht="12.75">
      <c r="A34" s="1318" t="s">
        <v>565</v>
      </c>
      <c r="B34" s="1239"/>
      <c r="C34" s="1430"/>
      <c r="D34" s="1239"/>
      <c r="E34" s="1375"/>
      <c r="F34" s="1376"/>
      <c r="G34" s="1376"/>
      <c r="H34" s="1437"/>
      <c r="I34" s="1435"/>
      <c r="J34" s="1430"/>
      <c r="K34" s="1430"/>
      <c r="L34" s="1430"/>
      <c r="M34" s="1430"/>
      <c r="N34" s="1430"/>
      <c r="O34" s="1430"/>
      <c r="P34" s="1430"/>
    </row>
    <row r="35" spans="1:16" ht="12.75">
      <c r="A35" s="1319"/>
      <c r="B35" s="1239"/>
      <c r="C35" s="1430"/>
      <c r="D35" s="1239"/>
      <c r="E35" s="1375"/>
      <c r="F35" s="1376"/>
      <c r="G35" s="1376"/>
      <c r="H35" s="1437"/>
      <c r="I35" s="1435"/>
      <c r="J35" s="1430"/>
      <c r="K35" s="1430"/>
      <c r="L35" s="1430"/>
      <c r="M35" s="1430"/>
      <c r="N35" s="1430"/>
      <c r="O35" s="1430"/>
      <c r="P35" s="1430"/>
    </row>
    <row r="36" spans="1:16" ht="12.75">
      <c r="A36" s="1327">
        <v>2198.34</v>
      </c>
      <c r="B36" t="s">
        <v>5</v>
      </c>
      <c r="C36" s="1430"/>
      <c r="E36" s="1389"/>
      <c r="F36" s="1391"/>
      <c r="G36" s="1390">
        <v>0</v>
      </c>
      <c r="H36" s="1437"/>
      <c r="I36" s="1435"/>
      <c r="J36" s="1430"/>
      <c r="K36" s="1430"/>
      <c r="L36" s="1430"/>
      <c r="M36" s="1430"/>
      <c r="N36" s="1430"/>
      <c r="O36" s="1430"/>
      <c r="P36" s="1430"/>
    </row>
    <row r="37" spans="1:16" ht="12.75">
      <c r="A37" s="1327">
        <v>8851.5</v>
      </c>
      <c r="B37" t="s">
        <v>706</v>
      </c>
      <c r="C37" s="1430"/>
      <c r="E37" s="1389"/>
      <c r="F37" s="1391"/>
      <c r="G37" s="1390"/>
      <c r="H37" s="1437"/>
      <c r="I37" s="1435"/>
      <c r="J37" s="1430"/>
      <c r="K37" s="1430"/>
      <c r="L37" s="1430"/>
      <c r="M37" s="1430"/>
      <c r="N37" s="1430"/>
      <c r="O37" s="1430"/>
      <c r="P37" s="1430"/>
    </row>
    <row r="38" spans="1:16" ht="12.75">
      <c r="A38" s="1327">
        <v>-0.75</v>
      </c>
      <c r="B38" t="s">
        <v>530</v>
      </c>
      <c r="C38" s="1430"/>
      <c r="E38" s="1389"/>
      <c r="F38" s="1376"/>
      <c r="G38" s="1390"/>
      <c r="H38" s="1437"/>
      <c r="I38" s="1435"/>
      <c r="J38" s="1430"/>
      <c r="K38" s="1430"/>
      <c r="L38" s="1430"/>
      <c r="M38" s="1430"/>
      <c r="N38" s="1430"/>
      <c r="O38" s="1430"/>
      <c r="P38" s="1430"/>
    </row>
    <row r="39" spans="1:16" ht="12.75">
      <c r="A39" s="1327">
        <v>-91326.7</v>
      </c>
      <c r="B39" t="s">
        <v>712</v>
      </c>
      <c r="C39" s="1430"/>
      <c r="E39" s="1389"/>
      <c r="F39" s="1376"/>
      <c r="G39" s="1390"/>
      <c r="H39" s="1437"/>
      <c r="I39" s="1435"/>
      <c r="J39" s="1430"/>
      <c r="K39" s="1430"/>
      <c r="L39" s="1430"/>
      <c r="M39" s="1430"/>
      <c r="N39" s="1430"/>
      <c r="O39" s="1430"/>
      <c r="P39" s="1430"/>
    </row>
    <row r="40" spans="1:16" ht="12.75">
      <c r="A40" s="1327">
        <v>-28559.82</v>
      </c>
      <c r="B40" t="s">
        <v>713</v>
      </c>
      <c r="C40" s="1430"/>
      <c r="E40" s="1389"/>
      <c r="F40" s="1376"/>
      <c r="G40" s="1390"/>
      <c r="H40" s="1437"/>
      <c r="I40" s="1435"/>
      <c r="J40" s="1430"/>
      <c r="K40" s="1430"/>
      <c r="L40" s="1430"/>
      <c r="M40" s="1430"/>
      <c r="N40" s="1430"/>
      <c r="O40" s="1430"/>
      <c r="P40" s="1430"/>
    </row>
    <row r="41" spans="1:16" ht="12.75">
      <c r="A41" s="1444">
        <f>+SUM(A36:A40)</f>
        <v>-108837.43</v>
      </c>
      <c r="B41" s="1436" t="s">
        <v>257</v>
      </c>
      <c r="C41" s="1430"/>
      <c r="D41" s="1239"/>
      <c r="E41" s="1389"/>
      <c r="F41" s="1376"/>
      <c r="G41" s="1390"/>
      <c r="H41" s="1437"/>
      <c r="I41" s="1445"/>
      <c r="J41" s="1430"/>
      <c r="K41" s="1430"/>
      <c r="L41" s="1430"/>
      <c r="M41" s="1430"/>
      <c r="N41" s="1430"/>
      <c r="O41" s="1430"/>
      <c r="P41" s="1430"/>
    </row>
    <row r="42" spans="1:16" ht="12.75">
      <c r="A42" s="1444"/>
      <c r="B42" s="2044"/>
      <c r="C42" s="2044"/>
      <c r="D42" s="1239"/>
      <c r="E42" s="1389"/>
      <c r="F42" s="1376"/>
      <c r="G42" s="1390"/>
      <c r="H42" s="1437"/>
      <c r="I42" s="1435"/>
      <c r="J42" s="1430"/>
      <c r="K42" s="1430"/>
      <c r="L42" s="1430"/>
      <c r="M42" s="1430"/>
      <c r="N42" s="1430"/>
      <c r="O42" s="1430"/>
      <c r="P42" s="1430"/>
    </row>
    <row r="43" spans="1:16" ht="12.75">
      <c r="A43" s="1318" t="s">
        <v>567</v>
      </c>
      <c r="B43" s="1332"/>
      <c r="C43" s="1430"/>
      <c r="D43" s="1239"/>
      <c r="E43" s="1375"/>
      <c r="F43" s="1376"/>
      <c r="G43" s="1376"/>
      <c r="H43" s="1437"/>
      <c r="I43" s="1435"/>
      <c r="J43" s="1430"/>
      <c r="K43" s="1430"/>
      <c r="L43" s="1430"/>
      <c r="M43" s="1430"/>
      <c r="N43" s="1430"/>
      <c r="O43" s="1430"/>
      <c r="P43" s="1430"/>
    </row>
    <row r="44" spans="1:16" ht="12.75">
      <c r="A44" s="1436"/>
      <c r="B44" s="1332"/>
      <c r="C44" s="1430"/>
      <c r="D44" s="1388"/>
      <c r="E44" s="1375"/>
      <c r="F44" s="1376"/>
      <c r="G44" s="1376"/>
      <c r="H44" s="1437"/>
      <c r="I44" s="1435"/>
      <c r="J44" s="1430"/>
      <c r="K44" s="1430"/>
      <c r="L44" s="1430"/>
      <c r="M44" s="1430"/>
      <c r="N44" s="1430"/>
      <c r="O44" s="1430"/>
      <c r="P44" s="1430"/>
    </row>
    <row r="45" spans="1:16" ht="12.75">
      <c r="A45" s="1436">
        <v>-5463.11</v>
      </c>
      <c r="B45" s="1446" t="s">
        <v>32</v>
      </c>
      <c r="C45" s="1446"/>
      <c r="D45" s="1446"/>
      <c r="E45" s="1375"/>
      <c r="F45" s="1376"/>
      <c r="G45" s="1376"/>
      <c r="H45" s="1437"/>
      <c r="I45" s="1435"/>
      <c r="J45" s="1430"/>
      <c r="K45" s="1430"/>
      <c r="L45" s="1430"/>
      <c r="M45" s="1430"/>
      <c r="N45" s="1430"/>
      <c r="O45" s="1430"/>
      <c r="P45" s="1430"/>
    </row>
    <row r="46" spans="1:16" ht="12.75">
      <c r="A46" s="1436">
        <f>+A45</f>
        <v>-5463.11</v>
      </c>
      <c r="B46" s="2034" t="s">
        <v>257</v>
      </c>
      <c r="C46" s="2034"/>
      <c r="D46" s="1239"/>
      <c r="E46" s="1375"/>
      <c r="F46" s="1376"/>
      <c r="G46" s="1376"/>
      <c r="H46" s="1437"/>
      <c r="I46" s="1435"/>
      <c r="J46" s="1430"/>
      <c r="K46" s="1430"/>
      <c r="L46" s="1430"/>
      <c r="M46" s="1430"/>
      <c r="N46" s="1430"/>
      <c r="O46" s="1430"/>
      <c r="P46" s="1430"/>
    </row>
    <row r="47" spans="1:16" ht="13.5" thickBot="1">
      <c r="A47" s="1436"/>
      <c r="B47" s="1332"/>
      <c r="C47" s="1430"/>
      <c r="D47" s="1239"/>
      <c r="E47" s="1375"/>
      <c r="F47" s="1376"/>
      <c r="G47" s="1376"/>
      <c r="H47" s="1437"/>
      <c r="I47" s="1435"/>
      <c r="J47" s="1430"/>
      <c r="K47" s="1430"/>
      <c r="L47" s="1430"/>
      <c r="M47" s="1430"/>
      <c r="N47" s="1430"/>
      <c r="O47" s="1430"/>
      <c r="P47" s="1430"/>
    </row>
    <row r="48" spans="1:16" ht="13.5" thickBot="1">
      <c r="A48" s="2045" t="s">
        <v>259</v>
      </c>
      <c r="B48" s="2046"/>
      <c r="C48" s="2047"/>
      <c r="D48" s="1239"/>
      <c r="E48" s="1447"/>
      <c r="F48" s="1448"/>
      <c r="G48" s="1437"/>
      <c r="H48" s="1437"/>
      <c r="I48" s="1435"/>
      <c r="J48" s="1430"/>
      <c r="K48" s="1430"/>
      <c r="L48" s="1430"/>
      <c r="M48" s="1430"/>
      <c r="N48" s="1430"/>
      <c r="O48" s="1430"/>
      <c r="P48" s="1430"/>
    </row>
    <row r="49" spans="1:16" ht="12.75">
      <c r="A49" s="1315"/>
      <c r="B49" s="1239"/>
      <c r="C49" s="1239"/>
      <c r="D49" s="1239"/>
      <c r="E49" s="1447"/>
      <c r="F49" s="1437"/>
      <c r="G49" s="1437"/>
      <c r="H49" s="1437"/>
      <c r="I49" s="1435"/>
      <c r="J49" s="1430"/>
      <c r="K49" s="1430"/>
      <c r="L49" s="1430"/>
      <c r="M49" s="1430"/>
      <c r="N49" s="1430"/>
      <c r="O49" s="1430"/>
      <c r="P49" s="1430"/>
    </row>
    <row r="50" spans="1:16" ht="12.75">
      <c r="A50" s="1327">
        <v>1436.07</v>
      </c>
      <c r="B50" s="1327" t="s">
        <v>5</v>
      </c>
      <c r="C50" s="1436"/>
      <c r="E50" s="1447"/>
      <c r="F50" s="1437"/>
      <c r="G50" s="1437"/>
      <c r="H50" s="1437"/>
      <c r="I50" s="1435"/>
      <c r="J50" s="1430"/>
      <c r="K50" s="1430"/>
      <c r="L50" s="1430"/>
      <c r="M50" s="1430"/>
      <c r="N50" s="1430"/>
      <c r="O50" s="1430"/>
      <c r="P50" s="1430"/>
    </row>
    <row r="51" spans="1:16" ht="12.75">
      <c r="A51" s="1327">
        <v>1156</v>
      </c>
      <c r="B51" s="1327" t="s">
        <v>706</v>
      </c>
      <c r="C51" s="1436"/>
      <c r="E51" s="1447"/>
      <c r="F51" s="1437"/>
      <c r="G51" s="1448"/>
      <c r="H51" s="1437"/>
      <c r="I51" s="1435"/>
      <c r="J51" s="1430"/>
      <c r="K51" s="1430"/>
      <c r="L51" s="1430"/>
      <c r="M51" s="1430"/>
      <c r="N51" s="1430"/>
      <c r="O51" s="1430"/>
      <c r="P51" s="1430"/>
    </row>
    <row r="52" spans="1:16" ht="12.75">
      <c r="A52" s="1327">
        <v>-51130</v>
      </c>
      <c r="B52" s="1327" t="s">
        <v>714</v>
      </c>
      <c r="C52" s="1239"/>
      <c r="E52" s="1447"/>
      <c r="F52" s="1437"/>
      <c r="G52" s="1437"/>
      <c r="H52" s="1437"/>
      <c r="I52" s="1435"/>
      <c r="J52" s="1430"/>
      <c r="K52" s="1430"/>
      <c r="L52" s="1430"/>
      <c r="M52" s="1430"/>
      <c r="N52" s="1430"/>
      <c r="O52" s="1430"/>
      <c r="P52" s="1430"/>
    </row>
    <row r="53" spans="1:16" ht="12.75">
      <c r="A53" s="1327">
        <v>-1156</v>
      </c>
      <c r="B53" s="1327" t="s">
        <v>704</v>
      </c>
      <c r="C53" s="1239"/>
      <c r="E53" s="1447"/>
      <c r="F53" s="1437"/>
      <c r="G53" s="1437"/>
      <c r="H53" s="1449"/>
      <c r="I53" s="1435"/>
      <c r="J53" s="1430"/>
      <c r="K53" s="1430"/>
      <c r="L53" s="1430"/>
      <c r="M53" s="1430"/>
      <c r="N53" s="1430"/>
      <c r="O53" s="1430"/>
      <c r="P53" s="1430"/>
    </row>
    <row r="54" spans="1:16" ht="12.75">
      <c r="A54" s="1327">
        <v>-3592</v>
      </c>
      <c r="B54" s="1327" t="s">
        <v>715</v>
      </c>
      <c r="C54" s="1239"/>
      <c r="E54" s="1447"/>
      <c r="F54" s="1437"/>
      <c r="G54" s="1437"/>
      <c r="H54" s="1437"/>
      <c r="I54" s="1435"/>
      <c r="J54" s="1430"/>
      <c r="K54" s="1430"/>
      <c r="L54" s="1430"/>
      <c r="M54" s="1430"/>
      <c r="N54" s="1430"/>
      <c r="O54" s="1430"/>
      <c r="P54" s="1430"/>
    </row>
    <row r="55" spans="1:16" ht="12.75">
      <c r="A55" s="1327">
        <v>-5535</v>
      </c>
      <c r="B55" s="1327" t="s">
        <v>716</v>
      </c>
      <c r="C55" s="1430"/>
      <c r="D55" s="1239"/>
      <c r="E55" s="1447"/>
      <c r="F55" s="1448"/>
      <c r="G55" s="1449">
        <f>-A55</f>
        <v>5535</v>
      </c>
      <c r="H55" s="1437"/>
      <c r="I55" s="1435"/>
      <c r="J55" s="1430"/>
      <c r="K55" s="1430"/>
      <c r="L55" s="1430"/>
      <c r="M55" s="1430"/>
      <c r="N55" s="1430"/>
      <c r="O55" s="1430"/>
      <c r="P55" s="1430"/>
    </row>
    <row r="56" spans="1:16" ht="12.75">
      <c r="A56" s="1327">
        <v>-0.07</v>
      </c>
      <c r="B56" s="1327" t="s">
        <v>710</v>
      </c>
      <c r="C56" s="1239"/>
      <c r="D56" s="1388"/>
      <c r="E56" s="1447"/>
      <c r="F56" s="1448"/>
      <c r="G56" s="1437"/>
      <c r="H56" s="1449">
        <f>-A56</f>
        <v>0.07</v>
      </c>
      <c r="I56" s="1435"/>
      <c r="J56" s="1430"/>
      <c r="K56" s="1430"/>
      <c r="L56" s="1430"/>
      <c r="M56" s="1430"/>
      <c r="N56" s="1430"/>
      <c r="O56" s="1430"/>
      <c r="P56" s="1430"/>
    </row>
    <row r="57" spans="1:16" ht="12.75">
      <c r="A57" s="1327">
        <f>+SUM(A50:A56)</f>
        <v>-58821</v>
      </c>
      <c r="B57" t="s">
        <v>717</v>
      </c>
      <c r="C57" s="1239"/>
      <c r="D57" s="1388"/>
      <c r="E57" s="1447"/>
      <c r="F57" s="1448"/>
      <c r="G57" s="1437"/>
      <c r="H57" s="1437"/>
      <c r="I57" s="1435"/>
      <c r="J57" s="1430"/>
      <c r="K57" s="1430"/>
      <c r="L57" s="1430"/>
      <c r="M57" s="1430"/>
      <c r="N57" s="1430"/>
      <c r="O57" s="1430"/>
      <c r="P57" s="1430"/>
    </row>
    <row r="58" spans="1:16" ht="13.5" thickBot="1">
      <c r="A58" s="1327"/>
      <c r="C58" s="1239"/>
      <c r="D58" s="1388"/>
      <c r="E58" s="1447"/>
      <c r="F58" s="1448"/>
      <c r="G58" s="1437"/>
      <c r="H58" s="1437"/>
      <c r="I58" s="1435"/>
      <c r="J58" s="1430"/>
      <c r="K58" s="1430"/>
      <c r="L58" s="1430"/>
      <c r="M58" s="1430"/>
      <c r="N58" s="1430"/>
      <c r="O58" s="1430"/>
      <c r="P58" s="1430"/>
    </row>
    <row r="59" spans="1:16" ht="13.5" thickBot="1">
      <c r="A59" s="2042" t="s">
        <v>261</v>
      </c>
      <c r="B59" s="2037"/>
      <c r="C59" s="2038"/>
      <c r="D59" s="1388"/>
      <c r="E59" s="1447"/>
      <c r="F59" s="1448"/>
      <c r="G59" s="1437"/>
      <c r="H59" s="1437"/>
      <c r="I59" s="1435"/>
      <c r="J59" s="1430"/>
      <c r="K59" s="1430"/>
      <c r="L59" s="1430"/>
      <c r="M59" s="1430"/>
      <c r="N59" s="1430"/>
      <c r="O59" s="1430"/>
      <c r="P59" s="1430"/>
    </row>
    <row r="60" spans="1:16" ht="12.75">
      <c r="A60" s="1315"/>
      <c r="B60" s="1239"/>
      <c r="C60" s="1239"/>
      <c r="D60" s="1388"/>
      <c r="E60" s="1447"/>
      <c r="F60" s="1448"/>
      <c r="G60" s="1437"/>
      <c r="H60" s="1437"/>
      <c r="I60" s="1435"/>
      <c r="J60" s="1430"/>
      <c r="K60" s="1430"/>
      <c r="L60" s="1430"/>
      <c r="M60" s="1430"/>
      <c r="N60" s="1430"/>
      <c r="O60" s="1430"/>
      <c r="P60" s="1430"/>
    </row>
    <row r="61" spans="1:16" ht="12.75">
      <c r="A61" s="1438">
        <v>28225.13</v>
      </c>
      <c r="B61" t="s">
        <v>718</v>
      </c>
      <c r="C61" s="1388"/>
      <c r="E61" s="1447"/>
      <c r="F61" s="1448"/>
      <c r="G61" s="1437"/>
      <c r="H61" s="1437"/>
      <c r="I61" s="1435"/>
      <c r="J61" s="1430"/>
      <c r="K61" s="1430"/>
      <c r="L61" s="1430"/>
      <c r="M61" s="1430"/>
      <c r="N61" s="1430"/>
      <c r="O61" s="1430"/>
      <c r="P61" s="1430"/>
    </row>
    <row r="62" spans="1:16" ht="12.75">
      <c r="A62" s="1438">
        <v>5713.72</v>
      </c>
      <c r="B62" t="s">
        <v>719</v>
      </c>
      <c r="C62" s="1388"/>
      <c r="E62" s="1447"/>
      <c r="F62" s="1448"/>
      <c r="G62" s="1437"/>
      <c r="H62" s="1437"/>
      <c r="I62" s="1435"/>
      <c r="J62" s="1430"/>
      <c r="K62" s="1430"/>
      <c r="L62" s="1430"/>
      <c r="M62" s="1430"/>
      <c r="N62" s="1430"/>
      <c r="O62" s="1430"/>
      <c r="P62" s="1430"/>
    </row>
    <row r="63" spans="1:16" ht="12.75">
      <c r="A63" s="1438">
        <v>974.35</v>
      </c>
      <c r="B63" t="s">
        <v>720</v>
      </c>
      <c r="C63" s="1388"/>
      <c r="E63" s="1447"/>
      <c r="F63" s="1448"/>
      <c r="G63" s="1437"/>
      <c r="H63" s="1437"/>
      <c r="I63" s="1435"/>
      <c r="J63" s="1430"/>
      <c r="K63" s="1430"/>
      <c r="L63" s="1430"/>
      <c r="M63" s="1430"/>
      <c r="N63" s="1430"/>
      <c r="O63" s="1430"/>
      <c r="P63" s="1430"/>
    </row>
    <row r="64" spans="1:16" ht="12.75">
      <c r="A64" s="1438">
        <v>-7338.5</v>
      </c>
      <c r="B64" t="s">
        <v>721</v>
      </c>
      <c r="C64" s="1388"/>
      <c r="E64" s="1447"/>
      <c r="F64" s="1448"/>
      <c r="G64" s="1437"/>
      <c r="H64" s="1437"/>
      <c r="I64" s="1435"/>
      <c r="J64" s="1430"/>
      <c r="K64" s="1430"/>
      <c r="L64" s="1430"/>
      <c r="M64" s="1430"/>
      <c r="N64" s="1430"/>
      <c r="O64" s="1430"/>
      <c r="P64" s="1430"/>
    </row>
    <row r="65" spans="1:16" ht="12.75">
      <c r="A65" s="1438">
        <v>4638.5</v>
      </c>
      <c r="B65" t="s">
        <v>721</v>
      </c>
      <c r="C65" s="1388"/>
      <c r="E65" s="1447"/>
      <c r="F65" s="1448"/>
      <c r="G65" s="1437"/>
      <c r="H65" s="1437"/>
      <c r="I65" s="1435"/>
      <c r="J65" s="1430"/>
      <c r="K65" s="1430"/>
      <c r="L65" s="1430"/>
      <c r="M65" s="1430"/>
      <c r="N65" s="1430"/>
      <c r="O65" s="1430"/>
      <c r="P65" s="1430"/>
    </row>
    <row r="66" spans="1:16" ht="12.75">
      <c r="A66" s="1438">
        <v>-1100</v>
      </c>
      <c r="B66" t="s">
        <v>722</v>
      </c>
      <c r="C66" s="1388"/>
      <c r="E66" s="1447"/>
      <c r="F66" s="1448"/>
      <c r="G66" s="1437"/>
      <c r="H66" s="1437"/>
      <c r="I66" s="1435"/>
      <c r="J66" s="1430"/>
      <c r="K66" s="1430"/>
      <c r="L66" s="1430"/>
      <c r="M66" s="1430"/>
      <c r="N66" s="1430"/>
      <c r="O66" s="1430"/>
      <c r="P66" s="1430"/>
    </row>
    <row r="67" spans="1:16" ht="12.75">
      <c r="A67" s="1438">
        <v>25877</v>
      </c>
      <c r="B67" t="s">
        <v>722</v>
      </c>
      <c r="C67" s="1388"/>
      <c r="E67" s="1447"/>
      <c r="F67" s="1448"/>
      <c r="G67" s="1437"/>
      <c r="H67" s="1437"/>
      <c r="I67" s="1435"/>
      <c r="J67" s="1430"/>
      <c r="K67" s="1430"/>
      <c r="L67" s="1430"/>
      <c r="M67" s="1430"/>
      <c r="N67" s="1430"/>
      <c r="O67" s="1430"/>
      <c r="P67" s="1430"/>
    </row>
    <row r="68" spans="1:16" ht="12.75">
      <c r="A68" s="1438">
        <v>-2799.8</v>
      </c>
      <c r="B68" t="s">
        <v>723</v>
      </c>
      <c r="C68" s="1388"/>
      <c r="E68" s="1447"/>
      <c r="F68" s="1448"/>
      <c r="G68" s="1437"/>
      <c r="H68" s="1437"/>
      <c r="I68" s="1435"/>
      <c r="J68" s="1430"/>
      <c r="K68" s="1430"/>
      <c r="L68" s="1430"/>
      <c r="M68" s="1430"/>
      <c r="N68" s="1430"/>
      <c r="O68" s="1430"/>
      <c r="P68" s="1430"/>
    </row>
    <row r="69" spans="1:16" ht="12.75">
      <c r="A69" s="1438">
        <v>-7009.62</v>
      </c>
      <c r="B69" t="s">
        <v>724</v>
      </c>
      <c r="C69" s="1388"/>
      <c r="E69" s="1447">
        <f>-A69</f>
        <v>7009.62</v>
      </c>
      <c r="F69" s="1448"/>
      <c r="G69" s="1437"/>
      <c r="H69" s="1437"/>
      <c r="I69" s="1435"/>
      <c r="J69" s="1430"/>
      <c r="K69" s="1430"/>
      <c r="L69" s="1430"/>
      <c r="M69" s="1430"/>
      <c r="N69" s="1430"/>
      <c r="O69" s="1430"/>
      <c r="P69" s="1430"/>
    </row>
    <row r="70" spans="1:16" ht="12.75">
      <c r="A70" s="1438">
        <v>-45780.89</v>
      </c>
      <c r="B70" t="s">
        <v>725</v>
      </c>
      <c r="C70" s="1439"/>
      <c r="E70" s="1447"/>
      <c r="F70" s="1448"/>
      <c r="G70" s="1449">
        <f>-A70</f>
        <v>45780.89</v>
      </c>
      <c r="H70" s="1437"/>
      <c r="I70" s="1435"/>
      <c r="J70" s="1430"/>
      <c r="K70" s="1430"/>
      <c r="L70" s="1430"/>
      <c r="M70" s="1430"/>
      <c r="N70" s="1430"/>
      <c r="O70" s="1430"/>
      <c r="P70" s="1430"/>
    </row>
    <row r="71" spans="1:16" ht="12.75">
      <c r="A71" s="1438">
        <v>0.39</v>
      </c>
      <c r="B71" t="s">
        <v>530</v>
      </c>
      <c r="C71" s="1439"/>
      <c r="E71" s="1447"/>
      <c r="F71" s="1448"/>
      <c r="G71" s="1437"/>
      <c r="H71" s="1437"/>
      <c r="I71" s="1435"/>
      <c r="J71" s="1430"/>
      <c r="K71" s="1430"/>
      <c r="L71" s="1430"/>
      <c r="M71" s="1430"/>
      <c r="N71" s="1430"/>
      <c r="O71" s="1430"/>
      <c r="P71" s="1430"/>
    </row>
    <row r="72" spans="1:16" ht="12.75">
      <c r="A72" s="1438">
        <v>-40680.89</v>
      </c>
      <c r="B72" t="s">
        <v>704</v>
      </c>
      <c r="C72" s="1439"/>
      <c r="E72" s="1447"/>
      <c r="F72" s="1448"/>
      <c r="G72" s="1437"/>
      <c r="H72" s="1437"/>
      <c r="I72" s="1445"/>
      <c r="J72" s="1430"/>
      <c r="K72" s="1430"/>
      <c r="L72" s="1430"/>
      <c r="M72" s="1430"/>
      <c r="N72" s="1430"/>
      <c r="O72" s="1430"/>
      <c r="P72" s="1430"/>
    </row>
    <row r="73" spans="1:16" ht="12.75">
      <c r="A73" s="1327">
        <f>+SUM(A61:A72)</f>
        <v>-39280.61000000001</v>
      </c>
      <c r="B73" t="s">
        <v>257</v>
      </c>
      <c r="C73" s="1439"/>
      <c r="E73" s="1447"/>
      <c r="F73" s="1448"/>
      <c r="G73" s="1437"/>
      <c r="H73" s="1437"/>
      <c r="I73" s="1435"/>
      <c r="J73" s="1430"/>
      <c r="K73" s="1430"/>
      <c r="L73" s="1430"/>
      <c r="M73" s="1430"/>
      <c r="N73" s="1430"/>
      <c r="O73" s="1430"/>
      <c r="P73" s="1430"/>
    </row>
    <row r="74" spans="1:16" ht="12.75">
      <c r="A74" s="1315"/>
      <c r="B74" s="1436"/>
      <c r="C74" s="1239"/>
      <c r="D74" s="1450"/>
      <c r="E74" s="1447"/>
      <c r="F74" s="1448"/>
      <c r="G74" s="1437"/>
      <c r="H74" s="1437"/>
      <c r="I74" s="1435"/>
      <c r="J74" s="1430"/>
      <c r="K74" s="1430"/>
      <c r="L74" s="1430"/>
      <c r="M74" s="1430"/>
      <c r="N74" s="1430"/>
      <c r="O74" s="1430"/>
      <c r="P74" s="1430"/>
    </row>
    <row r="75" spans="1:16" ht="13.5" thickBot="1">
      <c r="A75" s="1315"/>
      <c r="B75" s="1239"/>
      <c r="C75" s="1239"/>
      <c r="D75" s="1439"/>
      <c r="E75" s="1447"/>
      <c r="F75" s="1448"/>
      <c r="G75" s="1437"/>
      <c r="H75" s="1437"/>
      <c r="I75" s="1435"/>
      <c r="J75" s="1430"/>
      <c r="K75" s="1430"/>
      <c r="L75" s="1430"/>
      <c r="M75" s="1430"/>
      <c r="N75" s="1430"/>
      <c r="O75" s="1430"/>
      <c r="P75" s="1430"/>
    </row>
    <row r="76" spans="1:16" ht="13.5" thickBot="1">
      <c r="A76" s="2042" t="s">
        <v>263</v>
      </c>
      <c r="B76" s="2037"/>
      <c r="C76" s="2038"/>
      <c r="D76" s="1242"/>
      <c r="E76" s="1451"/>
      <c r="F76" s="1448"/>
      <c r="G76" s="1437"/>
      <c r="H76" s="1437"/>
      <c r="I76" s="1435"/>
      <c r="J76" s="1430"/>
      <c r="K76" s="1430"/>
      <c r="L76" s="1430"/>
      <c r="M76" s="1430"/>
      <c r="N76" s="1430"/>
      <c r="O76" s="1430"/>
      <c r="P76" s="1430"/>
    </row>
    <row r="77" spans="1:16" ht="12.75">
      <c r="A77" s="1315"/>
      <c r="B77" s="1239"/>
      <c r="C77" s="1239"/>
      <c r="D77" s="1239"/>
      <c r="E77" s="1447"/>
      <c r="F77" s="1448"/>
      <c r="G77" s="1437"/>
      <c r="H77" s="1437"/>
      <c r="I77" s="1435"/>
      <c r="J77" s="1430"/>
      <c r="K77" s="1430"/>
      <c r="L77" s="1430"/>
      <c r="M77" s="1430"/>
      <c r="N77" s="1430"/>
      <c r="O77" s="1430"/>
      <c r="P77" s="1430"/>
    </row>
    <row r="78" spans="1:16" ht="12.75">
      <c r="A78" s="1327">
        <v>953.81</v>
      </c>
      <c r="B78" t="s">
        <v>12</v>
      </c>
      <c r="C78" s="1309"/>
      <c r="D78" s="1309"/>
      <c r="E78" s="1447"/>
      <c r="F78" s="1437"/>
      <c r="G78" s="1437"/>
      <c r="H78" s="1437"/>
      <c r="I78" s="1435"/>
      <c r="J78" s="1430"/>
      <c r="K78" s="1430"/>
      <c r="L78" s="1430"/>
      <c r="M78" s="1430"/>
      <c r="N78" s="1430"/>
      <c r="O78" s="1430"/>
      <c r="P78" s="1430"/>
    </row>
    <row r="79" spans="1:16" ht="12.75">
      <c r="A79" s="1327">
        <v>9641.49</v>
      </c>
      <c r="B79" t="s">
        <v>706</v>
      </c>
      <c r="C79" s="1309"/>
      <c r="D79" s="1309"/>
      <c r="E79" s="1447"/>
      <c r="F79" s="1448"/>
      <c r="G79" s="1437"/>
      <c r="H79" s="1437"/>
      <c r="I79" s="1435"/>
      <c r="J79" s="1430"/>
      <c r="K79" s="1430"/>
      <c r="L79" s="1430"/>
      <c r="M79" s="1430"/>
      <c r="N79" s="1430"/>
      <c r="O79" s="1430"/>
      <c r="P79" s="1430"/>
    </row>
    <row r="80" spans="1:16" ht="12.75">
      <c r="A80" s="1438">
        <v>-1422.48</v>
      </c>
      <c r="B80" t="s">
        <v>726</v>
      </c>
      <c r="C80" s="1309"/>
      <c r="D80" s="1309"/>
      <c r="E80" s="1447"/>
      <c r="F80" s="1448"/>
      <c r="G80" s="1437"/>
      <c r="H80" s="1437"/>
      <c r="I80" s="1435"/>
      <c r="J80" s="1430"/>
      <c r="K80" s="1430"/>
      <c r="L80" s="1430"/>
      <c r="M80" s="1430"/>
      <c r="N80" s="1430"/>
      <c r="O80" s="1430"/>
      <c r="P80" s="1430"/>
    </row>
    <row r="81" spans="1:16" ht="12.75">
      <c r="A81" s="1438">
        <v>-0.52</v>
      </c>
      <c r="B81" t="s">
        <v>264</v>
      </c>
      <c r="C81" s="1309"/>
      <c r="D81" s="1309"/>
      <c r="E81" s="1447"/>
      <c r="F81" s="1437"/>
      <c r="G81" s="1437"/>
      <c r="H81" s="1437"/>
      <c r="I81" s="1452"/>
      <c r="J81" s="1430"/>
      <c r="K81" s="1430"/>
      <c r="L81" s="1430"/>
      <c r="M81" s="1430"/>
      <c r="N81" s="1430"/>
      <c r="O81" s="1430"/>
      <c r="P81" s="1430"/>
    </row>
    <row r="82" spans="1:16" ht="12.75">
      <c r="A82" s="1438">
        <v>-9763.04</v>
      </c>
      <c r="B82" t="s">
        <v>26</v>
      </c>
      <c r="C82" s="1309"/>
      <c r="D82" s="1309"/>
      <c r="E82" s="1447"/>
      <c r="F82" s="1437"/>
      <c r="G82" s="1437"/>
      <c r="H82" s="1437"/>
      <c r="I82" s="1452"/>
      <c r="J82" s="1430"/>
      <c r="K82" s="1430"/>
      <c r="L82" s="1430"/>
      <c r="M82" s="1430"/>
      <c r="N82" s="1430"/>
      <c r="O82" s="1430"/>
      <c r="P82" s="1430"/>
    </row>
    <row r="83" spans="1:16" ht="12.75">
      <c r="A83" s="1438">
        <v>-1061.61</v>
      </c>
      <c r="B83" t="s">
        <v>713</v>
      </c>
      <c r="C83" s="1309"/>
      <c r="D83" s="1309"/>
      <c r="E83" s="1447"/>
      <c r="F83" s="1437"/>
      <c r="G83" s="1437"/>
      <c r="H83" s="1437"/>
      <c r="I83" s="1452"/>
      <c r="J83" s="1430"/>
      <c r="K83" s="1430"/>
      <c r="L83" s="1430"/>
      <c r="M83" s="1430"/>
      <c r="N83" s="1430"/>
      <c r="O83" s="1430"/>
      <c r="P83" s="1430"/>
    </row>
    <row r="84" spans="1:16" ht="12.75">
      <c r="A84" s="1438">
        <v>-2285</v>
      </c>
      <c r="B84" t="s">
        <v>722</v>
      </c>
      <c r="C84" s="1239"/>
      <c r="D84" s="1239"/>
      <c r="E84" s="1447"/>
      <c r="F84" s="1437"/>
      <c r="G84" s="1437"/>
      <c r="H84" s="1437"/>
      <c r="I84" s="1435"/>
      <c r="J84" s="1430"/>
      <c r="K84" s="1430"/>
      <c r="L84" s="1430"/>
      <c r="M84" s="1430"/>
      <c r="N84" s="1430"/>
      <c r="O84" s="1430"/>
      <c r="P84" s="1430"/>
    </row>
    <row r="85" spans="1:16" ht="12.75">
      <c r="A85" s="1438">
        <v>-8310</v>
      </c>
      <c r="B85" t="s">
        <v>716</v>
      </c>
      <c r="C85" s="1239"/>
      <c r="D85" s="1239"/>
      <c r="E85" s="1447"/>
      <c r="F85" s="1437"/>
      <c r="G85" s="1449">
        <f>-A85</f>
        <v>8310</v>
      </c>
      <c r="H85" s="1437"/>
      <c r="I85" s="1435"/>
      <c r="J85" s="1430"/>
      <c r="K85" s="1430"/>
      <c r="L85" s="1430"/>
      <c r="M85" s="1430"/>
      <c r="N85" s="1430"/>
      <c r="O85" s="1430"/>
      <c r="P85" s="1430"/>
    </row>
    <row r="86" spans="1:16" ht="12.75">
      <c r="A86" s="1327">
        <f>+SUM(A78:A85)</f>
        <v>-12247.350000000002</v>
      </c>
      <c r="B86" t="s">
        <v>257</v>
      </c>
      <c r="C86" s="1239"/>
      <c r="D86" s="1388"/>
      <c r="E86" s="1447"/>
      <c r="F86" s="1437"/>
      <c r="G86" s="1437"/>
      <c r="H86" s="1437"/>
      <c r="I86" s="1435"/>
      <c r="J86" s="1430"/>
      <c r="K86" s="1430"/>
      <c r="L86" s="1430"/>
      <c r="M86" s="1430"/>
      <c r="N86" s="1430"/>
      <c r="O86" s="1430"/>
      <c r="P86" s="1430"/>
    </row>
    <row r="87" spans="1:16" ht="13.5" thickBot="1">
      <c r="A87" s="1325"/>
      <c r="B87" s="1239"/>
      <c r="C87" s="1239"/>
      <c r="D87" s="1239"/>
      <c r="E87" s="1447"/>
      <c r="F87" s="1437"/>
      <c r="G87" s="1437"/>
      <c r="H87" s="1437"/>
      <c r="I87" s="1435"/>
      <c r="J87" s="1430"/>
      <c r="K87" s="1430"/>
      <c r="L87" s="1430"/>
      <c r="M87" s="1430"/>
      <c r="N87" s="1430"/>
      <c r="O87" s="1430"/>
      <c r="P87" s="1430"/>
    </row>
    <row r="88" spans="1:16" ht="13.5" thickBot="1">
      <c r="A88" s="2042" t="s">
        <v>265</v>
      </c>
      <c r="B88" s="2037"/>
      <c r="C88" s="2038"/>
      <c r="D88" s="1239"/>
      <c r="E88" s="1447"/>
      <c r="F88" s="1437"/>
      <c r="G88" s="1437"/>
      <c r="H88" s="1437"/>
      <c r="I88" s="1435"/>
      <c r="J88" s="1430"/>
      <c r="K88" s="1430"/>
      <c r="L88" s="1430"/>
      <c r="M88" s="1430"/>
      <c r="N88" s="1430"/>
      <c r="O88" s="1430"/>
      <c r="P88" s="1430"/>
    </row>
    <row r="89" spans="1:16" ht="12.75">
      <c r="A89" s="1243"/>
      <c r="B89" s="1244"/>
      <c r="C89" s="1244"/>
      <c r="D89" s="1239"/>
      <c r="E89" s="1447"/>
      <c r="F89" s="1437"/>
      <c r="G89" s="1437"/>
      <c r="H89" s="1437"/>
      <c r="I89" s="1435"/>
      <c r="J89" s="1430"/>
      <c r="K89" s="1430"/>
      <c r="L89" s="1430"/>
      <c r="M89" s="1430"/>
      <c r="N89" s="1430"/>
      <c r="O89" s="1430"/>
      <c r="P89" s="1430"/>
    </row>
    <row r="90" spans="1:16" ht="12.75">
      <c r="A90" s="1327">
        <v>18384.75</v>
      </c>
      <c r="B90" t="s">
        <v>5</v>
      </c>
      <c r="C90" s="1244"/>
      <c r="D90" s="1239"/>
      <c r="E90" s="1447"/>
      <c r="F90" s="1437"/>
      <c r="G90" s="1437"/>
      <c r="H90" s="1437"/>
      <c r="I90" s="1435"/>
      <c r="J90" s="1430"/>
      <c r="K90" s="1430"/>
      <c r="L90" s="1430"/>
      <c r="M90" s="1430"/>
      <c r="N90" s="1430"/>
      <c r="O90" s="1430"/>
      <c r="P90" s="1430"/>
    </row>
    <row r="91" spans="1:16" ht="12.75">
      <c r="A91" s="1327">
        <v>11275.7</v>
      </c>
      <c r="B91" t="s">
        <v>706</v>
      </c>
      <c r="C91" s="1430"/>
      <c r="D91" s="1239"/>
      <c r="E91" s="1383"/>
      <c r="F91" s="1376"/>
      <c r="G91" s="1376"/>
      <c r="H91" s="1437"/>
      <c r="I91" s="1435"/>
      <c r="J91" s="1430"/>
      <c r="K91" s="1430"/>
      <c r="L91" s="1430"/>
      <c r="M91" s="1430"/>
      <c r="N91" s="1430"/>
      <c r="O91" s="1430"/>
      <c r="P91" s="1430"/>
    </row>
    <row r="92" spans="1:16" ht="12.75">
      <c r="A92" s="1327">
        <v>1200.14</v>
      </c>
      <c r="B92" t="s">
        <v>727</v>
      </c>
      <c r="C92" s="1430"/>
      <c r="D92" s="1321"/>
      <c r="E92" s="1393"/>
      <c r="F92" s="1394"/>
      <c r="G92" s="1394"/>
      <c r="H92" s="1437"/>
      <c r="I92" s="1435"/>
      <c r="J92" s="1430"/>
      <c r="K92" s="1430"/>
      <c r="L92" s="1430"/>
      <c r="M92" s="1430"/>
      <c r="N92" s="1430"/>
      <c r="O92" s="1430"/>
      <c r="P92" s="1430"/>
    </row>
    <row r="93" spans="1:16" ht="12.75">
      <c r="A93" s="1327">
        <v>-14763.34</v>
      </c>
      <c r="B93" t="s">
        <v>726</v>
      </c>
      <c r="C93" s="1430"/>
      <c r="D93" s="1239"/>
      <c r="E93" s="1389"/>
      <c r="F93" s="1376"/>
      <c r="G93" s="1376"/>
      <c r="H93" s="1437"/>
      <c r="I93" s="1435"/>
      <c r="J93" s="1430"/>
      <c r="K93" s="1430"/>
      <c r="L93" s="1430"/>
      <c r="M93" s="1430"/>
      <c r="N93" s="1430"/>
      <c r="O93" s="1430"/>
      <c r="P93" s="1430"/>
    </row>
    <row r="94" spans="1:16" ht="12.75">
      <c r="A94" s="1327">
        <v>-0.8</v>
      </c>
      <c r="B94" t="s">
        <v>264</v>
      </c>
      <c r="C94" s="1430"/>
      <c r="D94" s="1239"/>
      <c r="E94" s="1375"/>
      <c r="F94" s="1390"/>
      <c r="G94" s="1395"/>
      <c r="H94" s="1437"/>
      <c r="I94" s="1435"/>
      <c r="J94" s="1430"/>
      <c r="K94" s="1430"/>
      <c r="L94" s="1430"/>
      <c r="M94" s="1430"/>
      <c r="N94" s="1430"/>
      <c r="O94" s="1430"/>
      <c r="P94" s="1430"/>
    </row>
    <row r="95" spans="1:16" ht="12.75">
      <c r="A95" s="1327">
        <v>-388</v>
      </c>
      <c r="B95" t="s">
        <v>721</v>
      </c>
      <c r="C95" s="1430"/>
      <c r="D95" s="1239"/>
      <c r="E95" s="1375"/>
      <c r="F95" s="1390"/>
      <c r="G95" s="1376"/>
      <c r="H95" s="1437"/>
      <c r="I95" s="1435"/>
      <c r="J95" s="1430"/>
      <c r="K95" s="1430"/>
      <c r="L95" s="1430"/>
      <c r="M95" s="1430"/>
      <c r="N95" s="1430"/>
      <c r="O95" s="1430"/>
      <c r="P95" s="1430"/>
    </row>
    <row r="96" spans="1:16" ht="12.75">
      <c r="A96" s="1327">
        <v>26111.04</v>
      </c>
      <c r="B96" t="s">
        <v>721</v>
      </c>
      <c r="C96" s="1430"/>
      <c r="D96" s="1239"/>
      <c r="E96" s="1375"/>
      <c r="F96" s="1376"/>
      <c r="G96" s="1376"/>
      <c r="H96" s="1437"/>
      <c r="I96" s="1435"/>
      <c r="J96" s="1430"/>
      <c r="K96" s="1430"/>
      <c r="L96" s="1430"/>
      <c r="M96" s="1430"/>
      <c r="N96" s="1430"/>
      <c r="O96" s="1430"/>
      <c r="P96" s="1430"/>
    </row>
    <row r="97" spans="1:16" ht="12.75">
      <c r="A97">
        <v>-1050</v>
      </c>
      <c r="B97" t="s">
        <v>722</v>
      </c>
      <c r="C97" s="1430"/>
      <c r="D97" s="1239"/>
      <c r="E97" s="1375"/>
      <c r="F97" s="1376"/>
      <c r="G97" s="1376"/>
      <c r="H97" s="1437"/>
      <c r="I97" s="1445"/>
      <c r="J97" s="1430"/>
      <c r="K97" s="1430"/>
      <c r="L97" s="1430"/>
      <c r="M97" s="1430"/>
      <c r="N97" s="1430"/>
      <c r="O97" s="1430"/>
      <c r="P97" s="1430"/>
    </row>
    <row r="98" spans="1:16" ht="12.75">
      <c r="A98">
        <v>1100</v>
      </c>
      <c r="B98" t="s">
        <v>722</v>
      </c>
      <c r="C98" s="1430"/>
      <c r="D98" s="1239"/>
      <c r="E98" s="1383"/>
      <c r="F98" s="1376"/>
      <c r="G98" s="1376"/>
      <c r="H98" s="1437"/>
      <c r="I98" s="1435"/>
      <c r="J98" s="1430"/>
      <c r="K98" s="1430"/>
      <c r="L98" s="1430"/>
      <c r="M98" s="1430"/>
      <c r="N98" s="1430"/>
      <c r="O98" s="1430"/>
      <c r="P98" s="1430"/>
    </row>
    <row r="99" spans="1:16" ht="12.75">
      <c r="A99" s="1327">
        <v>-41292.57</v>
      </c>
      <c r="B99" t="s">
        <v>713</v>
      </c>
      <c r="C99" s="1430"/>
      <c r="D99" s="1239"/>
      <c r="E99" s="1375"/>
      <c r="F99" s="1376"/>
      <c r="G99" s="1384"/>
      <c r="H99" s="1437"/>
      <c r="I99" s="1435"/>
      <c r="J99" s="1430"/>
      <c r="K99" s="1430"/>
      <c r="L99" s="1430"/>
      <c r="M99" s="1430"/>
      <c r="N99" s="1430"/>
      <c r="O99" s="1430"/>
      <c r="P99" s="1430"/>
    </row>
    <row r="100" spans="1:16" ht="12.75">
      <c r="A100" s="1327">
        <v>-5194</v>
      </c>
      <c r="B100" t="s">
        <v>728</v>
      </c>
      <c r="C100" s="1430"/>
      <c r="D100" s="1239"/>
      <c r="E100" s="1375"/>
      <c r="F100" s="1384"/>
      <c r="G100" s="1376"/>
      <c r="H100" s="1449">
        <f>-A100</f>
        <v>5194</v>
      </c>
      <c r="I100" s="1435"/>
      <c r="J100" s="1430"/>
      <c r="K100" s="1430"/>
      <c r="L100" s="1430"/>
      <c r="M100" s="1430"/>
      <c r="N100" s="1430"/>
      <c r="O100" s="1430"/>
      <c r="P100" s="1430"/>
    </row>
    <row r="101" spans="1:16" ht="12.75">
      <c r="A101">
        <v>-15974</v>
      </c>
      <c r="B101" t="s">
        <v>729</v>
      </c>
      <c r="C101" s="1430"/>
      <c r="D101" s="1239"/>
      <c r="E101" s="1375"/>
      <c r="F101" s="1425"/>
      <c r="G101" s="1425">
        <f>-A101</f>
        <v>15974</v>
      </c>
      <c r="H101" s="1437"/>
      <c r="I101" s="1452"/>
      <c r="J101" s="1430"/>
      <c r="K101" s="1430"/>
      <c r="L101" s="1430"/>
      <c r="M101" s="1430"/>
      <c r="N101" s="1430"/>
      <c r="O101" s="1430"/>
      <c r="P101" s="1430"/>
    </row>
    <row r="102" spans="1:16" ht="12.75">
      <c r="A102" s="1327">
        <v>-7232.3</v>
      </c>
      <c r="B102" t="s">
        <v>730</v>
      </c>
      <c r="C102" s="1430"/>
      <c r="D102" s="1239"/>
      <c r="E102" s="1375"/>
      <c r="F102" s="1425">
        <f>-A102</f>
        <v>7232.3</v>
      </c>
      <c r="G102" s="1425">
        <v>0</v>
      </c>
      <c r="H102" s="1437"/>
      <c r="I102" s="1435"/>
      <c r="J102" s="1430"/>
      <c r="K102" s="1430"/>
      <c r="L102" s="1430"/>
      <c r="M102" s="1430"/>
      <c r="N102" s="1430"/>
      <c r="O102" s="1430"/>
      <c r="P102" s="1430"/>
    </row>
    <row r="103" spans="1:16" ht="12.75">
      <c r="A103" s="1327">
        <f>+SUM(A90:A102)</f>
        <v>-27823.379999999994</v>
      </c>
      <c r="B103" t="s">
        <v>717</v>
      </c>
      <c r="C103" s="1430"/>
      <c r="D103" s="1239"/>
      <c r="E103" s="1375"/>
      <c r="F103" s="1376"/>
      <c r="G103" s="1376"/>
      <c r="H103" s="1437"/>
      <c r="I103" s="1435"/>
      <c r="J103" s="1430"/>
      <c r="K103" s="1430"/>
      <c r="L103" s="1430"/>
      <c r="M103" s="1430"/>
      <c r="N103" s="1430"/>
      <c r="O103" s="1430"/>
      <c r="P103" s="1430"/>
    </row>
    <row r="104" spans="1:16" ht="13.5" thickBot="1">
      <c r="A104" s="1436"/>
      <c r="B104" s="1309"/>
      <c r="C104" s="1430"/>
      <c r="D104" s="1239"/>
      <c r="E104" s="1375"/>
      <c r="F104" s="1376"/>
      <c r="G104" s="1376"/>
      <c r="H104" s="1437"/>
      <c r="I104" s="1435"/>
      <c r="J104" s="1430"/>
      <c r="K104" s="1430"/>
      <c r="L104" s="1430"/>
      <c r="M104" s="1430"/>
      <c r="N104" s="1430"/>
      <c r="O104" s="1430"/>
      <c r="P104" s="1430"/>
    </row>
    <row r="105" spans="1:16" ht="13.5" thickBot="1">
      <c r="A105" s="2049" t="s">
        <v>53</v>
      </c>
      <c r="B105" s="2050"/>
      <c r="C105" s="2050"/>
      <c r="D105" s="2051"/>
      <c r="E105" s="1375"/>
      <c r="F105" s="1376"/>
      <c r="G105" s="1376"/>
      <c r="H105" s="1437"/>
      <c r="I105" s="1435"/>
      <c r="J105" s="1430"/>
      <c r="K105" s="1430"/>
      <c r="L105" s="1430"/>
      <c r="M105" s="1430"/>
      <c r="N105" s="1430"/>
      <c r="O105" s="1430"/>
      <c r="P105" s="1430"/>
    </row>
    <row r="106" spans="1:16" ht="12.75">
      <c r="A106" s="1436"/>
      <c r="B106" s="1309"/>
      <c r="C106" s="1430"/>
      <c r="D106" s="1239"/>
      <c r="E106" s="1375"/>
      <c r="F106" s="1376"/>
      <c r="G106" s="1376"/>
      <c r="H106" s="1437"/>
      <c r="I106" s="1435"/>
      <c r="J106" s="1430"/>
      <c r="K106" s="1430"/>
      <c r="L106" s="1430"/>
      <c r="M106" s="1430"/>
      <c r="N106" s="1430"/>
      <c r="O106" s="1430"/>
      <c r="P106" s="1430"/>
    </row>
    <row r="107" spans="1:16" ht="12.75">
      <c r="A107" s="1436">
        <v>-38370</v>
      </c>
      <c r="B107" s="1396" t="s">
        <v>54</v>
      </c>
      <c r="C107" s="1430"/>
      <c r="D107" s="1239"/>
      <c r="E107" s="1375"/>
      <c r="F107" s="1376"/>
      <c r="G107" s="1376"/>
      <c r="H107" s="1437"/>
      <c r="I107" s="1452"/>
      <c r="J107" s="1430"/>
      <c r="K107" s="1430"/>
      <c r="L107" s="1430"/>
      <c r="M107" s="1430"/>
      <c r="N107" s="1430"/>
      <c r="O107" s="1430"/>
      <c r="P107" s="1430"/>
    </row>
    <row r="108" spans="1:16" ht="12.75">
      <c r="A108" s="1436"/>
      <c r="B108" s="1309"/>
      <c r="C108" s="1430"/>
      <c r="D108" s="1239"/>
      <c r="E108" s="1375"/>
      <c r="F108" s="1376"/>
      <c r="G108" s="1376"/>
      <c r="H108" s="1437"/>
      <c r="I108" s="1435"/>
      <c r="J108" s="1430"/>
      <c r="K108" s="1430"/>
      <c r="L108" s="1430"/>
      <c r="M108" s="1430"/>
      <c r="N108" s="1430"/>
      <c r="O108" s="1430"/>
      <c r="P108" s="1430"/>
    </row>
    <row r="109" spans="1:16" ht="13.5" thickBot="1">
      <c r="A109" s="1436"/>
      <c r="B109" s="1309"/>
      <c r="C109" s="1430"/>
      <c r="D109" s="1239"/>
      <c r="E109" s="1375"/>
      <c r="F109" s="1376"/>
      <c r="G109" s="1376"/>
      <c r="H109" s="1437"/>
      <c r="I109" s="1435"/>
      <c r="J109" s="1430"/>
      <c r="K109" s="1430"/>
      <c r="L109" s="1430"/>
      <c r="M109" s="1430"/>
      <c r="N109" s="1430"/>
      <c r="O109" s="1430"/>
      <c r="P109" s="1430"/>
    </row>
    <row r="110" spans="1:16" ht="13.5" thickBot="1">
      <c r="A110" s="2042" t="s">
        <v>266</v>
      </c>
      <c r="B110" s="2037"/>
      <c r="C110" s="2038"/>
      <c r="D110" s="1239"/>
      <c r="E110" s="1375"/>
      <c r="F110" s="1376"/>
      <c r="G110" s="1376"/>
      <c r="H110" s="1437"/>
      <c r="I110" s="1435"/>
      <c r="J110" s="1430"/>
      <c r="K110" s="1430"/>
      <c r="L110" s="1430"/>
      <c r="M110" s="1430"/>
      <c r="N110" s="1430"/>
      <c r="O110" s="1430"/>
      <c r="P110" s="1430"/>
    </row>
    <row r="111" spans="1:16" ht="12.75">
      <c r="A111" s="1315"/>
      <c r="B111" s="1239"/>
      <c r="C111" s="1239"/>
      <c r="D111" s="1239"/>
      <c r="E111" s="1375"/>
      <c r="F111" s="1376"/>
      <c r="G111" s="1376"/>
      <c r="H111" s="1437"/>
      <c r="I111" s="1435"/>
      <c r="J111" s="1430"/>
      <c r="K111" s="1430"/>
      <c r="L111" s="1430"/>
      <c r="M111" s="1430"/>
      <c r="N111" s="1430"/>
      <c r="O111" s="1430"/>
      <c r="P111" s="1430"/>
    </row>
    <row r="112" spans="1:16" ht="12.75">
      <c r="A112" s="1327">
        <v>9744.69</v>
      </c>
      <c r="B112" t="s">
        <v>12</v>
      </c>
      <c r="D112" s="1239"/>
      <c r="E112" s="1375"/>
      <c r="F112" s="1376"/>
      <c r="G112" s="1376"/>
      <c r="H112" s="1437"/>
      <c r="I112" s="1435"/>
      <c r="J112" s="1430"/>
      <c r="K112" s="1430"/>
      <c r="L112" s="1430"/>
      <c r="M112" s="1430"/>
      <c r="N112" s="1430"/>
      <c r="O112" s="1430"/>
      <c r="P112" s="1430"/>
    </row>
    <row r="113" spans="1:16" ht="12.75">
      <c r="A113" s="1327">
        <v>3088.47</v>
      </c>
      <c r="B113" t="s">
        <v>706</v>
      </c>
      <c r="D113" s="1239"/>
      <c r="E113" s="1375"/>
      <c r="F113" s="1376"/>
      <c r="G113" s="1376"/>
      <c r="H113" s="1437"/>
      <c r="I113" s="1435"/>
      <c r="J113" s="1430"/>
      <c r="K113" s="1430"/>
      <c r="L113" s="1430"/>
      <c r="M113" s="1430"/>
      <c r="N113" s="1430"/>
      <c r="O113" s="1430"/>
      <c r="P113" s="1430"/>
    </row>
    <row r="114" spans="1:16" ht="12.75">
      <c r="A114" s="1327">
        <v>-8067.1</v>
      </c>
      <c r="B114" t="s">
        <v>726</v>
      </c>
      <c r="D114" s="1239"/>
      <c r="E114" s="1375"/>
      <c r="F114" s="1376"/>
      <c r="G114" s="1376"/>
      <c r="H114" s="1437"/>
      <c r="I114" s="1435"/>
      <c r="J114" s="1430"/>
      <c r="K114" s="1430"/>
      <c r="L114" s="1430"/>
      <c r="M114" s="1430"/>
      <c r="N114" s="1430"/>
      <c r="O114" s="1430"/>
      <c r="P114" s="1430"/>
    </row>
    <row r="115" spans="1:16" ht="12.75">
      <c r="A115">
        <v>-0.19</v>
      </c>
      <c r="B115" t="s">
        <v>264</v>
      </c>
      <c r="D115" s="1239"/>
      <c r="E115" s="1375"/>
      <c r="F115" s="1395"/>
      <c r="G115" s="1395"/>
      <c r="H115" s="1437"/>
      <c r="I115" s="1435"/>
      <c r="J115" s="1430"/>
      <c r="K115" s="1430"/>
      <c r="L115" s="1430"/>
      <c r="M115" s="1430"/>
      <c r="N115" s="1430"/>
      <c r="O115" s="1430"/>
      <c r="P115" s="1430"/>
    </row>
    <row r="116" spans="1:16" ht="12.75">
      <c r="A116" s="1327">
        <v>-17.7400000000016</v>
      </c>
      <c r="B116" t="s">
        <v>704</v>
      </c>
      <c r="D116" s="1239"/>
      <c r="E116" s="1398"/>
      <c r="F116" s="1376"/>
      <c r="G116" s="1376"/>
      <c r="H116" s="1449">
        <v>0</v>
      </c>
      <c r="I116" s="1435"/>
      <c r="J116" s="1430"/>
      <c r="K116" s="1430"/>
      <c r="L116" s="1430"/>
      <c r="M116" s="1430"/>
      <c r="N116" s="1430"/>
      <c r="O116" s="1430"/>
      <c r="P116" s="1430"/>
    </row>
    <row r="117" spans="1:16" ht="12.75">
      <c r="A117" s="1327">
        <v>-6279.74</v>
      </c>
      <c r="B117" t="s">
        <v>729</v>
      </c>
      <c r="D117" s="1239"/>
      <c r="E117" s="1375"/>
      <c r="F117" s="1425">
        <v>0</v>
      </c>
      <c r="G117" s="1425">
        <f>-A117</f>
        <v>6279.74</v>
      </c>
      <c r="H117" s="1437"/>
      <c r="I117" s="1435"/>
      <c r="J117" s="1430"/>
      <c r="K117" s="1430"/>
      <c r="L117" s="1430"/>
      <c r="M117" s="1430"/>
      <c r="N117" s="1430"/>
      <c r="O117" s="1430"/>
      <c r="P117" s="1430"/>
    </row>
    <row r="118" spans="1:16" ht="12.75">
      <c r="A118" s="1327">
        <v>-3000</v>
      </c>
      <c r="B118" t="s">
        <v>731</v>
      </c>
      <c r="D118" s="1239"/>
      <c r="E118" s="1375"/>
      <c r="F118" s="1425">
        <f>-A118</f>
        <v>3000</v>
      </c>
      <c r="G118" s="1425">
        <v>0</v>
      </c>
      <c r="H118" s="1437"/>
      <c r="I118" s="1453"/>
      <c r="J118" s="1430"/>
      <c r="K118" s="1430"/>
      <c r="L118" s="1430"/>
      <c r="M118" s="1430"/>
      <c r="N118" s="1430"/>
      <c r="O118" s="1430"/>
      <c r="P118" s="1430"/>
    </row>
    <row r="119" spans="1:16" ht="12.75">
      <c r="A119" s="1327">
        <v>-7268.7</v>
      </c>
      <c r="B119" t="s">
        <v>724</v>
      </c>
      <c r="D119" s="1239"/>
      <c r="E119" s="1454">
        <f>-A119</f>
        <v>7268.7</v>
      </c>
      <c r="F119" s="1376"/>
      <c r="G119" s="1376"/>
      <c r="H119" s="1437"/>
      <c r="I119" s="1435"/>
      <c r="J119" s="1430"/>
      <c r="K119" s="1430"/>
      <c r="L119" s="1430"/>
      <c r="M119" s="1430"/>
      <c r="N119" s="1430"/>
      <c r="O119" s="1430"/>
      <c r="P119" s="1430"/>
    </row>
    <row r="120" spans="1:16" ht="12.75">
      <c r="A120" s="1327">
        <f>+SUM(A112:A119)</f>
        <v>-11800.310000000001</v>
      </c>
      <c r="B120" t="s">
        <v>717</v>
      </c>
      <c r="D120" s="1239"/>
      <c r="E120" s="1375"/>
      <c r="F120" s="1376"/>
      <c r="G120" s="1376"/>
      <c r="H120" s="1437"/>
      <c r="I120" s="1435"/>
      <c r="J120" s="1430"/>
      <c r="K120" s="1430"/>
      <c r="L120" s="1430"/>
      <c r="M120" s="1430"/>
      <c r="N120" s="1430"/>
      <c r="O120" s="1430"/>
      <c r="P120" s="1430"/>
    </row>
    <row r="121" spans="1:16" ht="12.75">
      <c r="A121" s="1315"/>
      <c r="B121" s="1309"/>
      <c r="C121" s="1430"/>
      <c r="D121" s="1430"/>
      <c r="E121" s="1393"/>
      <c r="F121" s="1394"/>
      <c r="G121" s="1394"/>
      <c r="H121" s="1437"/>
      <c r="I121" s="1435"/>
      <c r="J121" s="1430"/>
      <c r="K121" s="1430"/>
      <c r="L121" s="1430"/>
      <c r="M121" s="1430"/>
      <c r="N121" s="1430"/>
      <c r="O121" s="1430"/>
      <c r="P121" s="1430"/>
    </row>
    <row r="122" spans="1:16" ht="12.75">
      <c r="A122" s="1436"/>
      <c r="B122" s="1239"/>
      <c r="C122" s="1430"/>
      <c r="D122" s="1430"/>
      <c r="E122" s="1399"/>
      <c r="F122" s="1377"/>
      <c r="G122" s="1377"/>
      <c r="H122" s="1437"/>
      <c r="I122" s="1435"/>
      <c r="J122" s="1430"/>
      <c r="K122" s="1430"/>
      <c r="L122" s="1430"/>
      <c r="M122" s="1430"/>
      <c r="N122" s="1430"/>
      <c r="O122" s="1430"/>
      <c r="P122" s="1430"/>
    </row>
    <row r="123" spans="1:16" ht="12.75">
      <c r="A123" s="1455" t="s">
        <v>577</v>
      </c>
      <c r="B123" s="1239"/>
      <c r="C123" s="1430"/>
      <c r="D123" s="1430"/>
      <c r="E123" s="1399"/>
      <c r="F123" s="1377"/>
      <c r="G123" s="1377"/>
      <c r="H123" s="1437"/>
      <c r="I123" s="1435"/>
      <c r="J123" s="1430"/>
      <c r="K123" s="1430"/>
      <c r="L123" s="1430"/>
      <c r="M123" s="1430"/>
      <c r="N123" s="1430"/>
      <c r="O123" s="1430"/>
      <c r="P123" s="1430"/>
    </row>
    <row r="124" spans="1:16" ht="12.75">
      <c r="A124" s="1456"/>
      <c r="B124" s="1239"/>
      <c r="C124" s="1430"/>
      <c r="D124" s="1430"/>
      <c r="E124" s="1399"/>
      <c r="F124" s="1377"/>
      <c r="G124" s="1377"/>
      <c r="H124" s="1437"/>
      <c r="I124" s="1435"/>
      <c r="J124" s="1430"/>
      <c r="K124" s="1430"/>
      <c r="L124" s="1430"/>
      <c r="M124" s="1430"/>
      <c r="N124" s="1430"/>
      <c r="O124" s="1430"/>
      <c r="P124" s="1430"/>
    </row>
    <row r="125" spans="1:16" ht="12.75">
      <c r="A125" s="1327">
        <v>-760</v>
      </c>
      <c r="B125" t="s">
        <v>732</v>
      </c>
      <c r="C125" s="1430"/>
      <c r="D125" s="1430"/>
      <c r="E125" s="1399"/>
      <c r="F125" s="1377"/>
      <c r="G125" s="1377"/>
      <c r="H125" s="1437"/>
      <c r="I125" s="1435"/>
      <c r="J125" s="1430"/>
      <c r="K125" s="1430"/>
      <c r="L125" s="1430"/>
      <c r="M125" s="1430"/>
      <c r="N125" s="1430"/>
      <c r="O125" s="1430"/>
      <c r="P125" s="1430"/>
    </row>
    <row r="126" spans="1:16" ht="12.75">
      <c r="A126" s="1327">
        <v>-1755.78</v>
      </c>
      <c r="B126" t="s">
        <v>704</v>
      </c>
      <c r="C126" s="1430"/>
      <c r="D126" s="1430"/>
      <c r="E126" s="1399"/>
      <c r="F126" s="1377"/>
      <c r="G126" s="1377"/>
      <c r="H126" s="1437"/>
      <c r="I126" s="1435"/>
      <c r="J126" s="1430"/>
      <c r="K126" s="1430"/>
      <c r="L126" s="1430"/>
      <c r="M126" s="1430"/>
      <c r="N126" s="1430"/>
      <c r="O126" s="1430"/>
      <c r="P126" s="1430"/>
    </row>
    <row r="127" spans="1:16" ht="12.75">
      <c r="A127" s="1327">
        <v>-9833.4</v>
      </c>
      <c r="B127" t="s">
        <v>733</v>
      </c>
      <c r="C127" s="1430"/>
      <c r="D127" s="1430"/>
      <c r="E127" s="1399"/>
      <c r="F127" s="1377"/>
      <c r="G127" s="1377"/>
      <c r="H127" s="1437"/>
      <c r="I127" s="1452"/>
      <c r="J127" s="1430"/>
      <c r="K127" s="1430"/>
      <c r="L127" s="1430"/>
      <c r="M127" s="1430"/>
      <c r="N127" s="1430"/>
      <c r="O127" s="1430"/>
      <c r="P127" s="1430"/>
    </row>
    <row r="128" spans="1:16" ht="12.75">
      <c r="A128" s="1327">
        <v>-256.4</v>
      </c>
      <c r="B128" t="s">
        <v>730</v>
      </c>
      <c r="C128" s="1430"/>
      <c r="D128" s="1430"/>
      <c r="E128" s="1399"/>
      <c r="F128" s="1418">
        <f>-A128</f>
        <v>256.4</v>
      </c>
      <c r="G128" s="1418">
        <v>0</v>
      </c>
      <c r="H128" s="1437"/>
      <c r="I128" s="1452"/>
      <c r="J128" s="1430"/>
      <c r="K128" s="1430"/>
      <c r="L128" s="1430"/>
      <c r="M128" s="1430"/>
      <c r="N128" s="1430"/>
      <c r="O128" s="1430"/>
      <c r="P128" s="1430"/>
    </row>
    <row r="129" spans="1:16" ht="12.75">
      <c r="A129" s="1327">
        <v>-0.58</v>
      </c>
      <c r="B129" t="s">
        <v>264</v>
      </c>
      <c r="C129" s="1446"/>
      <c r="D129" s="1446"/>
      <c r="E129" s="1400"/>
      <c r="F129" s="1401"/>
      <c r="G129" s="1402"/>
      <c r="H129" s="1457"/>
      <c r="I129" s="1458"/>
      <c r="J129" s="1430"/>
      <c r="K129" s="1430"/>
      <c r="L129" s="1430"/>
      <c r="M129" s="1430"/>
      <c r="N129" s="1430"/>
      <c r="O129" s="1430"/>
      <c r="P129" s="1430"/>
    </row>
    <row r="130" spans="1:16" ht="12.75">
      <c r="A130" s="1327">
        <f>+SUM(A125:A129)</f>
        <v>-12606.16</v>
      </c>
      <c r="B130" s="2034" t="s">
        <v>734</v>
      </c>
      <c r="C130" s="2035"/>
      <c r="D130" s="1446"/>
      <c r="E130" s="1403">
        <f>+SUM(E4:E129)</f>
        <v>14278.32</v>
      </c>
      <c r="F130" s="1403">
        <f>+SUM(F4:F129)</f>
        <v>18949.4</v>
      </c>
      <c r="G130" s="1403">
        <f>+SUM(G4:G129)</f>
        <v>104692.03000000001</v>
      </c>
      <c r="H130" s="1403">
        <f>+SUM(H4:H129)</f>
        <v>5194.18</v>
      </c>
      <c r="I130" s="1403">
        <f>+SUM(I4:I129)</f>
        <v>0</v>
      </c>
      <c r="J130" s="1430"/>
      <c r="K130" s="1430"/>
      <c r="L130" s="1430"/>
      <c r="M130" s="1430"/>
      <c r="N130" s="1430"/>
      <c r="O130" s="1430"/>
      <c r="P130" s="1430"/>
    </row>
    <row r="131" spans="1:16" ht="12.75">
      <c r="A131" s="1436"/>
      <c r="B131" s="1356"/>
      <c r="C131" s="1356"/>
      <c r="D131" s="1446"/>
      <c r="E131" s="1403"/>
      <c r="F131" s="1403"/>
      <c r="G131" s="1403"/>
      <c r="H131" s="1403"/>
      <c r="I131" s="1403"/>
      <c r="J131" s="1430"/>
      <c r="K131" s="1430"/>
      <c r="L131" s="1430"/>
      <c r="M131" s="1430"/>
      <c r="N131" s="1430"/>
      <c r="O131" s="1430"/>
      <c r="P131" s="1430"/>
    </row>
    <row r="132" spans="1:16" ht="12.75">
      <c r="A132" s="1315"/>
      <c r="B132" s="1309"/>
      <c r="C132" s="1309"/>
      <c r="D132" s="1309"/>
      <c r="E132" s="1459"/>
      <c r="F132" s="1459"/>
      <c r="G132" s="1459"/>
      <c r="H132" s="1459"/>
      <c r="I132" s="1430"/>
      <c r="J132" s="1430"/>
      <c r="K132" s="1430"/>
      <c r="L132" s="1430"/>
      <c r="M132" s="1430"/>
      <c r="N132" s="1430"/>
      <c r="O132" s="1430"/>
      <c r="P132" s="1430"/>
    </row>
    <row r="133" spans="1:17" ht="23.25" thickBot="1">
      <c r="A133" s="1337" t="s">
        <v>269</v>
      </c>
      <c r="B133" s="1338"/>
      <c r="C133" s="1338"/>
      <c r="D133" s="1338"/>
      <c r="E133" s="1404" t="s">
        <v>989</v>
      </c>
      <c r="F133" s="1404" t="s">
        <v>990</v>
      </c>
      <c r="G133" s="1404" t="s">
        <v>262</v>
      </c>
      <c r="H133" s="1434" t="s">
        <v>1000</v>
      </c>
      <c r="I133" s="1404"/>
      <c r="J133" s="1404" t="s">
        <v>342</v>
      </c>
      <c r="K133" s="1404" t="s">
        <v>344</v>
      </c>
      <c r="L133" s="1404" t="s">
        <v>360</v>
      </c>
      <c r="M133" s="1372" t="s">
        <v>1001</v>
      </c>
      <c r="N133" s="1362" t="s">
        <v>19</v>
      </c>
      <c r="O133" s="1362" t="s">
        <v>32</v>
      </c>
      <c r="P133" s="1362" t="s">
        <v>713</v>
      </c>
      <c r="Q133" s="1376" t="s">
        <v>735</v>
      </c>
    </row>
    <row r="134" spans="1:16" ht="13.5" thickBot="1">
      <c r="A134" s="1339"/>
      <c r="B134" s="1333"/>
      <c r="C134" s="1333"/>
      <c r="D134" s="1333"/>
      <c r="E134" s="1377"/>
      <c r="F134" s="1377"/>
      <c r="G134" s="1377"/>
      <c r="H134" s="1437"/>
      <c r="I134" s="1437"/>
      <c r="J134" s="1437"/>
      <c r="K134" s="1437"/>
      <c r="L134" s="1437"/>
      <c r="M134" s="1435"/>
      <c r="N134" s="1460"/>
      <c r="O134" s="1430"/>
      <c r="P134" s="1430"/>
    </row>
    <row r="135" spans="1:16" ht="13.5" thickBot="1">
      <c r="A135" s="2036" t="s">
        <v>255</v>
      </c>
      <c r="B135" s="2037"/>
      <c r="C135" s="2038"/>
      <c r="D135" s="1333"/>
      <c r="E135" s="1377"/>
      <c r="F135" s="1377"/>
      <c r="G135" s="1377"/>
      <c r="H135" s="1437"/>
      <c r="I135" s="1437"/>
      <c r="J135" s="1437"/>
      <c r="K135" s="1437"/>
      <c r="L135" s="1437"/>
      <c r="M135" s="1435"/>
      <c r="N135" s="1460"/>
      <c r="O135" s="1430"/>
      <c r="P135" s="1430"/>
    </row>
    <row r="136" spans="1:16" ht="12.75">
      <c r="A136" s="1340">
        <v>-1883.01</v>
      </c>
      <c r="B136" s="1244" t="s">
        <v>270</v>
      </c>
      <c r="C136" s="1244"/>
      <c r="D136" s="1333"/>
      <c r="E136" s="1377"/>
      <c r="F136" s="1377"/>
      <c r="G136" s="1377"/>
      <c r="H136" s="1437"/>
      <c r="I136" s="1437"/>
      <c r="J136" s="1437"/>
      <c r="K136" s="1437"/>
      <c r="L136" s="1437"/>
      <c r="M136" s="1435"/>
      <c r="N136" s="1460"/>
      <c r="O136" s="1430"/>
      <c r="P136" s="1430"/>
    </row>
    <row r="137" spans="1:16" ht="12.75">
      <c r="A137" s="1340">
        <v>-15155.09</v>
      </c>
      <c r="B137" s="1244" t="s">
        <v>736</v>
      </c>
      <c r="C137" s="1244"/>
      <c r="D137" s="1333"/>
      <c r="E137" s="1377"/>
      <c r="F137" s="1377"/>
      <c r="G137" s="1377"/>
      <c r="H137" s="1437"/>
      <c r="I137" s="1437"/>
      <c r="J137" s="1449">
        <v>14435.09</v>
      </c>
      <c r="K137" s="1437"/>
      <c r="L137" s="1437"/>
      <c r="M137" s="1435"/>
      <c r="N137" s="1460"/>
      <c r="O137" s="1430"/>
      <c r="P137" s="1430"/>
    </row>
    <row r="138" spans="1:16" ht="12.75">
      <c r="A138" s="1340">
        <v>-8983.41</v>
      </c>
      <c r="B138" s="1244" t="s">
        <v>271</v>
      </c>
      <c r="C138" s="1244"/>
      <c r="D138" s="1333"/>
      <c r="E138" s="1377"/>
      <c r="F138" s="1377"/>
      <c r="G138" s="1377"/>
      <c r="H138" s="1437"/>
      <c r="I138" s="1437"/>
      <c r="J138" s="1437"/>
      <c r="K138" s="1437"/>
      <c r="L138" s="1437"/>
      <c r="M138" s="1435"/>
      <c r="N138" s="1460"/>
      <c r="O138" s="1430"/>
      <c r="P138" s="1430"/>
    </row>
    <row r="139" spans="1:16" ht="12.75">
      <c r="A139" s="1340">
        <v>-715.64</v>
      </c>
      <c r="B139" s="1244" t="s">
        <v>272</v>
      </c>
      <c r="C139" s="1244"/>
      <c r="D139" s="1333"/>
      <c r="E139" s="1377"/>
      <c r="F139" s="1377"/>
      <c r="G139" s="1377"/>
      <c r="H139" s="1437"/>
      <c r="I139" s="1437"/>
      <c r="J139" s="1437"/>
      <c r="K139" s="1449">
        <v>715.64</v>
      </c>
      <c r="L139" s="1437"/>
      <c r="M139" s="1435"/>
      <c r="N139" s="1460"/>
      <c r="O139" s="1430"/>
      <c r="P139" s="1430"/>
    </row>
    <row r="140" spans="1:16" ht="12.75">
      <c r="A140" s="1340">
        <v>-34.25</v>
      </c>
      <c r="B140" s="1244" t="s">
        <v>273</v>
      </c>
      <c r="C140" s="1244"/>
      <c r="D140" s="1333"/>
      <c r="E140" s="1377"/>
      <c r="F140" s="1377"/>
      <c r="G140" s="1377"/>
      <c r="H140" s="1437"/>
      <c r="I140" s="1437"/>
      <c r="J140" s="1437"/>
      <c r="K140" s="1437"/>
      <c r="L140" s="1437"/>
      <c r="M140" s="1435"/>
      <c r="N140" s="1460"/>
      <c r="O140" s="1430"/>
      <c r="P140" s="1430"/>
    </row>
    <row r="141" spans="1:16" ht="12.75">
      <c r="A141" s="1340">
        <v>-1077.93</v>
      </c>
      <c r="B141" s="1244" t="s">
        <v>274</v>
      </c>
      <c r="C141" s="1244"/>
      <c r="D141" s="1333"/>
      <c r="E141" s="1377"/>
      <c r="F141" s="1377"/>
      <c r="G141" s="1377"/>
      <c r="H141" s="1437"/>
      <c r="I141" s="1437"/>
      <c r="J141" s="1437"/>
      <c r="K141" s="1437"/>
      <c r="L141" s="1449">
        <v>1077.93</v>
      </c>
      <c r="M141" s="1435"/>
      <c r="N141" s="1460"/>
      <c r="O141" s="1430"/>
      <c r="P141" s="1430"/>
    </row>
    <row r="142" spans="1:16" ht="12.75">
      <c r="A142" s="1341">
        <v>-24133.39</v>
      </c>
      <c r="B142" s="1308" t="s">
        <v>275</v>
      </c>
      <c r="C142" s="1244"/>
      <c r="D142" s="1333"/>
      <c r="E142" s="1405"/>
      <c r="F142" s="1406"/>
      <c r="G142" s="1377"/>
      <c r="H142" s="1437"/>
      <c r="I142" s="1437"/>
      <c r="J142" s="1437"/>
      <c r="K142" s="1437"/>
      <c r="L142" s="1437"/>
      <c r="M142" s="1435"/>
      <c r="N142" s="1460"/>
      <c r="O142" s="1430"/>
      <c r="P142" s="1430"/>
    </row>
    <row r="143" spans="1:16" ht="12.75">
      <c r="A143" s="1342">
        <v>-17.47</v>
      </c>
      <c r="B143" s="1310" t="s">
        <v>276</v>
      </c>
      <c r="C143" s="1244"/>
      <c r="D143" s="1333"/>
      <c r="E143" s="1407"/>
      <c r="F143" s="1406"/>
      <c r="G143" s="1377"/>
      <c r="H143" s="1448"/>
      <c r="I143" s="1437"/>
      <c r="J143" s="1437"/>
      <c r="K143" s="1437"/>
      <c r="L143" s="1437"/>
      <c r="M143" s="1452">
        <v>17.47</v>
      </c>
      <c r="N143" s="1461"/>
      <c r="O143" s="1430"/>
      <c r="P143" s="1430"/>
    </row>
    <row r="144" spans="1:16" ht="12.75">
      <c r="A144" s="1343">
        <v>-13402.76</v>
      </c>
      <c r="B144" s="1311" t="s">
        <v>992</v>
      </c>
      <c r="C144" s="1244"/>
      <c r="D144" s="1343"/>
      <c r="E144" s="1408"/>
      <c r="F144" s="1406"/>
      <c r="G144" s="1380"/>
      <c r="H144" s="1437"/>
      <c r="I144" s="1437"/>
      <c r="J144" s="1437"/>
      <c r="K144" s="1437"/>
      <c r="L144" s="1437"/>
      <c r="M144" s="1435"/>
      <c r="N144" s="1460"/>
      <c r="O144" s="1430"/>
      <c r="P144" s="1430"/>
    </row>
    <row r="145" spans="1:16" ht="12.75">
      <c r="A145" s="1343">
        <v>-111.48</v>
      </c>
      <c r="B145" s="1311" t="s">
        <v>993</v>
      </c>
      <c r="C145" s="1244"/>
      <c r="D145" s="1333"/>
      <c r="E145" s="1408"/>
      <c r="F145" s="1409"/>
      <c r="G145" s="1377"/>
      <c r="H145" s="1437"/>
      <c r="I145" s="1437"/>
      <c r="J145" s="1437"/>
      <c r="K145" s="1437"/>
      <c r="L145" s="1437"/>
      <c r="M145" s="1435"/>
      <c r="N145" s="1460"/>
      <c r="O145" s="1430"/>
      <c r="P145" s="1430"/>
    </row>
    <row r="146" spans="1:16" ht="12.75">
      <c r="A146" s="1343">
        <v>-0.07</v>
      </c>
      <c r="B146" s="1311" t="s">
        <v>256</v>
      </c>
      <c r="C146" s="1244"/>
      <c r="D146" s="1333"/>
      <c r="E146" s="1408"/>
      <c r="F146" s="1406"/>
      <c r="G146" s="1377"/>
      <c r="H146" s="1448">
        <v>0.07</v>
      </c>
      <c r="I146" s="1437"/>
      <c r="J146" s="1437"/>
      <c r="K146" s="1437"/>
      <c r="L146" s="1437"/>
      <c r="M146" s="1435"/>
      <c r="N146" s="1460"/>
      <c r="O146" s="1430"/>
      <c r="P146" s="1430"/>
    </row>
    <row r="147" spans="1:16" ht="12.75">
      <c r="A147" s="1340">
        <v>-0.52</v>
      </c>
      <c r="B147" s="1410" t="s">
        <v>32</v>
      </c>
      <c r="C147" s="1334"/>
      <c r="D147" s="1334"/>
      <c r="E147" s="1394"/>
      <c r="F147" s="1394"/>
      <c r="G147" s="1411"/>
      <c r="H147" s="1437"/>
      <c r="I147" s="1437"/>
      <c r="J147" s="1437"/>
      <c r="K147" s="1437"/>
      <c r="L147" s="1437"/>
      <c r="M147" s="1435"/>
      <c r="N147" s="1460"/>
      <c r="O147" s="1462">
        <v>0.52</v>
      </c>
      <c r="P147" s="1430"/>
    </row>
    <row r="148" spans="1:16" ht="12.75">
      <c r="A148" s="1340">
        <v>0.55</v>
      </c>
      <c r="B148" s="1410" t="s">
        <v>19</v>
      </c>
      <c r="C148" s="1334"/>
      <c r="D148" s="1334"/>
      <c r="E148" s="1394"/>
      <c r="F148" s="1394"/>
      <c r="G148" s="1411"/>
      <c r="H148" s="1437"/>
      <c r="I148" s="1437"/>
      <c r="J148" s="1437"/>
      <c r="K148" s="1437"/>
      <c r="L148" s="1437"/>
      <c r="M148" s="1435"/>
      <c r="N148" s="1463">
        <v>0.55</v>
      </c>
      <c r="O148" s="1462"/>
      <c r="P148" s="1430"/>
    </row>
    <row r="149" spans="1:16" ht="12.75">
      <c r="A149" s="1340">
        <v>-0.4</v>
      </c>
      <c r="B149" s="1410" t="s">
        <v>264</v>
      </c>
      <c r="C149" s="1334"/>
      <c r="D149" s="1334"/>
      <c r="E149" s="1394"/>
      <c r="F149" s="1394"/>
      <c r="G149" s="1411"/>
      <c r="H149" s="1437"/>
      <c r="I149" s="1437"/>
      <c r="J149" s="1437"/>
      <c r="K149" s="1437"/>
      <c r="L149" s="1437"/>
      <c r="M149" s="1435"/>
      <c r="N149" s="1460"/>
      <c r="O149" s="1430"/>
      <c r="P149" s="1430"/>
    </row>
    <row r="150" spans="1:16" ht="25.5">
      <c r="A150" s="1340">
        <v>1842.9</v>
      </c>
      <c r="B150" s="1345" t="s">
        <v>1003</v>
      </c>
      <c r="C150" s="1334"/>
      <c r="D150" s="1346"/>
      <c r="E150" s="1412"/>
      <c r="F150" s="1413"/>
      <c r="G150" s="1413"/>
      <c r="H150" s="1437"/>
      <c r="I150" s="1437"/>
      <c r="J150" s="1437"/>
      <c r="K150" s="1437"/>
      <c r="L150" s="1437"/>
      <c r="M150" s="1435"/>
      <c r="N150" s="1460"/>
      <c r="O150" s="1430"/>
      <c r="P150" s="1430"/>
    </row>
    <row r="151" spans="1:16" ht="12.75">
      <c r="A151" s="1346">
        <v>1878.81</v>
      </c>
      <c r="B151" s="1347" t="s">
        <v>995</v>
      </c>
      <c r="C151" s="1312"/>
      <c r="D151" s="1312"/>
      <c r="E151" s="1412"/>
      <c r="F151" s="1413"/>
      <c r="G151" s="1413"/>
      <c r="H151" s="1437"/>
      <c r="I151" s="1437"/>
      <c r="J151" s="1437"/>
      <c r="K151" s="1437"/>
      <c r="L151" s="1437"/>
      <c r="M151" s="1435"/>
      <c r="N151" s="1460"/>
      <c r="O151" s="1430"/>
      <c r="P151" s="1430"/>
    </row>
    <row r="152" spans="1:16" ht="12.75">
      <c r="A152" s="1378">
        <v>10534.8</v>
      </c>
      <c r="B152" s="1379" t="s">
        <v>703</v>
      </c>
      <c r="C152" s="1381"/>
      <c r="D152" s="1382"/>
      <c r="E152" s="1412"/>
      <c r="F152" s="1413"/>
      <c r="G152" s="1414"/>
      <c r="H152" s="1437"/>
      <c r="I152" s="1437"/>
      <c r="J152" s="1437"/>
      <c r="K152" s="1437"/>
      <c r="L152" s="1437"/>
      <c r="M152" s="1435"/>
      <c r="N152" s="1460"/>
      <c r="O152" s="1430"/>
      <c r="P152" s="1430"/>
    </row>
    <row r="153" spans="1:17" ht="12.75">
      <c r="A153" s="1381">
        <v>13406.19</v>
      </c>
      <c r="B153" s="1374" t="s">
        <v>40</v>
      </c>
      <c r="C153" s="1312"/>
      <c r="D153" s="1381"/>
      <c r="E153" s="1412"/>
      <c r="F153" s="1413"/>
      <c r="G153" s="1414"/>
      <c r="H153" s="1437"/>
      <c r="I153" s="1437"/>
      <c r="J153" s="1437"/>
      <c r="K153" s="1437"/>
      <c r="L153" s="1437"/>
      <c r="M153" s="1435"/>
      <c r="N153" s="1460"/>
      <c r="O153" s="1430"/>
      <c r="P153" s="1430"/>
      <c r="Q153" s="1397">
        <v>0</v>
      </c>
    </row>
    <row r="154" spans="1:16" ht="12.75">
      <c r="A154" s="1381">
        <v>-25587.85</v>
      </c>
      <c r="B154" s="1382" t="s">
        <v>704</v>
      </c>
      <c r="C154" s="1381"/>
      <c r="D154" s="1382"/>
      <c r="E154" s="1412"/>
      <c r="F154" s="1413"/>
      <c r="G154" s="1414"/>
      <c r="H154" s="1437"/>
      <c r="I154" s="1437"/>
      <c r="J154" s="1437"/>
      <c r="K154" s="1437"/>
      <c r="L154" s="1437"/>
      <c r="M154" s="1435"/>
      <c r="N154" s="1460"/>
      <c r="O154" s="1430"/>
      <c r="P154" s="1464">
        <f>-A154</f>
        <v>25587.85</v>
      </c>
    </row>
    <row r="155" spans="1:16" ht="12.75">
      <c r="A155" s="1381">
        <v>-0.52</v>
      </c>
      <c r="B155" s="1382" t="s">
        <v>32</v>
      </c>
      <c r="C155" s="1381"/>
      <c r="D155" s="1382"/>
      <c r="E155" s="1412"/>
      <c r="F155" s="1413"/>
      <c r="G155" s="1414"/>
      <c r="H155" s="1437"/>
      <c r="I155" s="1437"/>
      <c r="J155" s="1437"/>
      <c r="K155" s="1437"/>
      <c r="L155" s="1437"/>
      <c r="M155" s="1435"/>
      <c r="N155" s="1460"/>
      <c r="O155" s="1430"/>
      <c r="P155" s="1430"/>
    </row>
    <row r="156" spans="1:16" ht="12.75">
      <c r="A156" s="1340">
        <f>+SUM(A136:A155)</f>
        <v>-63440.53999999999</v>
      </c>
      <c r="B156" s="1240" t="s">
        <v>268</v>
      </c>
      <c r="C156" s="1312"/>
      <c r="D156" s="1312"/>
      <c r="E156" s="1413"/>
      <c r="F156" s="1413"/>
      <c r="G156" s="1413"/>
      <c r="H156" s="1437"/>
      <c r="I156" s="1437"/>
      <c r="J156" s="1437"/>
      <c r="K156" s="1437"/>
      <c r="L156" s="1437"/>
      <c r="M156" s="1435"/>
      <c r="N156" s="1460"/>
      <c r="O156" s="1430"/>
      <c r="P156" s="1430"/>
    </row>
    <row r="157" spans="1:16" ht="12.75">
      <c r="A157" s="1340"/>
      <c r="B157" s="1240"/>
      <c r="C157" s="1312"/>
      <c r="D157" s="1312"/>
      <c r="E157" s="1413"/>
      <c r="F157" s="1413"/>
      <c r="G157" s="1413"/>
      <c r="H157" s="1437"/>
      <c r="I157" s="1437"/>
      <c r="J157" s="1437"/>
      <c r="K157" s="1437"/>
      <c r="L157" s="1437"/>
      <c r="M157" s="1435"/>
      <c r="N157" s="1460"/>
      <c r="O157" s="1430"/>
      <c r="P157" s="1430"/>
    </row>
    <row r="158" spans="1:16" ht="13.5" thickBot="1">
      <c r="A158" s="1336"/>
      <c r="B158" s="1312"/>
      <c r="C158" s="1312"/>
      <c r="D158" s="1312"/>
      <c r="E158" s="1413"/>
      <c r="F158" s="1413"/>
      <c r="G158" s="1377"/>
      <c r="H158" s="1437"/>
      <c r="I158" s="1437"/>
      <c r="J158" s="1437"/>
      <c r="K158" s="1437"/>
      <c r="L158" s="1437"/>
      <c r="M158" s="1435"/>
      <c r="N158" s="1460"/>
      <c r="O158" s="1430"/>
      <c r="P158" s="1430"/>
    </row>
    <row r="159" spans="1:16" ht="12.75">
      <c r="A159" s="2052" t="s">
        <v>278</v>
      </c>
      <c r="B159" s="2053"/>
      <c r="C159" s="2054"/>
      <c r="D159" s="1333"/>
      <c r="E159" s="1377"/>
      <c r="F159" s="1377"/>
      <c r="G159" s="1377"/>
      <c r="H159" s="1437"/>
      <c r="I159" s="1437"/>
      <c r="J159" s="1437"/>
      <c r="K159" s="1437"/>
      <c r="L159" s="1437"/>
      <c r="M159" s="1435"/>
      <c r="N159" s="1460"/>
      <c r="O159" s="1430"/>
      <c r="P159" s="1430"/>
    </row>
    <row r="160" spans="1:16" ht="12.75">
      <c r="A160" s="1348"/>
      <c r="B160" s="1328"/>
      <c r="C160" s="1328"/>
      <c r="D160" s="1329"/>
      <c r="E160" s="1377"/>
      <c r="F160" s="1377"/>
      <c r="G160" s="1377"/>
      <c r="H160" s="1437"/>
      <c r="I160" s="1437"/>
      <c r="J160" s="1437"/>
      <c r="K160" s="1437"/>
      <c r="L160" s="1437"/>
      <c r="M160" s="1435"/>
      <c r="N160" s="1460"/>
      <c r="O160" s="1430"/>
      <c r="P160" s="1430"/>
    </row>
    <row r="161" spans="1:16" ht="12.75">
      <c r="A161" s="1340">
        <v>-4782</v>
      </c>
      <c r="B161" s="1330" t="s">
        <v>279</v>
      </c>
      <c r="C161" s="1328"/>
      <c r="D161" s="1329"/>
      <c r="E161" s="1377"/>
      <c r="F161" s="1377"/>
      <c r="G161" s="1377"/>
      <c r="H161" s="1437"/>
      <c r="I161" s="1437"/>
      <c r="J161" s="1437"/>
      <c r="K161" s="1437"/>
      <c r="L161" s="1437"/>
      <c r="M161" s="1435"/>
      <c r="N161" s="1460"/>
      <c r="O161" s="1430"/>
      <c r="P161" s="1430"/>
    </row>
    <row r="162" spans="1:16" ht="12.75">
      <c r="A162" s="1340">
        <v>-1617.87</v>
      </c>
      <c r="B162" s="1330" t="s">
        <v>280</v>
      </c>
      <c r="C162" s="1328"/>
      <c r="D162" s="1329"/>
      <c r="E162" s="1377"/>
      <c r="F162" s="1377"/>
      <c r="G162" s="1377"/>
      <c r="H162" s="1437"/>
      <c r="I162" s="1437"/>
      <c r="J162" s="1437"/>
      <c r="K162" s="1437"/>
      <c r="L162" s="1437"/>
      <c r="M162" s="1435"/>
      <c r="N162" s="1460"/>
      <c r="O162" s="1430"/>
      <c r="P162" s="1430"/>
    </row>
    <row r="163" spans="1:16" ht="12.75">
      <c r="A163" s="1340">
        <v>-3489.77</v>
      </c>
      <c r="B163" s="1330" t="s">
        <v>281</v>
      </c>
      <c r="C163" s="1328"/>
      <c r="D163" s="1329"/>
      <c r="E163" s="1377"/>
      <c r="F163" s="1377"/>
      <c r="G163" s="1377"/>
      <c r="H163" s="1437"/>
      <c r="I163" s="1437"/>
      <c r="J163" s="1437"/>
      <c r="K163" s="1437"/>
      <c r="L163" s="1437"/>
      <c r="M163" s="1435"/>
      <c r="N163" s="1460"/>
      <c r="O163" s="1430"/>
      <c r="P163" s="1430"/>
    </row>
    <row r="164" spans="1:16" ht="12.75">
      <c r="A164" s="1340">
        <v>-570.66</v>
      </c>
      <c r="B164" s="1330" t="s">
        <v>282</v>
      </c>
      <c r="C164" s="1328"/>
      <c r="D164" s="1329"/>
      <c r="E164" s="1377"/>
      <c r="F164" s="1377"/>
      <c r="G164" s="1377"/>
      <c r="H164" s="1437"/>
      <c r="I164" s="1437"/>
      <c r="J164" s="1437"/>
      <c r="K164" s="1437"/>
      <c r="L164" s="1437"/>
      <c r="M164" s="1435"/>
      <c r="N164" s="1460"/>
      <c r="O164" s="1430"/>
      <c r="P164" s="1430"/>
    </row>
    <row r="165" spans="1:16" ht="12.75">
      <c r="A165" s="1340">
        <v>4782</v>
      </c>
      <c r="B165" s="1330" t="s">
        <v>283</v>
      </c>
      <c r="C165" s="1328"/>
      <c r="D165" s="1329"/>
      <c r="E165" s="1377"/>
      <c r="F165" s="1377"/>
      <c r="G165" s="1377"/>
      <c r="H165" s="1437"/>
      <c r="I165" s="1437"/>
      <c r="J165" s="1437"/>
      <c r="K165" s="1437"/>
      <c r="L165" s="1437"/>
      <c r="M165" s="1435"/>
      <c r="N165" s="1460"/>
      <c r="O165" s="1430"/>
      <c r="P165" s="1430"/>
    </row>
    <row r="166" spans="1:16" ht="12.75">
      <c r="A166" s="1340">
        <v>-5678.3</v>
      </c>
      <c r="B166" s="1240" t="s">
        <v>268</v>
      </c>
      <c r="C166" s="1328"/>
      <c r="D166" s="1329"/>
      <c r="E166" s="1377"/>
      <c r="F166" s="1377"/>
      <c r="G166" s="1377"/>
      <c r="H166" s="1437"/>
      <c r="I166" s="1437"/>
      <c r="J166" s="1437"/>
      <c r="K166" s="1437"/>
      <c r="L166" s="1437"/>
      <c r="M166" s="1435"/>
      <c r="N166" s="1460"/>
      <c r="O166" s="1430"/>
      <c r="P166" s="1430"/>
    </row>
    <row r="167" spans="1:16" ht="13.5" thickBot="1">
      <c r="A167" s="1349"/>
      <c r="B167" s="1333"/>
      <c r="C167" s="1333"/>
      <c r="D167" s="1333"/>
      <c r="E167" s="1377"/>
      <c r="F167" s="1377"/>
      <c r="G167" s="1377"/>
      <c r="H167" s="1437"/>
      <c r="I167" s="1437"/>
      <c r="J167" s="1437"/>
      <c r="K167" s="1437"/>
      <c r="L167" s="1437"/>
      <c r="M167" s="1435"/>
      <c r="N167" s="1460"/>
      <c r="O167" s="1430"/>
      <c r="P167" s="1430"/>
    </row>
    <row r="168" spans="1:16" ht="13.5" thickBot="1">
      <c r="A168" s="2036" t="s">
        <v>258</v>
      </c>
      <c r="B168" s="2037"/>
      <c r="C168" s="2038"/>
      <c r="D168" s="1333"/>
      <c r="E168" s="1377"/>
      <c r="F168" s="1377"/>
      <c r="G168" s="1377"/>
      <c r="H168" s="1437"/>
      <c r="I168" s="1437"/>
      <c r="J168" s="1437"/>
      <c r="K168" s="1437"/>
      <c r="L168" s="1437"/>
      <c r="M168" s="1435"/>
      <c r="N168" s="1460"/>
      <c r="O168" s="1430"/>
      <c r="P168" s="1430"/>
    </row>
    <row r="169" spans="1:16" ht="12.75">
      <c r="A169" s="1340"/>
      <c r="B169" s="1333"/>
      <c r="C169" s="1333"/>
      <c r="D169" s="1333"/>
      <c r="E169" s="1465"/>
      <c r="F169" s="1466"/>
      <c r="G169" s="1415"/>
      <c r="H169" s="1437"/>
      <c r="I169" s="1437"/>
      <c r="J169" s="1437"/>
      <c r="K169" s="1437"/>
      <c r="L169" s="1437"/>
      <c r="M169" s="1435"/>
      <c r="N169" s="1460"/>
      <c r="O169" s="1430"/>
      <c r="P169" s="1430"/>
    </row>
    <row r="170" spans="1:16" ht="12.75">
      <c r="A170" s="1340">
        <v>-221.32</v>
      </c>
      <c r="B170" s="1333" t="s">
        <v>284</v>
      </c>
      <c r="C170" s="1333"/>
      <c r="D170" s="1335"/>
      <c r="E170" s="1448"/>
      <c r="F170" s="1437"/>
      <c r="G170" s="1437"/>
      <c r="H170" s="1448"/>
      <c r="I170" s="1437"/>
      <c r="J170" s="1449">
        <v>221.32</v>
      </c>
      <c r="K170" s="1437"/>
      <c r="L170" s="1437"/>
      <c r="M170" s="1435"/>
      <c r="N170" s="1460"/>
      <c r="O170" s="1430"/>
      <c r="P170" s="1430"/>
    </row>
    <row r="171" spans="1:16" ht="12.75">
      <c r="A171" s="1340">
        <v>-86.89</v>
      </c>
      <c r="B171" s="1333" t="s">
        <v>285</v>
      </c>
      <c r="C171" s="1333"/>
      <c r="D171" s="1335"/>
      <c r="E171" s="1448"/>
      <c r="F171" s="1448"/>
      <c r="G171" s="1437"/>
      <c r="H171" s="1448"/>
      <c r="I171" s="1437"/>
      <c r="J171" s="1437"/>
      <c r="K171" s="1449">
        <v>86.89</v>
      </c>
      <c r="L171" s="1437"/>
      <c r="M171" s="1435"/>
      <c r="N171" s="1460"/>
      <c r="O171" s="1430"/>
      <c r="P171" s="1430"/>
    </row>
    <row r="172" spans="1:16" ht="12.75">
      <c r="A172" s="1340">
        <v>-1281.6</v>
      </c>
      <c r="B172" s="1333" t="s">
        <v>286</v>
      </c>
      <c r="C172" s="1333"/>
      <c r="D172" s="1335"/>
      <c r="E172" s="1448"/>
      <c r="F172" s="1448"/>
      <c r="G172" s="1437"/>
      <c r="H172" s="1448"/>
      <c r="I172" s="1437"/>
      <c r="J172" s="1437"/>
      <c r="K172" s="1437"/>
      <c r="L172" s="1449">
        <v>1281.6</v>
      </c>
      <c r="M172" s="1435"/>
      <c r="N172" s="1460"/>
      <c r="O172" s="1430"/>
      <c r="P172" s="1430"/>
    </row>
    <row r="173" spans="1:16" ht="12.75">
      <c r="A173" s="1340">
        <v>-3930.55</v>
      </c>
      <c r="B173" s="1333" t="s">
        <v>1004</v>
      </c>
      <c r="C173" s="1333"/>
      <c r="D173" s="1335"/>
      <c r="E173" s="1448"/>
      <c r="F173" s="1448"/>
      <c r="G173" s="1437"/>
      <c r="H173" s="1448"/>
      <c r="I173" s="1437"/>
      <c r="J173" s="1437"/>
      <c r="K173" s="1437"/>
      <c r="L173" s="1437"/>
      <c r="M173" s="1435"/>
      <c r="N173" s="1460"/>
      <c r="O173" s="1430"/>
      <c r="P173" s="1430"/>
    </row>
    <row r="174" spans="1:16" ht="12.75">
      <c r="A174" s="1340">
        <v>950.140000000003</v>
      </c>
      <c r="B174" s="1416" t="s">
        <v>56</v>
      </c>
      <c r="C174" s="1333"/>
      <c r="D174" s="1335"/>
      <c r="E174" s="1448"/>
      <c r="F174" s="1448"/>
      <c r="G174" s="1437"/>
      <c r="H174" s="1437"/>
      <c r="I174" s="1437"/>
      <c r="J174" s="1437"/>
      <c r="K174" s="1437"/>
      <c r="L174" s="1437"/>
      <c r="M174" s="1435"/>
      <c r="N174" s="1460"/>
      <c r="O174" s="1430"/>
      <c r="P174" s="1430"/>
    </row>
    <row r="175" spans="1:16" ht="12.75">
      <c r="A175" s="1340">
        <v>0.3</v>
      </c>
      <c r="B175" s="1333" t="s">
        <v>530</v>
      </c>
      <c r="C175" s="1333"/>
      <c r="D175" s="1333"/>
      <c r="E175" s="1377"/>
      <c r="F175" s="1448"/>
      <c r="G175" s="1377"/>
      <c r="H175" s="1437"/>
      <c r="I175" s="1437"/>
      <c r="J175" s="1437"/>
      <c r="K175" s="1437"/>
      <c r="L175" s="1437"/>
      <c r="M175" s="1435"/>
      <c r="N175" s="1460"/>
      <c r="O175" s="1430"/>
      <c r="P175" s="1430"/>
    </row>
    <row r="176" spans="1:16" ht="12.75">
      <c r="A176" s="1467">
        <v>-583</v>
      </c>
      <c r="B176" s="1468" t="s">
        <v>1005</v>
      </c>
      <c r="C176" s="1469"/>
      <c r="D176" s="1333"/>
      <c r="E176" s="1377"/>
      <c r="F176" s="1448"/>
      <c r="G176" s="1377"/>
      <c r="H176" s="1437"/>
      <c r="I176" s="1437"/>
      <c r="J176" s="1437"/>
      <c r="K176" s="1437"/>
      <c r="L176" s="1437"/>
      <c r="M176" s="1435"/>
      <c r="N176" s="1460"/>
      <c r="O176" s="1430"/>
      <c r="P176" s="1430"/>
    </row>
    <row r="177" spans="1:16" ht="12.75">
      <c r="A177" s="1467">
        <v>-105.85</v>
      </c>
      <c r="B177" s="1468" t="s">
        <v>993</v>
      </c>
      <c r="C177" s="1469"/>
      <c r="D177" s="1333"/>
      <c r="E177" s="1377"/>
      <c r="F177" s="1448"/>
      <c r="G177" s="1448"/>
      <c r="H177" s="1437"/>
      <c r="I177" s="1437"/>
      <c r="J177" s="1437"/>
      <c r="K177" s="1437"/>
      <c r="L177" s="1437"/>
      <c r="M177" s="1435"/>
      <c r="N177" s="1460"/>
      <c r="O177" s="1430"/>
      <c r="P177" s="1430"/>
    </row>
    <row r="178" spans="1:16" ht="12.75">
      <c r="A178" s="1467">
        <v>-83.8099999999992</v>
      </c>
      <c r="B178" s="1469" t="s">
        <v>288</v>
      </c>
      <c r="C178" s="1469"/>
      <c r="D178" s="1333"/>
      <c r="E178" s="1377"/>
      <c r="F178" s="1448"/>
      <c r="G178" s="1437"/>
      <c r="H178" s="1437"/>
      <c r="I178" s="1437"/>
      <c r="J178" s="1437"/>
      <c r="K178" s="1437"/>
      <c r="L178" s="1437"/>
      <c r="M178" s="1452">
        <v>83.8099999999992</v>
      </c>
      <c r="N178" s="1460"/>
      <c r="O178" s="1430"/>
      <c r="P178" s="1430"/>
    </row>
    <row r="179" spans="1:16" ht="12.75">
      <c r="A179" s="1439">
        <v>-1959.14</v>
      </c>
      <c r="B179" s="1436" t="s">
        <v>4</v>
      </c>
      <c r="C179" s="1436"/>
      <c r="D179" s="1333"/>
      <c r="E179" s="1377"/>
      <c r="F179" s="1448">
        <v>0</v>
      </c>
      <c r="G179" s="1437"/>
      <c r="H179" s="1437"/>
      <c r="I179" s="1437"/>
      <c r="J179" s="1437"/>
      <c r="K179" s="1437"/>
      <c r="L179" s="1437"/>
      <c r="M179" s="1452"/>
      <c r="N179" s="1460"/>
      <c r="O179" s="1430"/>
      <c r="P179" s="1430"/>
    </row>
    <row r="180" spans="1:16" ht="12.75">
      <c r="A180" s="1439">
        <v>-4319.9</v>
      </c>
      <c r="B180" s="1430" t="s">
        <v>41</v>
      </c>
      <c r="C180" s="1436"/>
      <c r="D180" s="1333"/>
      <c r="E180" s="1377"/>
      <c r="F180" s="1448"/>
      <c r="G180" s="1437"/>
      <c r="H180" s="1437"/>
      <c r="I180" s="1437"/>
      <c r="J180" s="1437"/>
      <c r="K180" s="1437"/>
      <c r="L180" s="1437"/>
      <c r="M180" s="1452"/>
      <c r="N180" s="1460"/>
      <c r="O180" s="1430"/>
      <c r="P180" s="1430"/>
    </row>
    <row r="181" spans="1:16" ht="12.75">
      <c r="A181" s="1467">
        <v>1668</v>
      </c>
      <c r="B181" s="1469" t="s">
        <v>289</v>
      </c>
      <c r="C181" s="1469"/>
      <c r="D181" s="1470"/>
      <c r="E181" s="1377"/>
      <c r="F181" s="1448"/>
      <c r="G181" s="1437"/>
      <c r="H181" s="1437"/>
      <c r="I181" s="1437"/>
      <c r="J181" s="1437"/>
      <c r="K181" s="1437"/>
      <c r="L181" s="1437"/>
      <c r="M181" s="1435"/>
      <c r="N181" s="1460"/>
      <c r="O181" s="1430"/>
      <c r="P181" s="1430"/>
    </row>
    <row r="182" spans="1:16" ht="12.75">
      <c r="A182" s="1439">
        <v>-1601.21</v>
      </c>
      <c r="B182" s="1430" t="s">
        <v>42</v>
      </c>
      <c r="C182" s="1436"/>
      <c r="D182" s="1470"/>
      <c r="E182" s="1377"/>
      <c r="F182" s="1448"/>
      <c r="G182" s="1437"/>
      <c r="H182" s="1437"/>
      <c r="I182" s="1437"/>
      <c r="J182" s="1437"/>
      <c r="K182" s="1437"/>
      <c r="L182" s="1437"/>
      <c r="M182" s="1435"/>
      <c r="N182" s="1460"/>
      <c r="O182" s="1430"/>
      <c r="P182" s="1430"/>
    </row>
    <row r="183" spans="1:16" ht="12.75">
      <c r="A183" s="1439">
        <v>-0.73</v>
      </c>
      <c r="B183" s="1430" t="s">
        <v>32</v>
      </c>
      <c r="C183" s="1436"/>
      <c r="D183" s="1470"/>
      <c r="E183" s="1377"/>
      <c r="F183" s="1448"/>
      <c r="G183" s="1437"/>
      <c r="H183" s="1437"/>
      <c r="I183" s="1437"/>
      <c r="J183" s="1437"/>
      <c r="K183" s="1437"/>
      <c r="L183" s="1437"/>
      <c r="M183" s="1435"/>
      <c r="N183" s="1460"/>
      <c r="O183" s="1439">
        <v>0.73</v>
      </c>
      <c r="P183" s="1430"/>
    </row>
    <row r="184" spans="1:16" ht="12.75">
      <c r="A184" s="1327">
        <v>-1285.71</v>
      </c>
      <c r="B184" t="s">
        <v>704</v>
      </c>
      <c r="C184" s="1436"/>
      <c r="D184" s="1470"/>
      <c r="E184" s="1377"/>
      <c r="F184" s="1448"/>
      <c r="G184" s="1437"/>
      <c r="H184" s="1437"/>
      <c r="I184" s="1437"/>
      <c r="J184" s="1437"/>
      <c r="K184" s="1437"/>
      <c r="L184" s="1437"/>
      <c r="M184" s="1435"/>
      <c r="N184" s="1460"/>
      <c r="O184" s="1439"/>
      <c r="P184" s="1462">
        <f>-A184</f>
        <v>1285.71</v>
      </c>
    </row>
    <row r="185" spans="1:16" ht="12.75">
      <c r="A185" s="1327">
        <f>-15500</f>
        <v>-15500</v>
      </c>
      <c r="B185" s="1440" t="s">
        <v>707</v>
      </c>
      <c r="C185" s="1436"/>
      <c r="D185" s="1470"/>
      <c r="E185" s="1377"/>
      <c r="F185" s="1448"/>
      <c r="G185" s="1437"/>
      <c r="H185" s="1437"/>
      <c r="I185" s="1437"/>
      <c r="J185" s="1437"/>
      <c r="K185" s="1437"/>
      <c r="L185" s="1437"/>
      <c r="M185" s="1435"/>
      <c r="N185" s="1460"/>
      <c r="O185" s="1439"/>
      <c r="P185" s="1430"/>
    </row>
    <row r="186" spans="1:16" ht="12.75">
      <c r="A186" s="1327">
        <v>3000</v>
      </c>
      <c r="B186" s="1440" t="s">
        <v>707</v>
      </c>
      <c r="C186" s="1436"/>
      <c r="D186" s="1470"/>
      <c r="E186" s="1377"/>
      <c r="F186" s="1448"/>
      <c r="G186" s="1437"/>
      <c r="H186" s="1437"/>
      <c r="I186" s="1437"/>
      <c r="J186" s="1437"/>
      <c r="K186" s="1437"/>
      <c r="L186" s="1437"/>
      <c r="M186" s="1435"/>
      <c r="N186" s="1460"/>
      <c r="O186" s="1439"/>
      <c r="P186" s="1430"/>
    </row>
    <row r="187" spans="1:16" ht="12.75">
      <c r="A187" s="1438">
        <v>-0.55</v>
      </c>
      <c r="B187" t="s">
        <v>707</v>
      </c>
      <c r="C187" s="1436"/>
      <c r="D187" s="1470"/>
      <c r="E187" s="1377"/>
      <c r="F187" s="1448"/>
      <c r="G187" s="1437"/>
      <c r="H187" s="1437"/>
      <c r="I187" s="1437"/>
      <c r="J187" s="1437"/>
      <c r="K187" s="1437"/>
      <c r="L187" s="1437"/>
      <c r="M187" s="1435"/>
      <c r="N187" s="1460"/>
      <c r="O187" s="1439"/>
      <c r="P187" s="1430"/>
    </row>
    <row r="188" spans="1:16" ht="12.75">
      <c r="A188" s="1441">
        <v>-22812.4</v>
      </c>
      <c r="B188" t="s">
        <v>708</v>
      </c>
      <c r="C188" s="1436"/>
      <c r="D188" s="1470"/>
      <c r="E188" s="1377"/>
      <c r="F188" s="1448"/>
      <c r="G188" s="1442">
        <f>-A188</f>
        <v>22812.4</v>
      </c>
      <c r="H188" s="1437"/>
      <c r="I188" s="1437"/>
      <c r="J188" s="1437"/>
      <c r="K188" s="1437"/>
      <c r="L188" s="1437"/>
      <c r="M188" s="1435"/>
      <c r="N188" s="1460"/>
      <c r="O188" s="1439"/>
      <c r="P188" s="1430"/>
    </row>
    <row r="189" spans="1:16" ht="12.75">
      <c r="A189" s="1441">
        <v>-8460.7</v>
      </c>
      <c r="B189" t="s">
        <v>709</v>
      </c>
      <c r="C189" s="1436"/>
      <c r="D189" s="1470"/>
      <c r="E189" s="1377"/>
      <c r="F189" s="1448">
        <f>-A189</f>
        <v>8460.7</v>
      </c>
      <c r="G189" s="1437"/>
      <c r="H189" s="1437"/>
      <c r="I189" s="1437"/>
      <c r="J189" s="1437"/>
      <c r="K189" s="1437"/>
      <c r="L189" s="1437"/>
      <c r="M189" s="1435"/>
      <c r="N189" s="1460"/>
      <c r="O189" s="1439"/>
      <c r="P189" s="1430"/>
    </row>
    <row r="190" spans="1:17" ht="12.75">
      <c r="A190" s="1441">
        <v>0.11</v>
      </c>
      <c r="B190" t="s">
        <v>710</v>
      </c>
      <c r="C190" s="1436"/>
      <c r="D190" s="1470"/>
      <c r="E190" s="1377"/>
      <c r="F190" s="1448"/>
      <c r="G190" s="1437"/>
      <c r="H190" s="1437"/>
      <c r="I190" s="1437"/>
      <c r="J190" s="1437"/>
      <c r="K190" s="1437"/>
      <c r="L190" s="1437"/>
      <c r="M190" s="1435"/>
      <c r="N190" s="1460"/>
      <c r="O190" s="1439"/>
      <c r="P190" s="1430"/>
      <c r="Q190" s="1397">
        <f>+A190</f>
        <v>0.11</v>
      </c>
    </row>
    <row r="191" spans="1:16" ht="12.75">
      <c r="A191" s="1441">
        <f>-20000</f>
        <v>-20000</v>
      </c>
      <c r="B191" s="1443" t="s">
        <v>711</v>
      </c>
      <c r="C191" s="1436"/>
      <c r="D191" s="1470"/>
      <c r="E191" s="1377"/>
      <c r="F191" s="1448"/>
      <c r="G191" s="1437"/>
      <c r="H191" s="1437"/>
      <c r="I191" s="1437"/>
      <c r="J191" s="1437"/>
      <c r="K191" s="1437"/>
      <c r="L191" s="1437"/>
      <c r="M191" s="1435"/>
      <c r="N191" s="1460"/>
      <c r="O191" s="1439"/>
      <c r="P191" s="1430"/>
    </row>
    <row r="192" spans="1:16" ht="12.75">
      <c r="A192" s="1441">
        <v>1050</v>
      </c>
      <c r="B192" s="1443" t="s">
        <v>711</v>
      </c>
      <c r="C192" s="1436"/>
      <c r="D192" s="1470"/>
      <c r="E192" s="1377"/>
      <c r="F192" s="1448"/>
      <c r="G192" s="1437"/>
      <c r="H192" s="1437"/>
      <c r="I192" s="1437"/>
      <c r="J192" s="1437"/>
      <c r="K192" s="1437"/>
      <c r="L192" s="1437"/>
      <c r="M192" s="1435"/>
      <c r="N192" s="1460"/>
      <c r="O192" s="1439"/>
      <c r="P192" s="1430"/>
    </row>
    <row r="193" spans="1:16" ht="12.75">
      <c r="A193" s="1340">
        <f>+SUM(A170:A192)</f>
        <v>-75564.81</v>
      </c>
      <c r="B193" s="1240" t="s">
        <v>260</v>
      </c>
      <c r="C193" s="1333"/>
      <c r="D193" s="1351"/>
      <c r="E193" s="1377"/>
      <c r="F193" s="1380"/>
      <c r="G193" s="1418"/>
      <c r="H193" s="1376"/>
      <c r="I193" s="1437"/>
      <c r="J193" s="1377"/>
      <c r="K193" s="1437"/>
      <c r="L193" s="1437"/>
      <c r="M193" s="1435"/>
      <c r="N193" s="1460"/>
      <c r="O193" s="1430"/>
      <c r="P193" s="1430"/>
    </row>
    <row r="194" spans="1:16" ht="12.75">
      <c r="A194" s="1340"/>
      <c r="B194" s="1240"/>
      <c r="C194" s="1333"/>
      <c r="D194" s="1351"/>
      <c r="E194" s="1377"/>
      <c r="F194" s="1380"/>
      <c r="G194" s="1418"/>
      <c r="H194" s="1376"/>
      <c r="I194" s="1437"/>
      <c r="J194" s="1377"/>
      <c r="K194" s="1437"/>
      <c r="L194" s="1437"/>
      <c r="M194" s="1435"/>
      <c r="N194" s="1460"/>
      <c r="O194" s="1430"/>
      <c r="P194" s="1430"/>
    </row>
    <row r="195" spans="1:16" ht="12.75">
      <c r="A195" s="1419" t="s">
        <v>565</v>
      </c>
      <c r="B195" s="1469"/>
      <c r="C195" s="1469"/>
      <c r="D195" s="1471"/>
      <c r="E195" s="1377"/>
      <c r="F195" s="1377"/>
      <c r="G195" s="1448"/>
      <c r="H195" s="1437"/>
      <c r="I195" s="1437"/>
      <c r="J195" s="1377"/>
      <c r="K195" s="1437"/>
      <c r="L195" s="1437"/>
      <c r="M195" s="1435"/>
      <c r="N195" s="1460"/>
      <c r="O195" s="1430"/>
      <c r="P195" s="1430"/>
    </row>
    <row r="196" spans="1:16" ht="12.75">
      <c r="A196" s="1469"/>
      <c r="B196" s="1469"/>
      <c r="C196" s="1469"/>
      <c r="D196" s="1469"/>
      <c r="E196" s="1377"/>
      <c r="F196" s="1380"/>
      <c r="G196" s="1448"/>
      <c r="H196" s="1437"/>
      <c r="I196" s="1437"/>
      <c r="J196" s="1377"/>
      <c r="K196" s="1437"/>
      <c r="L196" s="1437"/>
      <c r="M196" s="1435"/>
      <c r="N196" s="1460"/>
      <c r="O196" s="1430"/>
      <c r="P196" s="1430"/>
    </row>
    <row r="197" spans="1:16" ht="12.75">
      <c r="A197" s="1472">
        <v>1.14</v>
      </c>
      <c r="B197" s="1469" t="s">
        <v>530</v>
      </c>
      <c r="C197" s="1469"/>
      <c r="D197" s="1470"/>
      <c r="E197" s="1377"/>
      <c r="F197" s="1377"/>
      <c r="G197" s="1448"/>
      <c r="H197" s="1437"/>
      <c r="I197" s="1437"/>
      <c r="J197" s="1377"/>
      <c r="K197" s="1437"/>
      <c r="L197" s="1437"/>
      <c r="M197" s="1435"/>
      <c r="N197" s="1460"/>
      <c r="O197" s="1430"/>
      <c r="P197" s="1430"/>
    </row>
    <row r="198" spans="1:16" ht="12.75">
      <c r="A198" s="1472">
        <v>1.68</v>
      </c>
      <c r="B198" s="1470" t="s">
        <v>289</v>
      </c>
      <c r="C198" s="1469"/>
      <c r="D198" s="1470"/>
      <c r="E198" s="1377"/>
      <c r="F198" s="1377"/>
      <c r="G198" s="1448"/>
      <c r="H198" s="1437"/>
      <c r="I198" s="1437"/>
      <c r="J198" s="1377"/>
      <c r="K198" s="1437"/>
      <c r="L198" s="1437"/>
      <c r="M198" s="1435"/>
      <c r="N198" s="1460"/>
      <c r="O198" s="1430"/>
      <c r="P198" s="1430"/>
    </row>
    <row r="199" spans="1:16" ht="12.75">
      <c r="A199" s="1472">
        <v>40</v>
      </c>
      <c r="B199" s="1473" t="s">
        <v>320</v>
      </c>
      <c r="C199" s="1469"/>
      <c r="D199" s="1470"/>
      <c r="E199" s="1377"/>
      <c r="F199" s="1377"/>
      <c r="G199" s="1448"/>
      <c r="H199" s="1437"/>
      <c r="I199" s="1437"/>
      <c r="J199" s="1377"/>
      <c r="K199" s="1437"/>
      <c r="L199" s="1437"/>
      <c r="M199" s="1435"/>
      <c r="N199" s="1460"/>
      <c r="O199" s="1430"/>
      <c r="P199" s="1430"/>
    </row>
    <row r="200" spans="1:16" ht="12.75">
      <c r="A200" s="1472">
        <v>-0.02</v>
      </c>
      <c r="B200" s="1469" t="s">
        <v>290</v>
      </c>
      <c r="C200" s="1469"/>
      <c r="D200" s="1470"/>
      <c r="E200" s="1377"/>
      <c r="F200" s="1377"/>
      <c r="G200" s="1448"/>
      <c r="H200" s="1448">
        <v>0.02</v>
      </c>
      <c r="I200" s="1437"/>
      <c r="J200" s="1377"/>
      <c r="K200" s="1437"/>
      <c r="L200" s="1437"/>
      <c r="M200" s="1435"/>
      <c r="N200" s="1460"/>
      <c r="O200" s="1430"/>
      <c r="P200" s="1430"/>
    </row>
    <row r="201" spans="1:16" ht="12.75">
      <c r="A201" s="1474">
        <v>-8.1</v>
      </c>
      <c r="B201" s="1332" t="s">
        <v>19</v>
      </c>
      <c r="C201" s="1469"/>
      <c r="D201" s="1470"/>
      <c r="E201" s="1377"/>
      <c r="F201" s="1377"/>
      <c r="G201" s="1448"/>
      <c r="H201" s="1437"/>
      <c r="I201" s="1437"/>
      <c r="J201" s="1377"/>
      <c r="K201" s="1437"/>
      <c r="L201" s="1437"/>
      <c r="M201" s="1435"/>
      <c r="N201" s="1475">
        <v>8.1</v>
      </c>
      <c r="O201" s="1430"/>
      <c r="P201" s="1430"/>
    </row>
    <row r="202" spans="1:16" ht="12.75">
      <c r="A202" s="1474">
        <v>-0.75</v>
      </c>
      <c r="B202" t="s">
        <v>530</v>
      </c>
      <c r="C202" s="1469"/>
      <c r="D202" s="1470"/>
      <c r="E202" s="1377"/>
      <c r="F202" s="1377"/>
      <c r="G202" s="1448"/>
      <c r="H202" s="1437"/>
      <c r="I202" s="1476"/>
      <c r="J202" s="1377"/>
      <c r="K202" s="1437"/>
      <c r="L202" s="1437"/>
      <c r="M202" s="1435"/>
      <c r="N202" s="1460"/>
      <c r="O202" s="1430"/>
      <c r="P202" s="1430"/>
    </row>
    <row r="203" spans="1:16" ht="12.75">
      <c r="A203" s="1474">
        <v>2198.34</v>
      </c>
      <c r="B203" s="2044" t="s">
        <v>12</v>
      </c>
      <c r="C203" s="2044"/>
      <c r="D203" s="1470"/>
      <c r="E203" s="1417"/>
      <c r="F203" s="1377"/>
      <c r="G203" s="1448"/>
      <c r="H203" s="1437"/>
      <c r="I203" s="1437"/>
      <c r="J203" s="1377"/>
      <c r="K203" s="1437"/>
      <c r="L203" s="1437"/>
      <c r="M203" s="1435"/>
      <c r="N203" s="1460"/>
      <c r="O203" s="1430"/>
      <c r="P203" s="1430"/>
    </row>
    <row r="204" spans="1:16" ht="12.75">
      <c r="A204" s="1474">
        <v>-28559.82</v>
      </c>
      <c r="B204" t="s">
        <v>713</v>
      </c>
      <c r="C204" s="1428"/>
      <c r="D204" s="1470"/>
      <c r="E204" s="1417"/>
      <c r="F204" s="1377"/>
      <c r="G204" s="1448"/>
      <c r="H204" s="1437"/>
      <c r="I204" s="1437"/>
      <c r="J204" s="1377"/>
      <c r="K204" s="1437"/>
      <c r="L204" s="1437"/>
      <c r="M204" s="1435"/>
      <c r="N204" s="1460"/>
      <c r="O204" s="1430"/>
      <c r="P204" s="1464">
        <f>-A204</f>
        <v>28559.82</v>
      </c>
    </row>
    <row r="205" spans="1:16" ht="12.75">
      <c r="A205" s="1472">
        <f>+SUM(A197:A204)</f>
        <v>-26327.53</v>
      </c>
      <c r="B205" s="1240" t="s">
        <v>260</v>
      </c>
      <c r="C205" s="1469"/>
      <c r="D205" s="1470"/>
      <c r="E205" s="1377"/>
      <c r="F205" s="1377"/>
      <c r="G205" s="1448"/>
      <c r="H205" s="1437"/>
      <c r="I205" s="1437"/>
      <c r="J205" s="1377"/>
      <c r="K205" s="1437"/>
      <c r="L205" s="1437"/>
      <c r="M205" s="1435"/>
      <c r="N205" s="1460"/>
      <c r="O205" s="1430"/>
      <c r="P205" s="1430"/>
    </row>
    <row r="206" spans="1:16" ht="12.75">
      <c r="A206" s="1470"/>
      <c r="B206" s="1469"/>
      <c r="C206" s="1469"/>
      <c r="D206" s="1470"/>
      <c r="E206" s="1377"/>
      <c r="F206" s="1377"/>
      <c r="G206" s="1448"/>
      <c r="H206" s="1437"/>
      <c r="I206" s="1437"/>
      <c r="J206" s="1377"/>
      <c r="K206" s="1437"/>
      <c r="L206" s="1437"/>
      <c r="M206" s="1435"/>
      <c r="N206" s="1460"/>
      <c r="O206" s="1430"/>
      <c r="P206" s="1430"/>
    </row>
    <row r="207" spans="1:16" ht="12.75">
      <c r="A207" s="1467"/>
      <c r="B207" s="1469"/>
      <c r="C207" s="1469"/>
      <c r="D207" s="1470"/>
      <c r="E207" s="1377"/>
      <c r="F207" s="1377"/>
      <c r="G207" s="1448"/>
      <c r="H207" s="1437"/>
      <c r="I207" s="1437"/>
      <c r="J207" s="1377"/>
      <c r="K207" s="1437"/>
      <c r="L207" s="1437"/>
      <c r="M207" s="1435"/>
      <c r="N207" s="1460"/>
      <c r="O207" s="1430"/>
      <c r="P207" s="1430"/>
    </row>
    <row r="208" spans="1:16" ht="12.75">
      <c r="A208" s="1318" t="s">
        <v>567</v>
      </c>
      <c r="B208" s="1469"/>
      <c r="C208" s="1469"/>
      <c r="D208" s="1470"/>
      <c r="E208" s="1377"/>
      <c r="F208" s="1377"/>
      <c r="G208" s="1448"/>
      <c r="H208" s="1437"/>
      <c r="I208" s="1437"/>
      <c r="J208" s="1377"/>
      <c r="K208" s="1437"/>
      <c r="L208" s="1437"/>
      <c r="M208" s="1435"/>
      <c r="N208" s="1460"/>
      <c r="O208" s="1430"/>
      <c r="P208" s="1430"/>
    </row>
    <row r="209" spans="1:16" ht="12.75">
      <c r="A209" s="1420"/>
      <c r="B209" s="1469"/>
      <c r="C209" s="1469"/>
      <c r="D209" s="1470"/>
      <c r="E209" s="1377"/>
      <c r="F209" s="1377"/>
      <c r="G209" s="1448"/>
      <c r="H209" s="1437"/>
      <c r="I209" s="1437"/>
      <c r="J209" s="1377"/>
      <c r="K209" s="1437"/>
      <c r="L209" s="1437"/>
      <c r="M209" s="1435"/>
      <c r="N209" s="1460"/>
      <c r="O209" s="1430"/>
      <c r="P209" s="1430"/>
    </row>
    <row r="210" spans="1:16" ht="12.75">
      <c r="A210" s="1397">
        <v>5096.21</v>
      </c>
      <c r="B210" s="1326" t="s">
        <v>6</v>
      </c>
      <c r="C210" s="1446"/>
      <c r="D210" s="1470"/>
      <c r="E210" s="1377"/>
      <c r="F210" s="1377"/>
      <c r="G210" s="1448"/>
      <c r="H210" s="1437"/>
      <c r="I210" s="1437"/>
      <c r="J210" s="1377"/>
      <c r="K210" s="1437"/>
      <c r="L210" s="1437"/>
      <c r="M210" s="1435"/>
      <c r="N210" s="1460"/>
      <c r="O210" s="1430"/>
      <c r="P210" s="1430"/>
    </row>
    <row r="211" spans="1:16" ht="12.75">
      <c r="A211" s="1397">
        <v>3072.95</v>
      </c>
      <c r="B211" s="1326" t="s">
        <v>43</v>
      </c>
      <c r="C211" s="1446"/>
      <c r="D211" s="1470"/>
      <c r="E211" s="1377"/>
      <c r="F211" s="1377"/>
      <c r="G211" s="1442"/>
      <c r="H211" s="1437"/>
      <c r="I211" s="1437"/>
      <c r="J211" s="1377"/>
      <c r="K211" s="1437"/>
      <c r="L211" s="1437"/>
      <c r="M211" s="1435"/>
      <c r="N211" s="1460"/>
      <c r="O211" s="1430"/>
      <c r="P211" s="1430"/>
    </row>
    <row r="212" spans="1:16" ht="12.75">
      <c r="A212" s="1354">
        <v>5747.85</v>
      </c>
      <c r="B212" s="1323" t="s">
        <v>291</v>
      </c>
      <c r="C212" s="1333"/>
      <c r="D212" s="1333"/>
      <c r="E212" s="1377"/>
      <c r="F212" s="1377"/>
      <c r="G212" s="1377"/>
      <c r="H212" s="1377"/>
      <c r="I212" s="1377"/>
      <c r="J212" s="1377"/>
      <c r="K212" s="1437"/>
      <c r="L212" s="1437"/>
      <c r="M212" s="1435"/>
      <c r="N212" s="1460"/>
      <c r="O212" s="1430"/>
      <c r="P212" s="1430"/>
    </row>
    <row r="213" spans="1:16" ht="12.75">
      <c r="A213" s="1354">
        <v>-8535.91</v>
      </c>
      <c r="B213" s="1323" t="s">
        <v>704</v>
      </c>
      <c r="C213" s="1333"/>
      <c r="D213" s="1333"/>
      <c r="E213" s="1377"/>
      <c r="F213" s="1377"/>
      <c r="G213" s="1377"/>
      <c r="H213" s="1377"/>
      <c r="I213" s="1377"/>
      <c r="J213" s="1377"/>
      <c r="K213" s="1437"/>
      <c r="L213" s="1437"/>
      <c r="M213" s="1435"/>
      <c r="N213" s="1460"/>
      <c r="O213" s="1430"/>
      <c r="P213" s="1464">
        <f>-A213</f>
        <v>8535.91</v>
      </c>
    </row>
    <row r="214" spans="1:16" ht="12.75">
      <c r="A214" s="1354">
        <v>3072.91</v>
      </c>
      <c r="B214" s="1323" t="s">
        <v>737</v>
      </c>
      <c r="C214" s="1333"/>
      <c r="D214" s="1333"/>
      <c r="E214" s="1377"/>
      <c r="F214" s="1377"/>
      <c r="G214" s="1377"/>
      <c r="H214" s="1377"/>
      <c r="I214" s="1377"/>
      <c r="J214" s="1377"/>
      <c r="K214" s="1437"/>
      <c r="L214" s="1437"/>
      <c r="M214" s="1435"/>
      <c r="N214" s="1460"/>
      <c r="O214" s="1430"/>
      <c r="P214" s="1430"/>
    </row>
    <row r="215" spans="1:16" ht="12.75">
      <c r="A215" s="1354">
        <v>-0.21</v>
      </c>
      <c r="B215" s="1323" t="s">
        <v>530</v>
      </c>
      <c r="C215" s="1333"/>
      <c r="D215" s="1333"/>
      <c r="E215" s="1377"/>
      <c r="F215" s="1377"/>
      <c r="G215" s="1377"/>
      <c r="H215" s="1377"/>
      <c r="I215" s="1377"/>
      <c r="J215" s="1377"/>
      <c r="K215" s="1437"/>
      <c r="L215" s="1437"/>
      <c r="M215" s="1435"/>
      <c r="N215" s="1460"/>
      <c r="O215" s="1430"/>
      <c r="P215" s="1430"/>
    </row>
    <row r="216" spans="1:16" ht="12.75">
      <c r="A216" s="1477">
        <f>+SUM(A210:A215)</f>
        <v>8453.800000000001</v>
      </c>
      <c r="B216" s="1240" t="s">
        <v>260</v>
      </c>
      <c r="C216" s="1333"/>
      <c r="D216" s="1333"/>
      <c r="E216" s="1377"/>
      <c r="F216" s="1377"/>
      <c r="G216" s="1377"/>
      <c r="H216" s="1377"/>
      <c r="I216" s="1377"/>
      <c r="J216" s="1377"/>
      <c r="K216" s="1437"/>
      <c r="L216" s="1437"/>
      <c r="M216" s="1435"/>
      <c r="N216" s="1460"/>
      <c r="O216" s="1430"/>
      <c r="P216" s="1430"/>
    </row>
    <row r="217" spans="1:16" ht="13.5" thickBot="1">
      <c r="A217" s="1478"/>
      <c r="B217" s="1469"/>
      <c r="C217" s="1333"/>
      <c r="D217" s="1333"/>
      <c r="E217" s="1377"/>
      <c r="F217" s="1380"/>
      <c r="G217" s="1377"/>
      <c r="H217" s="1377"/>
      <c r="I217" s="1377"/>
      <c r="J217" s="1377"/>
      <c r="K217" s="1437"/>
      <c r="L217" s="1437"/>
      <c r="M217" s="1435"/>
      <c r="N217" s="1460"/>
      <c r="O217" s="1430"/>
      <c r="P217" s="1430"/>
    </row>
    <row r="218" spans="1:16" ht="13.5" thickBot="1">
      <c r="A218" s="2048" t="s">
        <v>259</v>
      </c>
      <c r="B218" s="2046"/>
      <c r="C218" s="2047"/>
      <c r="D218" s="1333"/>
      <c r="E218" s="1377"/>
      <c r="F218" s="1377"/>
      <c r="G218" s="1377"/>
      <c r="H218" s="1377"/>
      <c r="I218" s="1377"/>
      <c r="J218" s="1377"/>
      <c r="K218" s="1437"/>
      <c r="L218" s="1437"/>
      <c r="M218" s="1435"/>
      <c r="N218" s="1460"/>
      <c r="O218" s="1430"/>
      <c r="P218" s="1430"/>
    </row>
    <row r="219" spans="1:16" ht="12.75">
      <c r="A219" s="1335"/>
      <c r="B219" s="1333"/>
      <c r="C219" s="1333"/>
      <c r="D219" s="1333"/>
      <c r="E219" s="1377"/>
      <c r="F219" s="1377"/>
      <c r="G219" s="1377"/>
      <c r="H219" s="1377"/>
      <c r="I219" s="1377"/>
      <c r="J219" s="1377"/>
      <c r="K219" s="1437"/>
      <c r="L219" s="1437"/>
      <c r="M219" s="1435"/>
      <c r="N219" s="1460"/>
      <c r="O219" s="1430"/>
      <c r="P219" s="1430"/>
    </row>
    <row r="220" spans="1:16" ht="15">
      <c r="A220" s="1422">
        <v>-1520.19</v>
      </c>
      <c r="B220" s="1333" t="s">
        <v>292</v>
      </c>
      <c r="C220" s="1333"/>
      <c r="D220" s="1320"/>
      <c r="E220" s="1394"/>
      <c r="F220" s="1413"/>
      <c r="G220" s="1413"/>
      <c r="H220" s="1421"/>
      <c r="I220" s="1413"/>
      <c r="J220" s="1413"/>
      <c r="K220" s="1437"/>
      <c r="L220" s="1437"/>
      <c r="M220" s="1435"/>
      <c r="N220" s="1460"/>
      <c r="O220" s="1430"/>
      <c r="P220" s="1430"/>
    </row>
    <row r="221" spans="1:16" ht="12.75">
      <c r="A221" s="1422">
        <v>1683</v>
      </c>
      <c r="B221" s="1333" t="s">
        <v>1006</v>
      </c>
      <c r="C221" s="1333"/>
      <c r="D221" s="1335"/>
      <c r="E221" s="1394"/>
      <c r="F221" s="1413"/>
      <c r="G221" s="1413"/>
      <c r="H221" s="1421"/>
      <c r="I221" s="1413"/>
      <c r="J221" s="1413"/>
      <c r="K221" s="1437"/>
      <c r="L221" s="1442">
        <v>0</v>
      </c>
      <c r="M221" s="1435"/>
      <c r="N221" s="1460"/>
      <c r="O221" s="1430"/>
      <c r="P221" s="1430"/>
    </row>
    <row r="222" spans="1:16" ht="12.75">
      <c r="A222" s="1422">
        <v>-126.3</v>
      </c>
      <c r="B222" s="2057" t="s">
        <v>286</v>
      </c>
      <c r="C222" s="2057"/>
      <c r="D222" s="2057"/>
      <c r="E222" s="1413"/>
      <c r="F222" s="1413"/>
      <c r="G222" s="1413"/>
      <c r="H222" s="1421"/>
      <c r="I222" s="1413"/>
      <c r="J222" s="1413"/>
      <c r="K222" s="1437"/>
      <c r="L222" s="1442">
        <f>-A222</f>
        <v>126.3</v>
      </c>
      <c r="M222" s="1479"/>
      <c r="N222" s="1460"/>
      <c r="O222" s="1430"/>
      <c r="P222" s="1430"/>
    </row>
    <row r="223" spans="1:16" ht="12.75">
      <c r="A223" s="1354">
        <v>5535</v>
      </c>
      <c r="B223" s="1323" t="s">
        <v>738</v>
      </c>
      <c r="C223" s="1312"/>
      <c r="D223" s="1312"/>
      <c r="E223" s="1413"/>
      <c r="F223" s="1413"/>
      <c r="G223" s="1414">
        <f>+A223</f>
        <v>5535</v>
      </c>
      <c r="H223" s="1421"/>
      <c r="I223" s="1413"/>
      <c r="J223" s="1413"/>
      <c r="K223" s="1437"/>
      <c r="L223" s="1437"/>
      <c r="M223" s="1435"/>
      <c r="N223" s="1460"/>
      <c r="O223" s="1430"/>
      <c r="P223" s="1430"/>
    </row>
    <row r="224" spans="1:17" ht="12.75">
      <c r="A224" s="1354">
        <v>-64.9800000000047</v>
      </c>
      <c r="B224" s="1323" t="s">
        <v>288</v>
      </c>
      <c r="C224" s="1312"/>
      <c r="D224" s="1312"/>
      <c r="E224" s="1413"/>
      <c r="F224" s="1413"/>
      <c r="G224" s="1413"/>
      <c r="H224" s="1421"/>
      <c r="I224" s="1413"/>
      <c r="J224" s="1413"/>
      <c r="K224" s="1437"/>
      <c r="L224" s="1437"/>
      <c r="M224" s="1479">
        <f>-A224</f>
        <v>64.9800000000047</v>
      </c>
      <c r="N224" s="1460"/>
      <c r="O224" s="1430"/>
      <c r="P224" s="1430"/>
      <c r="Q224" s="1397"/>
    </row>
    <row r="225" spans="1:16" ht="12.75">
      <c r="A225" s="1422">
        <f>7.75-0.2</f>
        <v>7.55</v>
      </c>
      <c r="B225" s="1333" t="s">
        <v>294</v>
      </c>
      <c r="C225" s="1333"/>
      <c r="D225" s="1344"/>
      <c r="E225" s="1413"/>
      <c r="F225" s="1413"/>
      <c r="G225" s="1413"/>
      <c r="H225" s="1421"/>
      <c r="I225" s="1413"/>
      <c r="J225" s="1413"/>
      <c r="K225" s="1437"/>
      <c r="L225" s="1437"/>
      <c r="M225" s="1435"/>
      <c r="N225" s="1460"/>
      <c r="O225" s="1430"/>
      <c r="P225" s="1430"/>
    </row>
    <row r="226" spans="1:16" ht="12.75">
      <c r="A226" s="1327">
        <v>-1156</v>
      </c>
      <c r="B226" s="1327" t="s">
        <v>704</v>
      </c>
      <c r="C226" s="1333"/>
      <c r="D226" s="1344"/>
      <c r="E226" s="1413"/>
      <c r="F226" s="1413"/>
      <c r="G226" s="1413"/>
      <c r="H226" s="1421"/>
      <c r="I226" s="1413"/>
      <c r="J226" s="1413"/>
      <c r="K226" s="1437"/>
      <c r="L226" s="1437"/>
      <c r="M226" s="1435"/>
      <c r="N226" s="1460"/>
      <c r="O226" s="1430"/>
      <c r="P226" s="1462">
        <f>-A226</f>
        <v>1156</v>
      </c>
    </row>
    <row r="227" spans="1:16" ht="12.75">
      <c r="A227" s="1327">
        <v>-3592</v>
      </c>
      <c r="B227" s="1327" t="s">
        <v>715</v>
      </c>
      <c r="C227" s="1333"/>
      <c r="D227" s="1344"/>
      <c r="E227" s="1413"/>
      <c r="F227" s="1413"/>
      <c r="G227" s="1421"/>
      <c r="H227" s="1421"/>
      <c r="I227" s="1413"/>
      <c r="J227" s="1413"/>
      <c r="K227" s="1437"/>
      <c r="L227" s="1437"/>
      <c r="M227" s="1435"/>
      <c r="N227" s="1460"/>
      <c r="O227" s="1430"/>
      <c r="P227" s="1430"/>
    </row>
    <row r="228" spans="1:17" ht="12.75">
      <c r="A228" s="1327">
        <v>-0.07</v>
      </c>
      <c r="B228" s="1327" t="s">
        <v>710</v>
      </c>
      <c r="C228" s="1333"/>
      <c r="D228" s="1344"/>
      <c r="E228" s="1413"/>
      <c r="F228" s="1413"/>
      <c r="G228" s="1413"/>
      <c r="H228" s="1421"/>
      <c r="I228" s="1413"/>
      <c r="J228" s="1413"/>
      <c r="K228" s="1437"/>
      <c r="L228" s="1437"/>
      <c r="M228" s="1435"/>
      <c r="N228" s="1460"/>
      <c r="O228" s="1430"/>
      <c r="P228" s="1430"/>
      <c r="Q228" s="1438">
        <f>-A228</f>
        <v>0.07</v>
      </c>
    </row>
    <row r="229" spans="1:16" ht="12.75">
      <c r="A229" s="1335">
        <f>+SUM(A220:A228)</f>
        <v>766.0099999999953</v>
      </c>
      <c r="B229" s="1240" t="s">
        <v>260</v>
      </c>
      <c r="C229" s="1333"/>
      <c r="D229" s="1333"/>
      <c r="E229" s="1377"/>
      <c r="F229" s="1413"/>
      <c r="G229" s="1413"/>
      <c r="H229" s="1421"/>
      <c r="I229" s="1413"/>
      <c r="J229" s="1413"/>
      <c r="K229" s="1437"/>
      <c r="L229" s="1437"/>
      <c r="M229" s="1435"/>
      <c r="N229" s="1460"/>
      <c r="O229" s="1430"/>
      <c r="P229" s="1430"/>
    </row>
    <row r="230" spans="1:16" ht="13.5" thickBot="1">
      <c r="A230" s="1335"/>
      <c r="B230" s="1240"/>
      <c r="C230" s="1333"/>
      <c r="D230" s="1333"/>
      <c r="E230" s="1377"/>
      <c r="F230" s="1413"/>
      <c r="G230" s="1413"/>
      <c r="H230" s="1421"/>
      <c r="I230" s="1413"/>
      <c r="J230" s="1413"/>
      <c r="K230" s="1437"/>
      <c r="L230" s="1437"/>
      <c r="M230" s="1435"/>
      <c r="N230" s="1460"/>
      <c r="O230" s="1430"/>
      <c r="P230" s="1430"/>
    </row>
    <row r="231" spans="1:16" ht="13.5" thickBot="1">
      <c r="A231" s="2043" t="s">
        <v>261</v>
      </c>
      <c r="B231" s="2037"/>
      <c r="C231" s="2038"/>
      <c r="D231" s="1333"/>
      <c r="E231" s="1377"/>
      <c r="F231" s="1377"/>
      <c r="G231" s="1448"/>
      <c r="H231" s="1437"/>
      <c r="I231" s="1437"/>
      <c r="J231" s="1437"/>
      <c r="K231" s="1437"/>
      <c r="L231" s="1437"/>
      <c r="M231" s="1435"/>
      <c r="N231" s="1460"/>
      <c r="O231" s="1430"/>
      <c r="P231" s="1430"/>
    </row>
    <row r="232" spans="1:16" ht="12.75">
      <c r="A232" s="1352"/>
      <c r="B232" s="1333"/>
      <c r="C232" s="1333"/>
      <c r="D232" s="1333"/>
      <c r="E232" s="1403"/>
      <c r="F232" s="1437"/>
      <c r="G232" s="1437"/>
      <c r="H232" s="1437"/>
      <c r="I232" s="1437"/>
      <c r="J232" s="1437"/>
      <c r="K232" s="1437"/>
      <c r="L232" s="1437"/>
      <c r="M232" s="1435"/>
      <c r="N232" s="1460"/>
      <c r="O232" s="1430"/>
      <c r="P232" s="1430"/>
    </row>
    <row r="233" spans="1:16" ht="12.75">
      <c r="A233" s="1450">
        <v>-0.2</v>
      </c>
      <c r="B233" s="1430" t="s">
        <v>264</v>
      </c>
      <c r="C233" s="1439"/>
      <c r="D233" s="1333"/>
      <c r="E233" s="1403"/>
      <c r="F233" s="1437"/>
      <c r="G233" s="1437"/>
      <c r="H233" s="1437"/>
      <c r="I233" s="1437"/>
      <c r="J233" s="1437"/>
      <c r="K233" s="1437"/>
      <c r="L233" s="1437"/>
      <c r="M233" s="1435"/>
      <c r="N233" s="1460"/>
      <c r="O233" s="1430"/>
      <c r="P233" s="1430"/>
    </row>
    <row r="234" spans="1:16" ht="12.75">
      <c r="A234" s="1352">
        <v>19943.87</v>
      </c>
      <c r="B234" s="1416" t="s">
        <v>295</v>
      </c>
      <c r="C234" s="1333"/>
      <c r="D234" s="1333"/>
      <c r="E234" s="1403"/>
      <c r="F234" s="1437"/>
      <c r="G234" s="1437"/>
      <c r="H234" s="1437"/>
      <c r="I234" s="1437"/>
      <c r="J234" s="1437"/>
      <c r="K234" s="1437"/>
      <c r="L234" s="1437"/>
      <c r="M234" s="1435"/>
      <c r="N234" s="1460"/>
      <c r="O234" s="1430"/>
      <c r="P234" s="1430"/>
    </row>
    <row r="235" spans="1:16" ht="12.75">
      <c r="A235" s="1352">
        <v>16911</v>
      </c>
      <c r="B235" s="1416" t="s">
        <v>296</v>
      </c>
      <c r="C235" s="1333"/>
      <c r="D235" s="1333"/>
      <c r="E235" s="1403"/>
      <c r="F235" s="1437"/>
      <c r="G235" s="1437"/>
      <c r="H235" s="1437"/>
      <c r="I235" s="1437"/>
      <c r="J235" s="1437"/>
      <c r="K235" s="1437"/>
      <c r="L235" s="1437"/>
      <c r="M235" s="1435"/>
      <c r="N235" s="1460"/>
      <c r="O235" s="1430"/>
      <c r="P235" s="1430"/>
    </row>
    <row r="236" spans="1:16" ht="12.75">
      <c r="A236" s="1352">
        <v>678.09</v>
      </c>
      <c r="B236" s="1333" t="s">
        <v>287</v>
      </c>
      <c r="C236" s="1333"/>
      <c r="D236" s="1333"/>
      <c r="E236" s="1403"/>
      <c r="F236" s="1437"/>
      <c r="G236" s="1437"/>
      <c r="H236" s="1437"/>
      <c r="I236" s="1437"/>
      <c r="J236" s="1437"/>
      <c r="K236" s="1437"/>
      <c r="L236" s="1437"/>
      <c r="M236" s="1435"/>
      <c r="N236" s="1460"/>
      <c r="O236" s="1430"/>
      <c r="P236" s="1430"/>
    </row>
    <row r="237" spans="1:16" ht="12.75">
      <c r="A237" s="1352">
        <v>-1210</v>
      </c>
      <c r="B237" s="1416" t="s">
        <v>1007</v>
      </c>
      <c r="C237" s="1333"/>
      <c r="D237" s="1335"/>
      <c r="E237" s="1403"/>
      <c r="F237" s="1437"/>
      <c r="G237" s="1437"/>
      <c r="H237" s="1437"/>
      <c r="I237" s="1437"/>
      <c r="J237" s="1437"/>
      <c r="K237" s="1437"/>
      <c r="L237" s="1437"/>
      <c r="M237" s="1435"/>
      <c r="N237" s="1460"/>
      <c r="O237" s="1430"/>
      <c r="P237" s="1430"/>
    </row>
    <row r="238" spans="1:16" ht="12.75">
      <c r="A238" s="1352">
        <v>-285</v>
      </c>
      <c r="B238" s="1416" t="s">
        <v>297</v>
      </c>
      <c r="C238" s="1333"/>
      <c r="D238" s="1335"/>
      <c r="E238" s="1403"/>
      <c r="F238" s="1437"/>
      <c r="G238" s="1437"/>
      <c r="H238" s="1437"/>
      <c r="I238" s="1437"/>
      <c r="J238" s="1449">
        <v>285</v>
      </c>
      <c r="K238" s="1437"/>
      <c r="L238" s="1437"/>
      <c r="M238" s="1435"/>
      <c r="N238" s="1460"/>
      <c r="O238" s="1430"/>
      <c r="P238" s="1430"/>
    </row>
    <row r="239" spans="1:16" ht="12.75">
      <c r="A239" s="1352">
        <v>-4443.81</v>
      </c>
      <c r="B239" s="1333" t="s">
        <v>298</v>
      </c>
      <c r="C239" s="1333"/>
      <c r="D239" s="1335"/>
      <c r="E239" s="1403"/>
      <c r="F239" s="1437"/>
      <c r="G239" s="1437"/>
      <c r="H239" s="1437"/>
      <c r="I239" s="1437"/>
      <c r="J239" s="1437"/>
      <c r="K239" s="1449">
        <v>4443.81</v>
      </c>
      <c r="L239" s="1437"/>
      <c r="M239" s="1435"/>
      <c r="N239" s="1460"/>
      <c r="O239" s="1430"/>
      <c r="P239" s="1430"/>
    </row>
    <row r="240" spans="1:16" ht="12.75">
      <c r="A240" s="1352">
        <v>-170.35</v>
      </c>
      <c r="B240" s="1333" t="s">
        <v>299</v>
      </c>
      <c r="C240" s="1333"/>
      <c r="D240" s="1333"/>
      <c r="E240" s="1403"/>
      <c r="F240" s="1437"/>
      <c r="G240" s="1437"/>
      <c r="H240" s="1437"/>
      <c r="I240" s="1437"/>
      <c r="J240" s="1437"/>
      <c r="K240" s="1437"/>
      <c r="L240" s="1449">
        <v>170.35</v>
      </c>
      <c r="M240" s="1435"/>
      <c r="N240" s="1460"/>
      <c r="O240" s="1430"/>
      <c r="P240" s="1430"/>
    </row>
    <row r="241" spans="1:16" ht="12.75">
      <c r="A241" s="1352">
        <v>-19406.98</v>
      </c>
      <c r="B241" s="1416" t="s">
        <v>57</v>
      </c>
      <c r="C241" s="1333"/>
      <c r="D241" s="1333"/>
      <c r="E241" s="1403"/>
      <c r="F241" s="1437"/>
      <c r="G241" s="1437"/>
      <c r="H241" s="1437"/>
      <c r="I241" s="1437"/>
      <c r="J241" s="1437"/>
      <c r="K241" s="1437"/>
      <c r="L241" s="1437"/>
      <c r="M241" s="1435"/>
      <c r="N241" s="1460"/>
      <c r="O241" s="1430"/>
      <c r="P241" s="1430"/>
    </row>
    <row r="242" spans="1:16" ht="12.75">
      <c r="A242" s="1352">
        <v>-36</v>
      </c>
      <c r="B242" s="1333" t="s">
        <v>300</v>
      </c>
      <c r="C242" s="1333"/>
      <c r="D242" s="1333"/>
      <c r="E242" s="1403"/>
      <c r="F242" s="1437"/>
      <c r="G242" s="1437"/>
      <c r="H242" s="1437"/>
      <c r="I242" s="1437"/>
      <c r="J242" s="1437"/>
      <c r="K242" s="1437"/>
      <c r="L242" s="1437"/>
      <c r="M242" s="1435"/>
      <c r="N242" s="1460"/>
      <c r="O242" s="1430"/>
      <c r="P242" s="1430"/>
    </row>
    <row r="243" spans="1:16" ht="12.75">
      <c r="A243" s="1352">
        <v>0.35</v>
      </c>
      <c r="B243" s="1333" t="s">
        <v>301</v>
      </c>
      <c r="C243" s="1333"/>
      <c r="D243" s="1333"/>
      <c r="E243" s="1403"/>
      <c r="F243" s="1437"/>
      <c r="G243" s="1437"/>
      <c r="H243" s="1437"/>
      <c r="I243" s="1437"/>
      <c r="J243" s="1437"/>
      <c r="K243" s="1437"/>
      <c r="L243" s="1437"/>
      <c r="M243" s="1435"/>
      <c r="N243" s="1460"/>
      <c r="O243" s="1430"/>
      <c r="P243" s="1430"/>
    </row>
    <row r="244" spans="1:16" ht="12.75">
      <c r="A244" s="1477">
        <v>17504.39</v>
      </c>
      <c r="B244" s="1473" t="s">
        <v>1008</v>
      </c>
      <c r="C244" s="1469"/>
      <c r="D244" s="1333"/>
      <c r="E244" s="1403"/>
      <c r="F244" s="1437"/>
      <c r="G244" s="1437"/>
      <c r="H244" s="1437"/>
      <c r="I244" s="1437"/>
      <c r="J244" s="1437"/>
      <c r="K244" s="1437"/>
      <c r="L244" s="1437"/>
      <c r="M244" s="1435"/>
      <c r="N244" s="1460"/>
      <c r="O244" s="1430"/>
      <c r="P244" s="1430"/>
    </row>
    <row r="245" spans="1:16" ht="12.75">
      <c r="A245" s="1477">
        <v>-47.0000000000009</v>
      </c>
      <c r="B245" s="1469" t="s">
        <v>288</v>
      </c>
      <c r="C245" s="1469"/>
      <c r="D245" s="1333"/>
      <c r="E245" s="1403"/>
      <c r="F245" s="1437"/>
      <c r="G245" s="1437"/>
      <c r="H245" s="1437"/>
      <c r="I245" s="1437"/>
      <c r="J245" s="1437"/>
      <c r="K245" s="1437"/>
      <c r="L245" s="1437"/>
      <c r="M245" s="1479">
        <v>47.0000000000009</v>
      </c>
      <c r="N245" s="1460"/>
      <c r="O245" s="1430"/>
      <c r="P245" s="1430"/>
    </row>
    <row r="246" spans="1:16" ht="12.75">
      <c r="A246" s="1477">
        <v>-2338.14</v>
      </c>
      <c r="B246" s="1468" t="s">
        <v>1009</v>
      </c>
      <c r="C246" s="1469"/>
      <c r="D246" s="1333"/>
      <c r="E246" s="1403"/>
      <c r="F246" s="1437"/>
      <c r="G246" s="1437"/>
      <c r="H246" s="1437"/>
      <c r="I246" s="1437"/>
      <c r="J246" s="1437"/>
      <c r="K246" s="1437"/>
      <c r="L246" s="1437"/>
      <c r="M246" s="1435"/>
      <c r="N246" s="1460"/>
      <c r="O246" s="1430"/>
      <c r="P246" s="1430"/>
    </row>
    <row r="247" spans="1:16" ht="12.75">
      <c r="A247" s="1477">
        <v>-4322</v>
      </c>
      <c r="B247" s="1468" t="s">
        <v>1010</v>
      </c>
      <c r="C247" s="1469"/>
      <c r="D247" s="1333"/>
      <c r="E247" s="1403"/>
      <c r="F247" s="1437"/>
      <c r="G247" s="1437"/>
      <c r="H247" s="1437"/>
      <c r="I247" s="1437"/>
      <c r="J247" s="1437"/>
      <c r="K247" s="1437"/>
      <c r="L247" s="1437"/>
      <c r="M247" s="1435"/>
      <c r="N247" s="1460"/>
      <c r="O247" s="1430"/>
      <c r="P247" s="1430"/>
    </row>
    <row r="248" spans="1:16" ht="12.75">
      <c r="A248" s="1477">
        <v>-21387.64</v>
      </c>
      <c r="B248" s="1468" t="s">
        <v>1011</v>
      </c>
      <c r="C248" s="1469"/>
      <c r="D248" s="1333"/>
      <c r="E248" s="1403"/>
      <c r="F248" s="1437"/>
      <c r="G248" s="1437"/>
      <c r="H248" s="1437"/>
      <c r="I248" s="1437"/>
      <c r="J248" s="1437"/>
      <c r="K248" s="1437"/>
      <c r="L248" s="1437"/>
      <c r="M248" s="1435"/>
      <c r="N248" s="1460"/>
      <c r="O248" s="1430"/>
      <c r="P248" s="1430"/>
    </row>
    <row r="249" spans="1:16" ht="12.75">
      <c r="A249" s="1477">
        <v>9117.16</v>
      </c>
      <c r="B249" s="1468" t="s">
        <v>1008</v>
      </c>
      <c r="C249" s="1469"/>
      <c r="D249" s="1333"/>
      <c r="E249" s="1403"/>
      <c r="F249" s="1437"/>
      <c r="G249" s="1437"/>
      <c r="H249" s="1437"/>
      <c r="I249" s="1437"/>
      <c r="J249" s="1437"/>
      <c r="K249" s="1437"/>
      <c r="L249" s="1437"/>
      <c r="M249" s="1435"/>
      <c r="N249" s="1460"/>
      <c r="O249" s="1430"/>
      <c r="P249" s="1430"/>
    </row>
    <row r="250" spans="1:16" ht="12.75">
      <c r="A250" s="1477">
        <v>9857</v>
      </c>
      <c r="B250" s="1468" t="s">
        <v>1010</v>
      </c>
      <c r="C250" s="1469"/>
      <c r="D250" s="1333"/>
      <c r="E250" s="1403"/>
      <c r="F250" s="1437"/>
      <c r="G250" s="1437"/>
      <c r="H250" s="1437"/>
      <c r="I250" s="1437"/>
      <c r="J250" s="1437"/>
      <c r="K250" s="1437"/>
      <c r="L250" s="1437"/>
      <c r="M250" s="1435"/>
      <c r="N250" s="1460"/>
      <c r="O250" s="1430"/>
      <c r="P250" s="1430"/>
    </row>
    <row r="251" spans="1:16" ht="12.75">
      <c r="A251" s="1439">
        <v>28724.41</v>
      </c>
      <c r="B251" s="1439" t="s">
        <v>44</v>
      </c>
      <c r="C251" s="1469"/>
      <c r="D251" s="1333"/>
      <c r="E251" s="1403"/>
      <c r="F251" s="1437"/>
      <c r="G251" s="1437"/>
      <c r="H251" s="1437"/>
      <c r="I251" s="1437"/>
      <c r="J251" s="1437"/>
      <c r="K251" s="1437"/>
      <c r="L251" s="1437"/>
      <c r="M251" s="1435"/>
      <c r="N251" s="1460"/>
      <c r="O251" s="1430"/>
      <c r="P251" s="1430"/>
    </row>
    <row r="252" spans="1:16" ht="12.75">
      <c r="A252" s="1439">
        <v>22407.41</v>
      </c>
      <c r="B252" s="1439" t="s">
        <v>20</v>
      </c>
      <c r="C252" s="1469"/>
      <c r="D252" s="1333"/>
      <c r="E252" s="1403"/>
      <c r="F252" s="1437"/>
      <c r="G252" s="1437"/>
      <c r="H252" s="1437"/>
      <c r="I252" s="1437"/>
      <c r="J252" s="1437"/>
      <c r="K252" s="1437"/>
      <c r="L252" s="1437"/>
      <c r="M252" s="1435"/>
      <c r="N252" s="1460"/>
      <c r="O252" s="1430"/>
      <c r="P252" s="1430"/>
    </row>
    <row r="253" spans="1:16" ht="12.75">
      <c r="A253" s="1439">
        <v>-0.1</v>
      </c>
      <c r="B253" s="1439" t="s">
        <v>19</v>
      </c>
      <c r="C253" s="1469"/>
      <c r="D253" s="1333"/>
      <c r="E253" s="1403"/>
      <c r="F253" s="1437"/>
      <c r="G253" s="1437"/>
      <c r="H253" s="1437"/>
      <c r="I253" s="1437"/>
      <c r="J253" s="1437"/>
      <c r="K253" s="1437"/>
      <c r="L253" s="1437"/>
      <c r="M253" s="1435"/>
      <c r="N253" s="1480">
        <v>0.1</v>
      </c>
      <c r="O253" s="1430"/>
      <c r="P253" s="1430"/>
    </row>
    <row r="254" spans="1:16" ht="12.75">
      <c r="A254" s="1450">
        <v>22900.6</v>
      </c>
      <c r="B254" s="1430" t="s">
        <v>45</v>
      </c>
      <c r="C254" s="1469"/>
      <c r="D254" s="1333"/>
      <c r="E254" s="1403"/>
      <c r="F254" s="1437"/>
      <c r="G254" s="1437"/>
      <c r="H254" s="1437"/>
      <c r="I254" s="1437"/>
      <c r="J254" s="1437"/>
      <c r="K254" s="1437"/>
      <c r="L254" s="1437"/>
      <c r="M254" s="1435"/>
      <c r="N254" s="1460"/>
      <c r="O254" s="1430"/>
      <c r="P254" s="1430"/>
    </row>
    <row r="255" spans="1:16" ht="12.75">
      <c r="A255" s="1450">
        <v>2655.26</v>
      </c>
      <c r="B255" s="1481" t="s">
        <v>26</v>
      </c>
      <c r="C255" s="1469"/>
      <c r="D255" s="1333"/>
      <c r="E255" s="1403"/>
      <c r="F255" s="1437"/>
      <c r="G255" s="1437"/>
      <c r="H255" s="1437"/>
      <c r="I255" s="1437"/>
      <c r="J255" s="1437"/>
      <c r="K255" s="1437"/>
      <c r="L255" s="1437"/>
      <c r="M255" s="1435"/>
      <c r="N255" s="1460"/>
      <c r="O255" s="1430"/>
      <c r="P255" s="1430"/>
    </row>
    <row r="256" spans="1:16" ht="12.75">
      <c r="A256" s="1450">
        <v>-1402.9</v>
      </c>
      <c r="B256" s="1481" t="s">
        <v>46</v>
      </c>
      <c r="C256" s="1469"/>
      <c r="D256" s="1333"/>
      <c r="E256" s="1403"/>
      <c r="F256" s="1437"/>
      <c r="G256" s="1437"/>
      <c r="H256" s="1437"/>
      <c r="I256" s="1437"/>
      <c r="J256" s="1437"/>
      <c r="K256" s="1437"/>
      <c r="L256" s="1437"/>
      <c r="M256" s="1435"/>
      <c r="N256" s="1460"/>
      <c r="O256" s="1430"/>
      <c r="P256" s="1430"/>
    </row>
    <row r="257" spans="1:16" ht="12.75">
      <c r="A257" s="1450">
        <v>-28225.52</v>
      </c>
      <c r="B257" s="1481" t="s">
        <v>12</v>
      </c>
      <c r="C257" s="1469"/>
      <c r="D257" s="1333"/>
      <c r="E257" s="1403"/>
      <c r="F257" s="1437"/>
      <c r="G257" s="1437"/>
      <c r="H257" s="1437"/>
      <c r="I257" s="1437"/>
      <c r="J257" s="1437"/>
      <c r="K257" s="1437"/>
      <c r="L257" s="1437"/>
      <c r="M257" s="1435"/>
      <c r="N257" s="1460"/>
      <c r="O257" s="1430"/>
      <c r="P257" s="1430"/>
    </row>
    <row r="258" spans="1:16" ht="12.75">
      <c r="A258" s="1450">
        <v>-5707.31</v>
      </c>
      <c r="B258" s="1430" t="s">
        <v>47</v>
      </c>
      <c r="C258" s="1469"/>
      <c r="D258" s="1333"/>
      <c r="E258" s="1403"/>
      <c r="F258" s="1437"/>
      <c r="G258" s="1476"/>
      <c r="H258" s="1437"/>
      <c r="I258" s="1437"/>
      <c r="J258" s="1437"/>
      <c r="K258" s="1437"/>
      <c r="L258" s="1437"/>
      <c r="M258" s="1435"/>
      <c r="N258" s="1460"/>
      <c r="O258" s="1430"/>
      <c r="P258" s="1430"/>
    </row>
    <row r="259" spans="1:16" ht="12.75">
      <c r="A259" s="1439">
        <v>-23266.1</v>
      </c>
      <c r="B259" s="1450" t="s">
        <v>48</v>
      </c>
      <c r="C259" s="1469"/>
      <c r="D259" s="1333"/>
      <c r="E259" s="1403"/>
      <c r="F259" s="1437"/>
      <c r="G259" s="1437"/>
      <c r="H259" s="1437"/>
      <c r="I259" s="1437"/>
      <c r="J259" s="1437"/>
      <c r="K259" s="1437"/>
      <c r="L259" s="1437"/>
      <c r="M259" s="1435"/>
      <c r="N259" s="1460"/>
      <c r="O259" s="1430"/>
      <c r="P259" s="1430"/>
    </row>
    <row r="260" spans="1:16" ht="12.75">
      <c r="A260" s="1439">
        <v>-21915.69</v>
      </c>
      <c r="B260" s="1439" t="s">
        <v>49</v>
      </c>
      <c r="C260" s="1469"/>
      <c r="D260" s="1333"/>
      <c r="E260" s="1403"/>
      <c r="F260" s="1437"/>
      <c r="G260" s="1437"/>
      <c r="H260" s="1437"/>
      <c r="I260" s="1437"/>
      <c r="J260" s="1437"/>
      <c r="K260" s="1437"/>
      <c r="L260" s="1437"/>
      <c r="M260" s="1435"/>
      <c r="N260" s="1460"/>
      <c r="O260" s="1430"/>
      <c r="P260" s="1430"/>
    </row>
    <row r="261" spans="1:16" ht="12.75">
      <c r="A261" s="1450">
        <v>2799.8</v>
      </c>
      <c r="B261" s="1430" t="s">
        <v>50</v>
      </c>
      <c r="C261" s="1469"/>
      <c r="D261" s="1333"/>
      <c r="E261" s="1403"/>
      <c r="F261" s="1437"/>
      <c r="G261" s="1437"/>
      <c r="H261" s="1437"/>
      <c r="I261" s="1476"/>
      <c r="J261" s="1437"/>
      <c r="K261" s="1437"/>
      <c r="L261" s="1437"/>
      <c r="M261" s="1435"/>
      <c r="N261" s="1460"/>
      <c r="O261" s="1430"/>
      <c r="P261" s="1430"/>
    </row>
    <row r="262" spans="1:16" ht="12.75">
      <c r="A262" s="1438">
        <v>28225.13</v>
      </c>
      <c r="B262" t="s">
        <v>718</v>
      </c>
      <c r="C262" s="1388"/>
      <c r="D262" s="1333"/>
      <c r="E262" s="1403"/>
      <c r="F262" s="1437"/>
      <c r="G262" s="1437"/>
      <c r="H262" s="1437"/>
      <c r="I262" s="1476"/>
      <c r="J262" s="1437"/>
      <c r="K262" s="1437"/>
      <c r="L262" s="1437"/>
      <c r="M262" s="1435"/>
      <c r="N262" s="1460"/>
      <c r="O262" s="1430"/>
      <c r="P262" s="1430"/>
    </row>
    <row r="263" spans="1:16" ht="12.75">
      <c r="A263" s="1438">
        <v>5713.72</v>
      </c>
      <c r="B263" t="s">
        <v>719</v>
      </c>
      <c r="C263" s="1388"/>
      <c r="D263" s="1333"/>
      <c r="E263" s="1403"/>
      <c r="F263" s="1437"/>
      <c r="G263" s="1437"/>
      <c r="H263" s="1437"/>
      <c r="I263" s="1476"/>
      <c r="J263" s="1437"/>
      <c r="K263" s="1437"/>
      <c r="L263" s="1437"/>
      <c r="M263" s="1435"/>
      <c r="N263" s="1460"/>
      <c r="O263" s="1430"/>
      <c r="P263" s="1430"/>
    </row>
    <row r="264" spans="1:16" ht="12.75">
      <c r="A264" s="1438">
        <v>974.35</v>
      </c>
      <c r="B264" t="s">
        <v>720</v>
      </c>
      <c r="C264" s="1388"/>
      <c r="D264" s="1333"/>
      <c r="E264" s="1403"/>
      <c r="F264" s="1437"/>
      <c r="G264" s="1437"/>
      <c r="H264" s="1437"/>
      <c r="I264" s="1476"/>
      <c r="J264" s="1437"/>
      <c r="K264" s="1437"/>
      <c r="L264" s="1437"/>
      <c r="M264" s="1435"/>
      <c r="N264" s="1460"/>
      <c r="O264" s="1430"/>
      <c r="P264" s="1430"/>
    </row>
    <row r="265" spans="1:16" ht="12.75">
      <c r="A265" s="1438">
        <v>-7338.5</v>
      </c>
      <c r="B265" t="s">
        <v>721</v>
      </c>
      <c r="C265" s="1388"/>
      <c r="D265" s="1333"/>
      <c r="E265" s="1403"/>
      <c r="F265" s="1437"/>
      <c r="G265" s="1437"/>
      <c r="H265" s="1437"/>
      <c r="I265" s="1476"/>
      <c r="J265" s="1437"/>
      <c r="K265" s="1437"/>
      <c r="L265" s="1437"/>
      <c r="M265" s="1435"/>
      <c r="N265" s="1460"/>
      <c r="O265" s="1430"/>
      <c r="P265" s="1430"/>
    </row>
    <row r="266" spans="1:16" ht="12.75">
      <c r="A266" s="1438">
        <v>4638.5</v>
      </c>
      <c r="B266" t="s">
        <v>721</v>
      </c>
      <c r="C266" s="1388"/>
      <c r="D266" s="1333"/>
      <c r="E266" s="1403"/>
      <c r="F266" s="1437"/>
      <c r="G266" s="1437"/>
      <c r="H266" s="1437"/>
      <c r="I266" s="1476"/>
      <c r="J266" s="1437"/>
      <c r="K266" s="1437"/>
      <c r="L266" s="1437"/>
      <c r="M266" s="1435"/>
      <c r="N266" s="1460"/>
      <c r="O266" s="1430"/>
      <c r="P266" s="1430"/>
    </row>
    <row r="267" spans="1:16" ht="12.75">
      <c r="A267" s="1438">
        <v>-1100</v>
      </c>
      <c r="B267" t="s">
        <v>722</v>
      </c>
      <c r="C267" s="1388"/>
      <c r="D267" s="1333"/>
      <c r="E267" s="1403"/>
      <c r="F267" s="1437"/>
      <c r="G267" s="1437"/>
      <c r="H267" s="1437"/>
      <c r="I267" s="1476"/>
      <c r="J267" s="1437"/>
      <c r="K267" s="1437"/>
      <c r="L267" s="1437"/>
      <c r="M267" s="1435"/>
      <c r="N267" s="1460"/>
      <c r="O267" s="1430"/>
      <c r="P267" s="1430"/>
    </row>
    <row r="268" spans="1:16" ht="12.75">
      <c r="A268" s="1438">
        <v>25877</v>
      </c>
      <c r="B268" t="s">
        <v>722</v>
      </c>
      <c r="C268" s="1388"/>
      <c r="D268" s="1333"/>
      <c r="E268" s="1403"/>
      <c r="F268" s="1437"/>
      <c r="G268" s="1437"/>
      <c r="H268" s="1437"/>
      <c r="I268" s="1476"/>
      <c r="J268" s="1437"/>
      <c r="K268" s="1437"/>
      <c r="L268" s="1437"/>
      <c r="M268" s="1435"/>
      <c r="N268" s="1460"/>
      <c r="O268" s="1430"/>
      <c r="P268" s="1430"/>
    </row>
    <row r="269" spans="1:16" ht="12.75">
      <c r="A269" s="1438">
        <v>-2799.8</v>
      </c>
      <c r="B269" t="s">
        <v>723</v>
      </c>
      <c r="C269" s="1388"/>
      <c r="D269" s="1333"/>
      <c r="E269" s="1403"/>
      <c r="F269" s="1437"/>
      <c r="G269" s="1437"/>
      <c r="H269" s="1437"/>
      <c r="I269" s="1476"/>
      <c r="J269" s="1437"/>
      <c r="K269" s="1437"/>
      <c r="L269" s="1437"/>
      <c r="M269" s="1435"/>
      <c r="N269" s="1460"/>
      <c r="O269" s="1430"/>
      <c r="P269" s="1430"/>
    </row>
    <row r="270" spans="1:16" ht="12.75">
      <c r="A270" s="1438">
        <v>-7009.62</v>
      </c>
      <c r="B270" t="s">
        <v>724</v>
      </c>
      <c r="C270" s="1388"/>
      <c r="D270" s="1333"/>
      <c r="E270" s="1403">
        <f>-A270</f>
        <v>7009.62</v>
      </c>
      <c r="F270" s="1437"/>
      <c r="G270" s="1437"/>
      <c r="H270" s="1437"/>
      <c r="I270" s="1476"/>
      <c r="J270" s="1437"/>
      <c r="K270" s="1437"/>
      <c r="L270" s="1437"/>
      <c r="M270" s="1435"/>
      <c r="N270" s="1460"/>
      <c r="O270" s="1430"/>
      <c r="P270" s="1430"/>
    </row>
    <row r="271" spans="1:16" ht="12.75">
      <c r="A271" s="1438">
        <v>-45780.89</v>
      </c>
      <c r="B271" t="s">
        <v>725</v>
      </c>
      <c r="C271" s="1439"/>
      <c r="D271" s="1333"/>
      <c r="E271" s="1403"/>
      <c r="F271" s="1437"/>
      <c r="G271" s="1449">
        <f>-A271</f>
        <v>45780.89</v>
      </c>
      <c r="H271" s="1437"/>
      <c r="I271" s="1476"/>
      <c r="J271" s="1437"/>
      <c r="K271" s="1437"/>
      <c r="L271" s="1437"/>
      <c r="M271" s="1435"/>
      <c r="N271" s="1460"/>
      <c r="O271" s="1430"/>
      <c r="P271" s="1430"/>
    </row>
    <row r="272" spans="1:16" ht="12.75">
      <c r="A272" s="1438">
        <v>0.39</v>
      </c>
      <c r="B272" t="s">
        <v>530</v>
      </c>
      <c r="C272" s="1439"/>
      <c r="D272" s="1333"/>
      <c r="E272" s="1403"/>
      <c r="F272" s="1437"/>
      <c r="G272" s="1437"/>
      <c r="H272" s="1437"/>
      <c r="I272" s="1476"/>
      <c r="J272" s="1437"/>
      <c r="K272" s="1437"/>
      <c r="L272" s="1437"/>
      <c r="M272" s="1435"/>
      <c r="N272" s="1460"/>
      <c r="O272" s="1430"/>
      <c r="P272" s="1430"/>
    </row>
    <row r="273" spans="1:16" ht="12.75">
      <c r="A273" s="1438">
        <v>-40680.89</v>
      </c>
      <c r="B273" t="s">
        <v>704</v>
      </c>
      <c r="C273" s="1439"/>
      <c r="D273" s="1333"/>
      <c r="E273" s="1403"/>
      <c r="F273" s="1437"/>
      <c r="G273" s="1437"/>
      <c r="H273" s="1437"/>
      <c r="I273" s="1476"/>
      <c r="J273" s="1437"/>
      <c r="K273" s="1437"/>
      <c r="L273" s="1437"/>
      <c r="M273" s="1435"/>
      <c r="N273" s="1460"/>
      <c r="O273" s="1430"/>
      <c r="P273" s="1462">
        <f>-A273</f>
        <v>40680.89</v>
      </c>
    </row>
    <row r="274" spans="1:16" ht="12.75">
      <c r="A274" s="1352">
        <f>+SUM(A233:A273)</f>
        <v>-19946.01000000001</v>
      </c>
      <c r="B274" s="1333" t="s">
        <v>257</v>
      </c>
      <c r="C274" s="1333"/>
      <c r="D274" s="1333"/>
      <c r="E274" s="1403"/>
      <c r="F274" s="1437"/>
      <c r="G274" s="1437"/>
      <c r="H274" s="1437"/>
      <c r="I274" s="1437"/>
      <c r="J274" s="1437"/>
      <c r="K274" s="1437"/>
      <c r="L274" s="1437"/>
      <c r="M274" s="1435"/>
      <c r="N274" s="1460"/>
      <c r="O274" s="1430"/>
      <c r="P274" s="1430"/>
    </row>
    <row r="275" spans="1:16" ht="12.75">
      <c r="A275" s="1352"/>
      <c r="B275" s="1333"/>
      <c r="C275" s="1333"/>
      <c r="D275" s="1333"/>
      <c r="E275" s="1403"/>
      <c r="F275" s="1437"/>
      <c r="G275" s="1437"/>
      <c r="H275" s="1437"/>
      <c r="I275" s="1437"/>
      <c r="J275" s="1437"/>
      <c r="K275" s="1437"/>
      <c r="L275" s="1437"/>
      <c r="M275" s="1435"/>
      <c r="N275" s="1460"/>
      <c r="O275" s="1430"/>
      <c r="P275" s="1430"/>
    </row>
    <row r="276" spans="1:16" ht="13.5" thickBot="1">
      <c r="A276" s="1352"/>
      <c r="B276" s="1333"/>
      <c r="C276" s="1333"/>
      <c r="D276" s="1333"/>
      <c r="E276" s="1403"/>
      <c r="F276" s="1437"/>
      <c r="G276" s="1437"/>
      <c r="H276" s="1437"/>
      <c r="I276" s="1437"/>
      <c r="J276" s="1437"/>
      <c r="K276" s="1437"/>
      <c r="L276" s="1437"/>
      <c r="M276" s="1435"/>
      <c r="N276" s="1460"/>
      <c r="O276" s="1430"/>
      <c r="P276" s="1430"/>
    </row>
    <row r="277" spans="1:16" ht="13.5" thickBot="1">
      <c r="A277" s="2043" t="s">
        <v>263</v>
      </c>
      <c r="B277" s="2037"/>
      <c r="C277" s="2038"/>
      <c r="D277" s="1333"/>
      <c r="E277" s="1377"/>
      <c r="F277" s="1437"/>
      <c r="G277" s="1437"/>
      <c r="H277" s="1437"/>
      <c r="I277" s="1437"/>
      <c r="J277" s="1437"/>
      <c r="K277" s="1437"/>
      <c r="L277" s="1437"/>
      <c r="M277" s="1435"/>
      <c r="N277" s="1460"/>
      <c r="O277" s="1430"/>
      <c r="P277" s="1430"/>
    </row>
    <row r="278" spans="1:16" ht="12.75">
      <c r="A278" s="1353"/>
      <c r="B278" s="1244"/>
      <c r="C278" s="1244"/>
      <c r="D278" s="1333"/>
      <c r="E278" s="1377"/>
      <c r="F278" s="1437"/>
      <c r="G278" s="1437"/>
      <c r="H278" s="1437"/>
      <c r="I278" s="1437"/>
      <c r="J278" s="1437"/>
      <c r="K278" s="1437"/>
      <c r="L278" s="1437"/>
      <c r="M278" s="1435"/>
      <c r="N278" s="1460"/>
      <c r="O278" s="1430"/>
      <c r="P278" s="1430"/>
    </row>
    <row r="279" spans="1:16" ht="12.75">
      <c r="A279" s="1422">
        <v>-3607</v>
      </c>
      <c r="B279" s="1333" t="s">
        <v>1012</v>
      </c>
      <c r="C279" s="1333"/>
      <c r="D279" s="1333"/>
      <c r="E279" s="1394"/>
      <c r="F279" s="1437"/>
      <c r="G279" s="1437"/>
      <c r="H279" s="1437"/>
      <c r="I279" s="1437"/>
      <c r="J279" s="1437"/>
      <c r="K279" s="1437"/>
      <c r="L279" s="1437"/>
      <c r="M279" s="1435"/>
      <c r="N279" s="1460"/>
      <c r="O279" s="1430"/>
      <c r="P279" s="1430"/>
    </row>
    <row r="280" spans="1:16" ht="12.75">
      <c r="A280" s="1422">
        <v>-1992.63</v>
      </c>
      <c r="B280" s="1333" t="s">
        <v>1013</v>
      </c>
      <c r="C280" s="1333"/>
      <c r="D280" s="1333"/>
      <c r="E280" s="1376"/>
      <c r="F280" s="1437"/>
      <c r="G280" s="1437"/>
      <c r="H280" s="1437"/>
      <c r="I280" s="1437"/>
      <c r="J280" s="1437"/>
      <c r="K280" s="1437"/>
      <c r="L280" s="1437"/>
      <c r="M280" s="1435"/>
      <c r="N280" s="1460"/>
      <c r="O280" s="1430"/>
      <c r="P280" s="1430"/>
    </row>
    <row r="281" spans="1:16" ht="12.75">
      <c r="A281" s="1422">
        <v>1843.11</v>
      </c>
      <c r="B281" s="1333" t="s">
        <v>1014</v>
      </c>
      <c r="C281" s="1333"/>
      <c r="D281" s="1333"/>
      <c r="E281" s="1376"/>
      <c r="F281" s="1437"/>
      <c r="G281" s="1437"/>
      <c r="H281" s="1437"/>
      <c r="I281" s="1437"/>
      <c r="J281" s="1437"/>
      <c r="K281" s="1437"/>
      <c r="L281" s="1437"/>
      <c r="M281" s="1435"/>
      <c r="N281" s="1460"/>
      <c r="O281" s="1430"/>
      <c r="P281" s="1430"/>
    </row>
    <row r="282" spans="1:16" ht="12.75">
      <c r="A282" s="1422">
        <v>-4700</v>
      </c>
      <c r="B282" s="1333" t="s">
        <v>274</v>
      </c>
      <c r="C282" s="1333"/>
      <c r="D282" s="1333"/>
      <c r="E282" s="1376"/>
      <c r="F282" s="1437"/>
      <c r="G282" s="1437"/>
      <c r="H282" s="1437"/>
      <c r="I282" s="1437"/>
      <c r="J282" s="1437"/>
      <c r="K282" s="1437"/>
      <c r="L282" s="1449">
        <v>4700</v>
      </c>
      <c r="M282" s="1435"/>
      <c r="N282" s="1460"/>
      <c r="O282" s="1430"/>
      <c r="P282" s="1430"/>
    </row>
    <row r="283" spans="1:16" ht="12.75">
      <c r="A283" s="1422">
        <v>-5.98</v>
      </c>
      <c r="B283" s="1333" t="s">
        <v>1015</v>
      </c>
      <c r="C283" s="1333"/>
      <c r="D283" s="1333"/>
      <c r="E283" s="1376"/>
      <c r="F283" s="1437"/>
      <c r="G283" s="1437"/>
      <c r="H283" s="1437"/>
      <c r="I283" s="1437"/>
      <c r="J283" s="1437"/>
      <c r="K283" s="1437"/>
      <c r="L283" s="1437"/>
      <c r="M283" s="1435"/>
      <c r="N283" s="1460"/>
      <c r="O283" s="1430"/>
      <c r="P283" s="1430"/>
    </row>
    <row r="284" spans="1:16" ht="12.75">
      <c r="A284" s="1422">
        <v>-600</v>
      </c>
      <c r="B284" s="1333" t="s">
        <v>1016</v>
      </c>
      <c r="C284" s="1333"/>
      <c r="D284" s="1333"/>
      <c r="E284" s="1376"/>
      <c r="F284" s="1437"/>
      <c r="G284" s="1437"/>
      <c r="H284" s="1437"/>
      <c r="I284" s="1437"/>
      <c r="J284" s="1437"/>
      <c r="K284" s="1437"/>
      <c r="L284" s="1437"/>
      <c r="M284" s="1435"/>
      <c r="N284" s="1460"/>
      <c r="O284" s="1430"/>
      <c r="P284" s="1430"/>
    </row>
    <row r="285" spans="1:16" ht="12.75">
      <c r="A285" s="1423">
        <v>-2291.09</v>
      </c>
      <c r="B285" s="1355" t="s">
        <v>996</v>
      </c>
      <c r="C285" s="1333"/>
      <c r="D285" s="1333"/>
      <c r="E285" s="1384"/>
      <c r="F285" s="1437"/>
      <c r="G285" s="1437"/>
      <c r="H285" s="1437"/>
      <c r="I285" s="1437"/>
      <c r="J285" s="1437"/>
      <c r="K285" s="1437"/>
      <c r="L285" s="1437"/>
      <c r="M285" s="1435"/>
      <c r="N285" s="1460"/>
      <c r="O285" s="1430"/>
      <c r="P285" s="1430"/>
    </row>
    <row r="286" spans="1:16" ht="12.75">
      <c r="A286" s="1423">
        <v>-40</v>
      </c>
      <c r="B286" s="1482" t="s">
        <v>1017</v>
      </c>
      <c r="C286" s="1333"/>
      <c r="D286" s="1333"/>
      <c r="E286" s="1384"/>
      <c r="F286" s="1437"/>
      <c r="G286" s="1437"/>
      <c r="H286" s="1437"/>
      <c r="I286" s="1437"/>
      <c r="J286" s="1437"/>
      <c r="K286" s="1437"/>
      <c r="L286" s="1437"/>
      <c r="M286" s="1435"/>
      <c r="N286" s="1460"/>
      <c r="O286" s="1430"/>
      <c r="P286" s="1430"/>
    </row>
    <row r="287" spans="1:16" ht="12.75">
      <c r="A287" s="1423">
        <v>-32.38</v>
      </c>
      <c r="B287" s="1355" t="s">
        <v>293</v>
      </c>
      <c r="C287" s="1333"/>
      <c r="D287" s="1333"/>
      <c r="E287" s="1376"/>
      <c r="F287" s="1448"/>
      <c r="G287" s="1437"/>
      <c r="H287" s="1437"/>
      <c r="I287" s="1437"/>
      <c r="J287" s="1437"/>
      <c r="K287" s="1437"/>
      <c r="L287" s="1437"/>
      <c r="M287" s="1435"/>
      <c r="N287" s="1460"/>
      <c r="O287" s="1430"/>
      <c r="P287" s="1430"/>
    </row>
    <row r="288" spans="1:16" ht="12.75">
      <c r="A288" s="1424">
        <v>2291.09</v>
      </c>
      <c r="B288" s="1324" t="s">
        <v>996</v>
      </c>
      <c r="C288" s="1333"/>
      <c r="D288" s="1333"/>
      <c r="E288" s="1376"/>
      <c r="F288" s="1448"/>
      <c r="G288" s="1437"/>
      <c r="H288" s="1437"/>
      <c r="I288" s="1437"/>
      <c r="J288" s="1437"/>
      <c r="K288" s="1437"/>
      <c r="L288" s="1437"/>
      <c r="M288" s="1435"/>
      <c r="N288" s="1460"/>
      <c r="O288" s="1430"/>
      <c r="P288" s="1430"/>
    </row>
    <row r="289" spans="1:16" ht="12.75">
      <c r="A289" s="1438">
        <v>-0.52</v>
      </c>
      <c r="B289" t="s">
        <v>264</v>
      </c>
      <c r="C289" s="1333"/>
      <c r="D289" s="1333"/>
      <c r="E289" s="1376"/>
      <c r="F289" s="1448"/>
      <c r="G289" s="1437"/>
      <c r="H289" s="1437"/>
      <c r="I289" s="1442"/>
      <c r="J289" s="1437"/>
      <c r="K289" s="1437"/>
      <c r="L289" s="1437"/>
      <c r="M289" s="1435"/>
      <c r="N289" s="1460"/>
      <c r="O289" s="1430"/>
      <c r="P289" s="1430"/>
    </row>
    <row r="290" spans="1:16" ht="12.75">
      <c r="A290" s="1438">
        <v>-9763.04</v>
      </c>
      <c r="B290" t="s">
        <v>26</v>
      </c>
      <c r="C290" s="1333"/>
      <c r="D290" s="1333"/>
      <c r="E290" s="1376"/>
      <c r="F290" s="1448"/>
      <c r="G290" s="1437"/>
      <c r="H290" s="1437"/>
      <c r="I290" s="1442"/>
      <c r="J290" s="1437"/>
      <c r="K290" s="1437"/>
      <c r="L290" s="1437"/>
      <c r="M290" s="1435"/>
      <c r="N290" s="1460"/>
      <c r="O290" s="1430"/>
      <c r="P290" s="1430"/>
    </row>
    <row r="291" spans="1:16" ht="12.75">
      <c r="A291" s="1438">
        <v>-1061.61</v>
      </c>
      <c r="B291" t="s">
        <v>713</v>
      </c>
      <c r="C291" s="1333"/>
      <c r="D291" s="1333"/>
      <c r="E291" s="1376"/>
      <c r="F291" s="1448"/>
      <c r="G291" s="1437"/>
      <c r="H291" s="1437"/>
      <c r="I291" s="1442"/>
      <c r="J291" s="1437"/>
      <c r="K291" s="1437"/>
      <c r="L291" s="1437"/>
      <c r="M291" s="1435"/>
      <c r="N291" s="1460"/>
      <c r="O291" s="1430"/>
      <c r="P291" s="1462">
        <f>-A291</f>
        <v>1061.61</v>
      </c>
    </row>
    <row r="292" spans="1:16" ht="12.75">
      <c r="A292" s="1438">
        <v>-2285</v>
      </c>
      <c r="B292" t="s">
        <v>722</v>
      </c>
      <c r="C292" s="1333"/>
      <c r="D292" s="1333"/>
      <c r="E292" s="1376"/>
      <c r="F292" s="1448"/>
      <c r="G292" s="1437"/>
      <c r="H292" s="1437"/>
      <c r="I292" s="1442"/>
      <c r="J292" s="1437"/>
      <c r="K292" s="1437"/>
      <c r="L292" s="1437"/>
      <c r="M292" s="1435"/>
      <c r="N292" s="1460"/>
      <c r="O292" s="1430"/>
      <c r="P292" s="1430"/>
    </row>
    <row r="293" spans="1:16" ht="12.75">
      <c r="A293" s="1438">
        <v>-8310</v>
      </c>
      <c r="B293" t="s">
        <v>716</v>
      </c>
      <c r="C293" s="1333"/>
      <c r="D293" s="1333"/>
      <c r="E293" s="1376"/>
      <c r="F293" s="1448"/>
      <c r="G293" s="1449">
        <f>-A293</f>
        <v>8310</v>
      </c>
      <c r="H293" s="1437"/>
      <c r="I293" s="1442"/>
      <c r="J293" s="1437"/>
      <c r="K293" s="1437"/>
      <c r="L293" s="1437"/>
      <c r="M293" s="1435"/>
      <c r="N293" s="1460"/>
      <c r="O293" s="1430"/>
      <c r="P293" s="1430"/>
    </row>
    <row r="294" spans="1:16" ht="12.75">
      <c r="A294" s="1424">
        <v>-556.6</v>
      </c>
      <c r="B294" s="1324" t="s">
        <v>21</v>
      </c>
      <c r="C294" s="1333"/>
      <c r="D294" s="1333"/>
      <c r="E294" s="1376"/>
      <c r="F294" s="1448"/>
      <c r="G294" s="1437"/>
      <c r="H294" s="1437"/>
      <c r="I294" s="1437"/>
      <c r="J294" s="1437"/>
      <c r="K294" s="1437"/>
      <c r="L294" s="1437"/>
      <c r="M294" s="1435"/>
      <c r="N294" s="1460"/>
      <c r="O294" s="1430"/>
      <c r="P294" s="1430"/>
    </row>
    <row r="295" spans="1:16" ht="12.75">
      <c r="A295" s="1423">
        <v>0.05</v>
      </c>
      <c r="B295" s="1355" t="s">
        <v>530</v>
      </c>
      <c r="C295" s="1333"/>
      <c r="D295" s="1333"/>
      <c r="E295" s="1376"/>
      <c r="F295" s="1437"/>
      <c r="G295" s="1437"/>
      <c r="H295" s="1437"/>
      <c r="I295" s="1437"/>
      <c r="J295" s="1437"/>
      <c r="K295" s="1437"/>
      <c r="L295" s="1437"/>
      <c r="M295" s="1435"/>
      <c r="N295" s="1460"/>
      <c r="O295" s="1430"/>
      <c r="P295" s="1430"/>
    </row>
    <row r="296" spans="1:16" ht="12.75">
      <c r="A296" s="1352">
        <f>+SUM(A279:A295)</f>
        <v>-31111.600000000002</v>
      </c>
      <c r="B296" s="1333" t="s">
        <v>257</v>
      </c>
      <c r="C296" s="1333"/>
      <c r="D296" s="1333"/>
      <c r="E296" s="1376"/>
      <c r="F296" s="1437"/>
      <c r="G296" s="1437"/>
      <c r="H296" s="1437"/>
      <c r="I296" s="1437"/>
      <c r="J296" s="1437"/>
      <c r="K296" s="1437"/>
      <c r="L296" s="1437"/>
      <c r="M296" s="1435"/>
      <c r="N296" s="1460"/>
      <c r="O296" s="1430"/>
      <c r="P296" s="1430"/>
    </row>
    <row r="297" spans="1:16" ht="12.75">
      <c r="A297" s="1483"/>
      <c r="B297" s="1240"/>
      <c r="C297" s="1244"/>
      <c r="D297" s="1333"/>
      <c r="E297" s="1376"/>
      <c r="F297" s="1437"/>
      <c r="G297" s="1437"/>
      <c r="H297" s="1437"/>
      <c r="I297" s="1437"/>
      <c r="J297" s="1437"/>
      <c r="K297" s="1437"/>
      <c r="L297" s="1437"/>
      <c r="M297" s="1435"/>
      <c r="N297" s="1460"/>
      <c r="O297" s="1430"/>
      <c r="P297" s="1430"/>
    </row>
    <row r="298" spans="1:16" ht="13.5" thickBot="1">
      <c r="A298" s="1483"/>
      <c r="B298" s="1240"/>
      <c r="C298" s="1244"/>
      <c r="D298" s="1333"/>
      <c r="E298" s="1376"/>
      <c r="F298" s="1437"/>
      <c r="G298" s="1437"/>
      <c r="H298" s="1437"/>
      <c r="I298" s="1437"/>
      <c r="J298" s="1437"/>
      <c r="K298" s="1437"/>
      <c r="L298" s="1437"/>
      <c r="M298" s="1435"/>
      <c r="N298" s="1460"/>
      <c r="O298" s="1430"/>
      <c r="P298" s="1430"/>
    </row>
    <row r="299" spans="1:16" ht="13.5" thickBot="1">
      <c r="A299" s="2036" t="s">
        <v>265</v>
      </c>
      <c r="B299" s="2037"/>
      <c r="C299" s="2038"/>
      <c r="D299" s="1333"/>
      <c r="E299" s="1377"/>
      <c r="F299" s="1437"/>
      <c r="G299" s="1437"/>
      <c r="H299" s="1437"/>
      <c r="I299" s="1437"/>
      <c r="J299" s="1437"/>
      <c r="K299" s="1437"/>
      <c r="L299" s="1437"/>
      <c r="M299" s="1435"/>
      <c r="N299" s="1460"/>
      <c r="O299" s="1430"/>
      <c r="P299" s="1430"/>
    </row>
    <row r="300" spans="1:16" ht="12.75">
      <c r="A300" s="1478"/>
      <c r="B300" s="1469"/>
      <c r="C300" s="1469"/>
      <c r="D300" s="1469"/>
      <c r="E300" s="1437"/>
      <c r="F300" s="1437"/>
      <c r="G300" s="1437"/>
      <c r="H300" s="1437"/>
      <c r="I300" s="1437"/>
      <c r="J300" s="1437"/>
      <c r="K300" s="1437"/>
      <c r="L300" s="1437"/>
      <c r="M300" s="1435"/>
      <c r="N300" s="1460"/>
      <c r="O300" s="1430"/>
      <c r="P300" s="1430"/>
    </row>
    <row r="301" spans="1:16" ht="12.75">
      <c r="A301" s="1352">
        <v>-287.31</v>
      </c>
      <c r="B301" s="1333" t="s">
        <v>304</v>
      </c>
      <c r="C301" s="1333"/>
      <c r="D301" s="1333"/>
      <c r="E301" s="1377"/>
      <c r="F301" s="1437"/>
      <c r="G301" s="1437"/>
      <c r="H301" s="1437"/>
      <c r="I301" s="1437"/>
      <c r="J301" s="1449">
        <v>287.31</v>
      </c>
      <c r="K301" s="1437"/>
      <c r="L301" s="1437"/>
      <c r="M301" s="1435"/>
      <c r="N301" s="1460"/>
      <c r="O301" s="1430"/>
      <c r="P301" s="1430"/>
    </row>
    <row r="302" spans="1:16" ht="12.75">
      <c r="A302" s="1352">
        <v>-1445.67</v>
      </c>
      <c r="B302" s="1333" t="s">
        <v>305</v>
      </c>
      <c r="C302" s="1333"/>
      <c r="D302" s="1333"/>
      <c r="E302" s="1377"/>
      <c r="F302" s="1437"/>
      <c r="G302" s="1437"/>
      <c r="H302" s="1437"/>
      <c r="I302" s="1437"/>
      <c r="J302" s="1437"/>
      <c r="K302" s="1449">
        <v>1445.67</v>
      </c>
      <c r="L302" s="1437"/>
      <c r="M302" s="1435"/>
      <c r="N302" s="1460"/>
      <c r="O302" s="1430"/>
      <c r="P302" s="1430"/>
    </row>
    <row r="303" spans="1:16" ht="12.75">
      <c r="A303" s="1352">
        <v>-1955.13</v>
      </c>
      <c r="B303" s="1333" t="s">
        <v>306</v>
      </c>
      <c r="C303" s="1333"/>
      <c r="D303" s="1333"/>
      <c r="E303" s="1377"/>
      <c r="F303" s="1437"/>
      <c r="G303" s="1437"/>
      <c r="H303" s="1437"/>
      <c r="I303" s="1437"/>
      <c r="J303" s="1437"/>
      <c r="K303" s="1437"/>
      <c r="L303" s="1449">
        <v>1955.13</v>
      </c>
      <c r="M303" s="1435"/>
      <c r="N303" s="1460"/>
      <c r="O303" s="1430"/>
      <c r="P303" s="1430"/>
    </row>
    <row r="304" spans="1:16" ht="12.75">
      <c r="A304" s="1352">
        <v>12216</v>
      </c>
      <c r="B304" s="1416" t="s">
        <v>1018</v>
      </c>
      <c r="C304" s="1333"/>
      <c r="D304" s="1333"/>
      <c r="E304" s="1377"/>
      <c r="F304" s="1437"/>
      <c r="G304" s="1437"/>
      <c r="H304" s="1437"/>
      <c r="I304" s="1437"/>
      <c r="J304" s="1437"/>
      <c r="K304" s="1437"/>
      <c r="L304" s="1437"/>
      <c r="M304" s="1435"/>
      <c r="N304" s="1460"/>
      <c r="O304" s="1430"/>
      <c r="P304" s="1430"/>
    </row>
    <row r="305" spans="1:16" ht="12.75">
      <c r="A305" s="1352">
        <v>12433.49</v>
      </c>
      <c r="B305" s="1333" t="s">
        <v>1019</v>
      </c>
      <c r="C305" s="1333"/>
      <c r="D305" s="1333"/>
      <c r="E305" s="1377"/>
      <c r="F305" s="1448"/>
      <c r="G305" s="1437"/>
      <c r="H305" s="1437"/>
      <c r="I305" s="1437"/>
      <c r="J305" s="1437"/>
      <c r="K305" s="1437"/>
      <c r="L305" s="1437"/>
      <c r="M305" s="1435"/>
      <c r="N305" s="1460"/>
      <c r="O305" s="1430"/>
      <c r="P305" s="1430"/>
    </row>
    <row r="306" spans="1:16" ht="12.75">
      <c r="A306" s="1352">
        <v>1800</v>
      </c>
      <c r="B306" s="1333" t="s">
        <v>1020</v>
      </c>
      <c r="C306" s="1333"/>
      <c r="D306" s="1333"/>
      <c r="E306" s="1377"/>
      <c r="F306" s="1448"/>
      <c r="G306" s="1437"/>
      <c r="H306" s="1437"/>
      <c r="I306" s="1437"/>
      <c r="J306" s="1437"/>
      <c r="K306" s="1437"/>
      <c r="L306" s="1437"/>
      <c r="M306" s="1435"/>
      <c r="N306" s="1460"/>
      <c r="O306" s="1430"/>
      <c r="P306" s="1430"/>
    </row>
    <row r="307" spans="1:16" ht="12.75">
      <c r="A307" s="1352">
        <v>-45</v>
      </c>
      <c r="B307" s="1333" t="s">
        <v>307</v>
      </c>
      <c r="C307" s="1333"/>
      <c r="D307" s="1333"/>
      <c r="E307" s="1437"/>
      <c r="F307" s="1437"/>
      <c r="G307" s="1437"/>
      <c r="H307" s="1437"/>
      <c r="I307" s="1437"/>
      <c r="J307" s="1437"/>
      <c r="K307" s="1437"/>
      <c r="L307" s="1437"/>
      <c r="M307" s="1435"/>
      <c r="N307" s="1460"/>
      <c r="O307" s="1430"/>
      <c r="P307" s="1430"/>
    </row>
    <row r="308" spans="1:16" ht="12.75">
      <c r="A308" s="1352">
        <v>-43.11</v>
      </c>
      <c r="B308" s="1333" t="s">
        <v>1021</v>
      </c>
      <c r="C308" s="1333"/>
      <c r="D308" s="1333"/>
      <c r="E308" s="1437"/>
      <c r="F308" s="1437"/>
      <c r="G308" s="1437"/>
      <c r="H308" s="1437"/>
      <c r="I308" s="1437"/>
      <c r="J308" s="1437"/>
      <c r="K308" s="1437"/>
      <c r="L308" s="1437"/>
      <c r="M308" s="1435"/>
      <c r="N308" s="1460"/>
      <c r="O308" s="1430"/>
      <c r="P308" s="1430"/>
    </row>
    <row r="309" spans="1:16" ht="12.75">
      <c r="A309" s="1352">
        <v>-8200</v>
      </c>
      <c r="B309" s="1333" t="s">
        <v>1022</v>
      </c>
      <c r="C309" s="1333"/>
      <c r="D309" s="1333"/>
      <c r="E309" s="1437"/>
      <c r="F309" s="1437"/>
      <c r="G309" s="1437"/>
      <c r="H309" s="1437"/>
      <c r="I309" s="1437"/>
      <c r="J309" s="1437"/>
      <c r="K309" s="1437"/>
      <c r="L309" s="1437"/>
      <c r="M309" s="1435"/>
      <c r="N309" s="1460"/>
      <c r="O309" s="1430"/>
      <c r="P309" s="1430"/>
    </row>
    <row r="310" spans="1:16" ht="12.75">
      <c r="A310" s="1352">
        <v>-1436.84</v>
      </c>
      <c r="B310" s="1333" t="s">
        <v>1023</v>
      </c>
      <c r="C310" s="1333"/>
      <c r="D310" s="1333"/>
      <c r="E310" s="1437"/>
      <c r="F310" s="1437"/>
      <c r="G310" s="1437"/>
      <c r="H310" s="1437"/>
      <c r="I310" s="1437"/>
      <c r="J310" s="1437"/>
      <c r="K310" s="1437"/>
      <c r="L310" s="1437"/>
      <c r="M310" s="1435"/>
      <c r="N310" s="1460"/>
      <c r="O310" s="1430"/>
      <c r="P310" s="1430"/>
    </row>
    <row r="311" spans="1:16" ht="12.75">
      <c r="A311" s="1352">
        <v>-3760.98</v>
      </c>
      <c r="B311" s="1333" t="s">
        <v>1024</v>
      </c>
      <c r="C311" s="1333"/>
      <c r="D311" s="1333"/>
      <c r="E311" s="1437"/>
      <c r="F311" s="1437"/>
      <c r="G311" s="1437"/>
      <c r="H311" s="1437"/>
      <c r="I311" s="1437"/>
      <c r="J311" s="1437"/>
      <c r="K311" s="1437"/>
      <c r="L311" s="1437"/>
      <c r="M311" s="1435"/>
      <c r="N311" s="1460"/>
      <c r="O311" s="1430"/>
      <c r="P311" s="1430"/>
    </row>
    <row r="312" spans="1:16" ht="12.75">
      <c r="A312" s="1477">
        <v>-465.6</v>
      </c>
      <c r="B312" s="1469" t="s">
        <v>996</v>
      </c>
      <c r="C312" s="1469"/>
      <c r="D312" s="1333"/>
      <c r="E312" s="1437"/>
      <c r="F312" s="1437"/>
      <c r="G312" s="1437"/>
      <c r="H312" s="1437"/>
      <c r="I312" s="1437"/>
      <c r="J312" s="1437"/>
      <c r="K312" s="1437"/>
      <c r="L312" s="1437"/>
      <c r="M312" s="1435"/>
      <c r="N312" s="1460"/>
      <c r="O312" s="1430"/>
      <c r="P312" s="1430"/>
    </row>
    <row r="313" spans="1:16" ht="12.75">
      <c r="A313" s="1477">
        <v>-103.68</v>
      </c>
      <c r="B313" s="1469" t="s">
        <v>1025</v>
      </c>
      <c r="C313" s="1469"/>
      <c r="D313" s="1333"/>
      <c r="E313" s="1437"/>
      <c r="F313" s="1437"/>
      <c r="G313" s="1437"/>
      <c r="H313" s="1437"/>
      <c r="I313" s="1437"/>
      <c r="J313" s="1437"/>
      <c r="K313" s="1437"/>
      <c r="L313" s="1437"/>
      <c r="M313" s="1435"/>
      <c r="N313" s="1460"/>
      <c r="O313" s="1430"/>
      <c r="P313" s="1430"/>
    </row>
    <row r="314" spans="1:16" ht="12.75">
      <c r="A314" s="1477">
        <v>583</v>
      </c>
      <c r="B314" s="1469" t="s">
        <v>1026</v>
      </c>
      <c r="C314" s="1469"/>
      <c r="D314" s="1333"/>
      <c r="E314" s="1437"/>
      <c r="F314" s="1437"/>
      <c r="G314" s="1442"/>
      <c r="H314" s="1437"/>
      <c r="I314" s="1437"/>
      <c r="J314" s="1437"/>
      <c r="K314" s="1437"/>
      <c r="L314" s="1437"/>
      <c r="M314" s="1435"/>
      <c r="N314" s="1460"/>
      <c r="O314" s="1430"/>
      <c r="P314" s="1430"/>
    </row>
    <row r="315" spans="1:16" ht="12.75">
      <c r="A315" s="1477">
        <v>-1803.84</v>
      </c>
      <c r="B315" s="1469" t="s">
        <v>1027</v>
      </c>
      <c r="C315" s="1469"/>
      <c r="D315" s="1333"/>
      <c r="E315" s="1437"/>
      <c r="F315" s="1442"/>
      <c r="G315" s="1437"/>
      <c r="H315" s="1437"/>
      <c r="I315" s="1437"/>
      <c r="J315" s="1437"/>
      <c r="K315" s="1437"/>
      <c r="L315" s="1437"/>
      <c r="M315" s="1435"/>
      <c r="N315" s="1460"/>
      <c r="O315" s="1430"/>
      <c r="P315" s="1430"/>
    </row>
    <row r="316" spans="1:16" ht="12.75">
      <c r="A316" s="1477">
        <v>-340.77</v>
      </c>
      <c r="B316" s="1470" t="s">
        <v>276</v>
      </c>
      <c r="C316" s="1469"/>
      <c r="D316" s="1333"/>
      <c r="E316" s="1437"/>
      <c r="F316" s="1437"/>
      <c r="G316" s="1437"/>
      <c r="H316" s="1437"/>
      <c r="I316" s="1437"/>
      <c r="J316" s="1437"/>
      <c r="K316" s="1437"/>
      <c r="L316" s="1437"/>
      <c r="M316" s="1479">
        <v>340.77</v>
      </c>
      <c r="N316" s="1460"/>
      <c r="O316" s="1430"/>
      <c r="P316" s="1430"/>
    </row>
    <row r="317" spans="1:16" ht="12.75">
      <c r="A317" s="1439">
        <v>-11282.11</v>
      </c>
      <c r="B317" s="1430" t="s">
        <v>58</v>
      </c>
      <c r="C317" s="1430"/>
      <c r="D317" s="1333"/>
      <c r="E317" s="1437"/>
      <c r="F317" s="1437"/>
      <c r="G317" s="1476"/>
      <c r="H317" s="1437"/>
      <c r="I317" s="1442"/>
      <c r="J317" s="1437"/>
      <c r="K317" s="1437"/>
      <c r="L317" s="1437"/>
      <c r="M317" s="1435"/>
      <c r="N317" s="1460"/>
      <c r="O317" s="1430"/>
      <c r="P317" s="1430"/>
    </row>
    <row r="318" spans="1:16" ht="12.75">
      <c r="A318" s="1439">
        <v>-119.69</v>
      </c>
      <c r="B318" s="1430" t="s">
        <v>51</v>
      </c>
      <c r="C318" s="1430"/>
      <c r="D318" s="1333"/>
      <c r="E318" s="1437"/>
      <c r="F318" s="1476"/>
      <c r="G318" s="1437"/>
      <c r="H318" s="1437"/>
      <c r="I318" s="1442"/>
      <c r="J318" s="1437"/>
      <c r="K318" s="1437"/>
      <c r="L318" s="1437"/>
      <c r="M318" s="1435"/>
      <c r="N318" s="1460"/>
      <c r="O318" s="1430"/>
      <c r="P318" s="1430"/>
    </row>
    <row r="319" spans="1:16" ht="12.75">
      <c r="A319" s="1439">
        <v>2484.58</v>
      </c>
      <c r="B319" s="1430" t="s">
        <v>26</v>
      </c>
      <c r="C319" s="1430"/>
      <c r="D319" s="1333"/>
      <c r="E319" s="1437"/>
      <c r="F319" s="1437"/>
      <c r="G319" s="1437"/>
      <c r="H319" s="1437"/>
      <c r="I319" s="1442"/>
      <c r="J319" s="1437"/>
      <c r="K319" s="1437"/>
      <c r="L319" s="1437"/>
      <c r="M319" s="1435"/>
      <c r="N319" s="1460"/>
      <c r="O319" s="1430"/>
      <c r="P319" s="1430"/>
    </row>
    <row r="320" spans="1:16" ht="12.75">
      <c r="A320" s="1439">
        <v>14763.64</v>
      </c>
      <c r="B320" s="1430" t="s">
        <v>16</v>
      </c>
      <c r="C320" s="1430"/>
      <c r="D320" s="1333"/>
      <c r="E320" s="1437"/>
      <c r="F320" s="1437"/>
      <c r="G320" s="1437"/>
      <c r="H320" s="1437"/>
      <c r="I320" s="1442"/>
      <c r="J320" s="1437"/>
      <c r="K320" s="1437"/>
      <c r="L320" s="1437"/>
      <c r="M320" s="1435"/>
      <c r="N320" s="1460"/>
      <c r="O320" s="1430"/>
      <c r="P320" s="1430"/>
    </row>
    <row r="321" spans="1:16" ht="12.75">
      <c r="A321" s="1439">
        <v>-4</v>
      </c>
      <c r="B321" s="1430" t="s">
        <v>52</v>
      </c>
      <c r="C321" s="1430"/>
      <c r="D321" s="1333"/>
      <c r="E321" s="1437"/>
      <c r="F321" s="1437"/>
      <c r="G321" s="1437"/>
      <c r="H321" s="1437"/>
      <c r="I321" s="1442"/>
      <c r="J321" s="1437"/>
      <c r="K321" s="1437"/>
      <c r="L321" s="1437"/>
      <c r="M321" s="1435"/>
      <c r="N321" s="1480">
        <v>4</v>
      </c>
      <c r="O321" s="1430"/>
      <c r="P321" s="1430"/>
    </row>
    <row r="322" spans="1:16" ht="12.75">
      <c r="A322" s="1439">
        <v>-3670.98</v>
      </c>
      <c r="B322" s="1430" t="s">
        <v>42</v>
      </c>
      <c r="C322" s="1430"/>
      <c r="D322" s="1333"/>
      <c r="E322" s="1437"/>
      <c r="F322" s="1437"/>
      <c r="G322" s="1437"/>
      <c r="H322" s="1437"/>
      <c r="I322" s="1442"/>
      <c r="J322" s="1437"/>
      <c r="K322" s="1437"/>
      <c r="L322" s="1437"/>
      <c r="M322" s="1435"/>
      <c r="N322" s="1460"/>
      <c r="O322" s="1430"/>
      <c r="P322" s="1430"/>
    </row>
    <row r="323" spans="1:16" ht="12.75">
      <c r="A323" s="1439">
        <v>0.5</v>
      </c>
      <c r="B323" s="1430" t="s">
        <v>264</v>
      </c>
      <c r="C323" s="1430"/>
      <c r="D323" s="1484"/>
      <c r="E323" s="1437"/>
      <c r="F323" s="1437"/>
      <c r="G323" s="1437"/>
      <c r="H323" s="1437"/>
      <c r="I323" s="1442"/>
      <c r="J323" s="1437"/>
      <c r="K323" s="1437"/>
      <c r="L323" s="1437"/>
      <c r="M323" s="1435"/>
      <c r="N323" s="1460"/>
      <c r="O323" s="1430"/>
      <c r="P323" s="1485"/>
    </row>
    <row r="324" spans="1:16" ht="12.75">
      <c r="A324" s="1327">
        <v>11275.7</v>
      </c>
      <c r="B324" t="s">
        <v>706</v>
      </c>
      <c r="C324" s="1430"/>
      <c r="D324" s="1333"/>
      <c r="E324" s="1437"/>
      <c r="F324" s="1437"/>
      <c r="G324" s="1437"/>
      <c r="H324" s="1437"/>
      <c r="I324" s="1442"/>
      <c r="J324" s="1437"/>
      <c r="K324" s="1437"/>
      <c r="L324" s="1437"/>
      <c r="M324" s="1435"/>
      <c r="N324" s="1460"/>
      <c r="O324" s="1430"/>
      <c r="P324" s="1430"/>
    </row>
    <row r="325" spans="1:21" ht="12.75">
      <c r="A325" s="1327">
        <v>1200.14</v>
      </c>
      <c r="B325" t="s">
        <v>727</v>
      </c>
      <c r="C325" s="1430"/>
      <c r="D325" s="1333"/>
      <c r="E325" s="1437"/>
      <c r="F325" s="1437"/>
      <c r="G325" s="1437"/>
      <c r="H325" s="1437"/>
      <c r="I325" s="1442"/>
      <c r="J325" s="1437"/>
      <c r="K325" s="1437"/>
      <c r="L325" s="1437"/>
      <c r="M325" s="1435"/>
      <c r="N325" s="1460"/>
      <c r="O325" s="1430"/>
      <c r="P325" s="1430"/>
      <c r="T325" s="1241"/>
      <c r="U325" s="1241"/>
    </row>
    <row r="326" spans="1:21" ht="12.75">
      <c r="A326" s="1327">
        <v>-14763.34</v>
      </c>
      <c r="B326" t="s">
        <v>726</v>
      </c>
      <c r="C326" s="1430"/>
      <c r="D326" s="1333"/>
      <c r="E326" s="1437"/>
      <c r="F326" s="1437"/>
      <c r="G326" s="1437"/>
      <c r="H326" s="1437"/>
      <c r="I326" s="1442"/>
      <c r="J326" s="1437"/>
      <c r="K326" s="1437"/>
      <c r="L326" s="1437"/>
      <c r="M326" s="1435"/>
      <c r="N326" s="1460"/>
      <c r="O326" s="1430"/>
      <c r="P326" s="1430"/>
      <c r="T326" s="1241"/>
      <c r="U326" s="1241"/>
    </row>
    <row r="327" spans="1:21" ht="12.75">
      <c r="A327" s="1327">
        <v>-0.4</v>
      </c>
      <c r="B327" t="s">
        <v>264</v>
      </c>
      <c r="C327" s="1430"/>
      <c r="D327" s="1333"/>
      <c r="E327" s="1437"/>
      <c r="F327" s="1437"/>
      <c r="G327" s="1437"/>
      <c r="H327" s="1437"/>
      <c r="I327" s="1442"/>
      <c r="J327" s="1437"/>
      <c r="K327" s="1437"/>
      <c r="L327" s="1437"/>
      <c r="M327" s="1435"/>
      <c r="N327" s="1460"/>
      <c r="O327" s="1430"/>
      <c r="P327" s="1430"/>
      <c r="T327" s="1241"/>
      <c r="U327" s="1241"/>
    </row>
    <row r="328" spans="1:21" ht="12.75">
      <c r="A328" s="1327">
        <f>-388-10534.8</f>
        <v>-10922.8</v>
      </c>
      <c r="B328" t="s">
        <v>721</v>
      </c>
      <c r="C328" s="1430"/>
      <c r="D328" s="1333"/>
      <c r="E328" s="1437"/>
      <c r="F328" s="1437"/>
      <c r="G328" s="1437"/>
      <c r="H328" s="1437"/>
      <c r="I328" s="1442"/>
      <c r="J328" s="1437"/>
      <c r="K328" s="1437"/>
      <c r="L328" s="1437"/>
      <c r="M328" s="1435"/>
      <c r="N328" s="1460"/>
      <c r="O328" s="1430"/>
      <c r="P328" s="1430"/>
      <c r="T328" s="1241"/>
      <c r="U328" s="1241"/>
    </row>
    <row r="329" spans="1:21" ht="12.75">
      <c r="A329" s="1327">
        <v>26111.04</v>
      </c>
      <c r="B329" t="s">
        <v>721</v>
      </c>
      <c r="C329" s="1430"/>
      <c r="D329" s="1333"/>
      <c r="E329" s="1437"/>
      <c r="F329" s="1437"/>
      <c r="G329" s="1437"/>
      <c r="H329" s="1437"/>
      <c r="I329" s="1442"/>
      <c r="J329" s="1437"/>
      <c r="K329" s="1437"/>
      <c r="L329" s="1437"/>
      <c r="M329" s="1435"/>
      <c r="N329" s="1460"/>
      <c r="O329" s="1430"/>
      <c r="P329" s="1430"/>
      <c r="T329" s="1241"/>
      <c r="U329" s="1241"/>
    </row>
    <row r="330" spans="1:21" ht="12.75">
      <c r="A330">
        <v>-1050</v>
      </c>
      <c r="B330" t="s">
        <v>722</v>
      </c>
      <c r="C330" s="1430"/>
      <c r="D330" s="1333"/>
      <c r="E330" s="1437"/>
      <c r="F330" s="1437"/>
      <c r="G330" s="1437"/>
      <c r="H330" s="1437"/>
      <c r="I330" s="1442"/>
      <c r="J330" s="1437"/>
      <c r="K330" s="1437"/>
      <c r="L330" s="1437"/>
      <c r="M330" s="1435"/>
      <c r="N330" s="1460"/>
      <c r="O330" s="1430"/>
      <c r="P330" s="1430"/>
      <c r="T330" s="1241"/>
      <c r="U330" s="1241"/>
    </row>
    <row r="331" spans="1:21" ht="12.75">
      <c r="A331">
        <v>1100</v>
      </c>
      <c r="B331" t="s">
        <v>722</v>
      </c>
      <c r="C331" s="1430"/>
      <c r="D331" s="1333"/>
      <c r="E331" s="1437"/>
      <c r="F331" s="1437"/>
      <c r="G331" s="1437"/>
      <c r="H331" s="1437"/>
      <c r="I331" s="1442"/>
      <c r="J331" s="1437"/>
      <c r="K331" s="1437"/>
      <c r="L331" s="1437"/>
      <c r="M331" s="1435"/>
      <c r="N331" s="1460"/>
      <c r="O331" s="1430"/>
      <c r="P331" s="1430"/>
      <c r="T331" s="1241"/>
      <c r="U331" s="1241"/>
    </row>
    <row r="332" spans="1:21" ht="12.75">
      <c r="A332" s="1327">
        <v>-30757.77</v>
      </c>
      <c r="B332" t="s">
        <v>713</v>
      </c>
      <c r="C332" s="1430"/>
      <c r="D332" s="1333"/>
      <c r="E332" s="1437"/>
      <c r="F332" s="1437"/>
      <c r="G332" s="1437"/>
      <c r="H332" s="1437"/>
      <c r="I332" s="1442"/>
      <c r="J332" s="1437"/>
      <c r="K332" s="1437"/>
      <c r="L332" s="1437"/>
      <c r="M332" s="1435"/>
      <c r="N332" s="1460"/>
      <c r="O332" s="1430"/>
      <c r="P332" s="1462">
        <f>-A332</f>
        <v>30757.77</v>
      </c>
      <c r="T332" s="1241"/>
      <c r="U332" s="1241"/>
    </row>
    <row r="333" spans="1:21" ht="12.75">
      <c r="A333" s="1327">
        <v>-5194</v>
      </c>
      <c r="B333" t="s">
        <v>728</v>
      </c>
      <c r="C333" s="1430"/>
      <c r="D333" s="1333"/>
      <c r="E333" s="1437"/>
      <c r="F333" s="1437"/>
      <c r="G333" s="1437"/>
      <c r="H333" s="1437"/>
      <c r="I333" s="1442"/>
      <c r="J333" s="1437"/>
      <c r="K333" s="1437"/>
      <c r="L333" s="1437"/>
      <c r="M333" s="1435"/>
      <c r="N333" s="1460"/>
      <c r="O333" s="1430"/>
      <c r="P333" s="1430"/>
      <c r="Q333" s="1438">
        <f>-A333</f>
        <v>5194</v>
      </c>
      <c r="T333" s="1241"/>
      <c r="U333" s="1241"/>
    </row>
    <row r="334" spans="1:21" ht="12.75">
      <c r="A334">
        <v>-15974</v>
      </c>
      <c r="B334" t="s">
        <v>729</v>
      </c>
      <c r="C334" s="1430"/>
      <c r="D334" s="1333"/>
      <c r="E334" s="1437"/>
      <c r="F334" s="1449"/>
      <c r="G334" s="1437">
        <f>-A334</f>
        <v>15974</v>
      </c>
      <c r="H334" s="1437"/>
      <c r="I334" s="1442"/>
      <c r="J334" s="1437"/>
      <c r="K334" s="1437"/>
      <c r="L334" s="1437"/>
      <c r="M334" s="1435"/>
      <c r="N334" s="1460"/>
      <c r="O334" s="1430"/>
      <c r="P334" s="1430"/>
      <c r="T334" s="1241"/>
      <c r="U334" s="1241"/>
    </row>
    <row r="335" spans="1:21" ht="12.75">
      <c r="A335" s="1327">
        <v>-7232.3</v>
      </c>
      <c r="B335" t="s">
        <v>730</v>
      </c>
      <c r="C335" s="1430"/>
      <c r="D335" s="1333"/>
      <c r="E335" s="1437"/>
      <c r="F335" s="1449">
        <f>-A335</f>
        <v>7232.3</v>
      </c>
      <c r="G335" s="1449"/>
      <c r="H335" s="1437"/>
      <c r="I335" s="1442"/>
      <c r="J335" s="1437"/>
      <c r="K335" s="1437"/>
      <c r="L335" s="1437"/>
      <c r="M335" s="1435"/>
      <c r="N335" s="1460"/>
      <c r="O335" s="1430"/>
      <c r="P335" s="1430"/>
      <c r="T335" s="1241"/>
      <c r="U335" s="1241"/>
    </row>
    <row r="336" spans="1:21" ht="12.75">
      <c r="A336" s="1352">
        <f>+SUM(A301:A335)</f>
        <v>-36891.23</v>
      </c>
      <c r="B336" s="1333" t="s">
        <v>309</v>
      </c>
      <c r="C336" s="1333"/>
      <c r="D336" s="1333"/>
      <c r="E336" s="1437"/>
      <c r="F336" s="1437"/>
      <c r="G336" s="1437"/>
      <c r="H336" s="1437"/>
      <c r="I336" s="1437"/>
      <c r="J336" s="1437"/>
      <c r="K336" s="1437"/>
      <c r="L336" s="1437"/>
      <c r="M336" s="1435"/>
      <c r="N336" s="1460"/>
      <c r="O336" s="1430"/>
      <c r="P336" s="1430"/>
      <c r="T336" s="1241"/>
      <c r="U336" s="1241"/>
    </row>
    <row r="337" spans="1:21" ht="12.75">
      <c r="A337" s="1352"/>
      <c r="B337" s="1333"/>
      <c r="C337" s="1333"/>
      <c r="D337" s="1333"/>
      <c r="E337" s="1437"/>
      <c r="F337" s="1437"/>
      <c r="G337" s="1437"/>
      <c r="H337" s="1437"/>
      <c r="I337" s="1437"/>
      <c r="J337" s="1437"/>
      <c r="K337" s="1437"/>
      <c r="L337" s="1437"/>
      <c r="M337" s="1435"/>
      <c r="N337" s="1460"/>
      <c r="O337" s="1430"/>
      <c r="P337" s="1430"/>
      <c r="T337" s="1241"/>
      <c r="U337" s="1241"/>
    </row>
    <row r="338" spans="1:21" ht="13.5" thickBot="1">
      <c r="A338" s="1352"/>
      <c r="B338" s="1333"/>
      <c r="C338" s="1333"/>
      <c r="D338" s="1333"/>
      <c r="E338" s="1437"/>
      <c r="F338" s="1437"/>
      <c r="G338" s="1437"/>
      <c r="H338" s="1437"/>
      <c r="I338" s="1437"/>
      <c r="J338" s="1437"/>
      <c r="K338" s="1437"/>
      <c r="L338" s="1437"/>
      <c r="M338" s="1435"/>
      <c r="N338" s="1460"/>
      <c r="O338" s="1430"/>
      <c r="P338" s="1430"/>
      <c r="T338" s="1241"/>
      <c r="U338" s="1241"/>
    </row>
    <row r="339" spans="1:21" ht="13.5" thickBot="1">
      <c r="A339" s="2049" t="s">
        <v>53</v>
      </c>
      <c r="B339" s="2050"/>
      <c r="C339" s="2050"/>
      <c r="D339" s="2051"/>
      <c r="E339" s="1437"/>
      <c r="F339" s="1437"/>
      <c r="G339" s="1437"/>
      <c r="H339" s="1437"/>
      <c r="I339" s="1437"/>
      <c r="J339" s="1437"/>
      <c r="K339" s="1437"/>
      <c r="L339" s="1437"/>
      <c r="M339" s="1435"/>
      <c r="N339" s="1460"/>
      <c r="O339" s="1430"/>
      <c r="P339" s="1430"/>
      <c r="T339" s="1241"/>
      <c r="U339" s="1241"/>
    </row>
    <row r="340" spans="1:21" ht="12.75">
      <c r="A340" s="1436"/>
      <c r="B340" s="1309"/>
      <c r="C340" s="1430"/>
      <c r="D340" s="1239"/>
      <c r="E340" s="1437"/>
      <c r="F340" s="1437"/>
      <c r="G340" s="1437"/>
      <c r="H340" s="1437"/>
      <c r="I340" s="1437"/>
      <c r="J340" s="1437"/>
      <c r="K340" s="1437"/>
      <c r="L340" s="1437"/>
      <c r="M340" s="1435"/>
      <c r="N340" s="1460"/>
      <c r="O340" s="1430"/>
      <c r="P340" s="1430"/>
      <c r="T340" s="1241"/>
      <c r="U340" s="1241"/>
    </row>
    <row r="341" spans="1:21" ht="12.75">
      <c r="A341" s="1436">
        <v>0</v>
      </c>
      <c r="B341" s="1396" t="s">
        <v>257</v>
      </c>
      <c r="C341" s="1430"/>
      <c r="D341" s="1239"/>
      <c r="E341" s="1437"/>
      <c r="F341" s="1437"/>
      <c r="G341" s="1437"/>
      <c r="H341" s="1437"/>
      <c r="I341" s="1448"/>
      <c r="J341" s="1437"/>
      <c r="K341" s="1437"/>
      <c r="L341" s="1437"/>
      <c r="M341" s="1435"/>
      <c r="N341" s="1460"/>
      <c r="O341" s="1430"/>
      <c r="P341" s="1430"/>
      <c r="T341" s="1241"/>
      <c r="U341" s="1241"/>
    </row>
    <row r="342" spans="1:21" ht="12.75">
      <c r="A342" s="1352"/>
      <c r="B342" s="1333"/>
      <c r="C342" s="1333"/>
      <c r="D342" s="1333"/>
      <c r="E342" s="1437"/>
      <c r="F342" s="1437"/>
      <c r="G342" s="1437"/>
      <c r="H342" s="1437"/>
      <c r="I342" s="1437"/>
      <c r="J342" s="1437"/>
      <c r="K342" s="1437"/>
      <c r="L342" s="1437"/>
      <c r="M342" s="1435"/>
      <c r="N342" s="1460"/>
      <c r="O342" s="1430"/>
      <c r="P342" s="1430"/>
      <c r="T342" s="1241"/>
      <c r="U342" s="1241"/>
    </row>
    <row r="343" spans="1:21" ht="13.5" thickBot="1">
      <c r="A343" s="1352"/>
      <c r="B343" s="1333"/>
      <c r="C343" s="1333"/>
      <c r="D343" s="1333"/>
      <c r="E343" s="1437"/>
      <c r="F343" s="1437"/>
      <c r="G343" s="1437"/>
      <c r="H343" s="1437"/>
      <c r="I343" s="1437"/>
      <c r="J343" s="1437"/>
      <c r="K343" s="1437"/>
      <c r="L343" s="1437"/>
      <c r="M343" s="1435"/>
      <c r="N343" s="1460"/>
      <c r="O343" s="1430"/>
      <c r="P343" s="1430"/>
      <c r="T343" s="1241"/>
      <c r="U343" s="1241"/>
    </row>
    <row r="344" spans="1:21" ht="13.5" thickBot="1">
      <c r="A344" s="2043" t="s">
        <v>266</v>
      </c>
      <c r="B344" s="2037"/>
      <c r="C344" s="2038"/>
      <c r="D344" s="1335"/>
      <c r="E344" s="1437"/>
      <c r="F344" s="1437"/>
      <c r="G344" s="1437"/>
      <c r="H344" s="1437"/>
      <c r="I344" s="1437"/>
      <c r="J344" s="1437"/>
      <c r="K344" s="1437"/>
      <c r="L344" s="1437"/>
      <c r="M344" s="1435"/>
      <c r="N344" s="1460"/>
      <c r="O344" s="1430"/>
      <c r="P344" s="1430"/>
      <c r="T344" s="1241"/>
      <c r="U344" s="1241"/>
    </row>
    <row r="345" spans="1:21" ht="12.75">
      <c r="A345" s="1469"/>
      <c r="B345" s="1469"/>
      <c r="C345" s="1469"/>
      <c r="D345" s="1469"/>
      <c r="E345" s="1437"/>
      <c r="F345" s="1437"/>
      <c r="G345" s="1437"/>
      <c r="H345" s="1437"/>
      <c r="I345" s="1437"/>
      <c r="J345" s="1437"/>
      <c r="K345" s="1437"/>
      <c r="L345" s="1437"/>
      <c r="M345" s="1435"/>
      <c r="N345" s="1460"/>
      <c r="O345" s="1430"/>
      <c r="P345" s="1430"/>
      <c r="T345" s="1241"/>
      <c r="U345" s="1241"/>
    </row>
    <row r="346" spans="1:21" ht="12.75">
      <c r="A346" s="1335">
        <v>-163.12</v>
      </c>
      <c r="B346" s="1333" t="s">
        <v>310</v>
      </c>
      <c r="C346" s="1333"/>
      <c r="D346" s="1333"/>
      <c r="E346" s="1448"/>
      <c r="F346" s="1437"/>
      <c r="G346" s="1437"/>
      <c r="H346" s="1448"/>
      <c r="I346" s="1437"/>
      <c r="J346" s="1449">
        <v>163.12</v>
      </c>
      <c r="K346" s="1437"/>
      <c r="L346" s="1437"/>
      <c r="M346" s="1435"/>
      <c r="N346" s="1460"/>
      <c r="O346" s="1430"/>
      <c r="P346" s="1430"/>
      <c r="T346" s="1241"/>
      <c r="U346" s="1241"/>
    </row>
    <row r="347" spans="1:21" ht="12.75">
      <c r="A347" s="1335">
        <v>-7.16</v>
      </c>
      <c r="B347" s="1333" t="s">
        <v>311</v>
      </c>
      <c r="C347" s="1333"/>
      <c r="D347" s="1333"/>
      <c r="E347" s="1448"/>
      <c r="F347" s="1437"/>
      <c r="G347" s="1437"/>
      <c r="H347" s="1448"/>
      <c r="I347" s="1437"/>
      <c r="J347" s="1437"/>
      <c r="K347" s="1449">
        <v>7.16</v>
      </c>
      <c r="L347" s="1437"/>
      <c r="M347" s="1435"/>
      <c r="N347" s="1460"/>
      <c r="O347" s="1430"/>
      <c r="P347" s="1430"/>
      <c r="T347" s="1241"/>
      <c r="U347" s="1241"/>
    </row>
    <row r="348" spans="1:21" ht="12.75">
      <c r="A348" s="1335">
        <v>20</v>
      </c>
      <c r="B348" s="1333" t="s">
        <v>312</v>
      </c>
      <c r="C348" s="1333"/>
      <c r="D348" s="1333"/>
      <c r="E348" s="1448"/>
      <c r="F348" s="1437"/>
      <c r="G348" s="1437"/>
      <c r="H348" s="1448"/>
      <c r="I348" s="1437"/>
      <c r="J348" s="1437"/>
      <c r="K348" s="1437"/>
      <c r="L348" s="1449">
        <v>20</v>
      </c>
      <c r="M348" s="1435"/>
      <c r="N348" s="1460"/>
      <c r="O348" s="1430"/>
      <c r="P348" s="1430"/>
      <c r="T348" s="1241"/>
      <c r="U348" s="1241"/>
    </row>
    <row r="349" spans="1:21" ht="12.75">
      <c r="A349" s="1335">
        <v>-729.72</v>
      </c>
      <c r="B349" s="1333" t="s">
        <v>1028</v>
      </c>
      <c r="C349" s="1333"/>
      <c r="D349" s="1333"/>
      <c r="E349" s="1448"/>
      <c r="F349" s="1437"/>
      <c r="G349" s="1437"/>
      <c r="H349" s="1448"/>
      <c r="I349" s="1437"/>
      <c r="J349" s="1437"/>
      <c r="K349" s="1437"/>
      <c r="L349" s="1437"/>
      <c r="M349" s="1435"/>
      <c r="N349" s="1460"/>
      <c r="O349" s="1430"/>
      <c r="P349" s="1430"/>
      <c r="T349" s="1241"/>
      <c r="U349" s="1241"/>
    </row>
    <row r="350" spans="1:21" ht="12.75">
      <c r="A350" s="1335">
        <v>-1028.39</v>
      </c>
      <c r="B350" s="1333" t="s">
        <v>1029</v>
      </c>
      <c r="C350" s="1333"/>
      <c r="D350" s="1333"/>
      <c r="E350" s="1448"/>
      <c r="F350" s="1437"/>
      <c r="G350" s="1437"/>
      <c r="H350" s="1437"/>
      <c r="I350" s="1437"/>
      <c r="J350" s="1437"/>
      <c r="K350" s="1437"/>
      <c r="L350" s="1437"/>
      <c r="M350" s="1435"/>
      <c r="N350" s="1460"/>
      <c r="O350" s="1430"/>
      <c r="P350" s="1430"/>
      <c r="T350" s="1241"/>
      <c r="U350" s="1241"/>
    </row>
    <row r="351" spans="1:21" ht="12.75">
      <c r="A351" s="1335">
        <v>-320.51</v>
      </c>
      <c r="B351" s="1333" t="s">
        <v>313</v>
      </c>
      <c r="C351" s="1323"/>
      <c r="D351" s="1323"/>
      <c r="E351" s="1418"/>
      <c r="F351" s="1376"/>
      <c r="G351" s="1437"/>
      <c r="H351" s="1437"/>
      <c r="I351" s="1437"/>
      <c r="J351" s="1437"/>
      <c r="K351" s="1437"/>
      <c r="L351" s="1437"/>
      <c r="M351" s="1435"/>
      <c r="N351" s="1460"/>
      <c r="O351" s="1430"/>
      <c r="P351" s="1430"/>
      <c r="T351" s="1241"/>
      <c r="U351" s="1241"/>
    </row>
    <row r="352" spans="1:21" ht="12.75">
      <c r="A352" s="1335">
        <v>-317</v>
      </c>
      <c r="B352" s="1333" t="s">
        <v>997</v>
      </c>
      <c r="C352" s="1323"/>
      <c r="D352" s="1323"/>
      <c r="E352" s="1418"/>
      <c r="F352" s="1377"/>
      <c r="G352" s="1437"/>
      <c r="H352" s="1437"/>
      <c r="I352" s="1437"/>
      <c r="J352" s="1437"/>
      <c r="K352" s="1437"/>
      <c r="L352" s="1437"/>
      <c r="M352" s="1435"/>
      <c r="N352" s="1460"/>
      <c r="O352" s="1430"/>
      <c r="P352" s="1430"/>
      <c r="T352" s="1241"/>
      <c r="U352" s="1241"/>
    </row>
    <row r="353" spans="1:21" ht="12.75">
      <c r="A353" s="1335">
        <v>-218.71</v>
      </c>
      <c r="B353" s="1333" t="s">
        <v>997</v>
      </c>
      <c r="C353" s="1323"/>
      <c r="D353" s="1323"/>
      <c r="E353" s="1418"/>
      <c r="F353" s="1377"/>
      <c r="G353" s="1437"/>
      <c r="H353" s="1437"/>
      <c r="I353" s="1437"/>
      <c r="J353" s="1437"/>
      <c r="K353" s="1437"/>
      <c r="L353" s="1437"/>
      <c r="M353" s="1435"/>
      <c r="N353" s="1460"/>
      <c r="O353" s="1430"/>
      <c r="P353" s="1430"/>
      <c r="T353" s="1241"/>
      <c r="U353" s="1241"/>
    </row>
    <row r="354" spans="1:21" ht="12.75">
      <c r="A354" s="1335">
        <v>0.03</v>
      </c>
      <c r="B354" s="1333" t="s">
        <v>530</v>
      </c>
      <c r="C354" s="1323"/>
      <c r="D354" s="1323"/>
      <c r="E354" s="1418"/>
      <c r="F354" s="1437"/>
      <c r="G354" s="1437"/>
      <c r="H354" s="1437"/>
      <c r="I354" s="1437"/>
      <c r="J354" s="1437"/>
      <c r="K354" s="1437"/>
      <c r="L354" s="1437"/>
      <c r="M354" s="1435"/>
      <c r="N354" s="1460"/>
      <c r="O354" s="1430"/>
      <c r="P354" s="1430"/>
      <c r="T354" s="1241"/>
      <c r="U354" s="1241"/>
    </row>
    <row r="355" spans="1:21" ht="12.75">
      <c r="A355" s="1322">
        <v>-222.68</v>
      </c>
      <c r="B355" s="1323" t="s">
        <v>288</v>
      </c>
      <c r="C355" s="1323"/>
      <c r="D355" s="1322"/>
      <c r="E355" s="1448"/>
      <c r="F355" s="1437"/>
      <c r="G355" s="1437"/>
      <c r="H355" s="1437"/>
      <c r="I355" s="1437"/>
      <c r="J355" s="1437"/>
      <c r="K355" s="1437"/>
      <c r="L355" s="1437"/>
      <c r="M355" s="1452">
        <v>222.68</v>
      </c>
      <c r="N355" s="1460"/>
      <c r="O355" s="1430"/>
      <c r="P355" s="1430"/>
      <c r="T355" s="1241"/>
      <c r="U355" s="1241"/>
    </row>
    <row r="356" spans="1:21" ht="12.75">
      <c r="A356" s="1322">
        <v>100</v>
      </c>
      <c r="B356" s="1323" t="s">
        <v>998</v>
      </c>
      <c r="C356" s="1323"/>
      <c r="D356" s="1322"/>
      <c r="E356" s="1448"/>
      <c r="F356" s="1437"/>
      <c r="G356" s="1437"/>
      <c r="H356" s="1437"/>
      <c r="I356" s="1437"/>
      <c r="J356" s="1437"/>
      <c r="K356" s="1437"/>
      <c r="L356" s="1437"/>
      <c r="M356" s="1435"/>
      <c r="N356" s="1460"/>
      <c r="O356" s="1430"/>
      <c r="P356" s="1430"/>
      <c r="T356" s="1241"/>
      <c r="U356" s="1241"/>
    </row>
    <row r="357" spans="1:21" ht="12.75">
      <c r="A357" s="1322">
        <v>-8476.29</v>
      </c>
      <c r="B357" s="1323" t="s">
        <v>996</v>
      </c>
      <c r="C357" s="1323"/>
      <c r="D357" s="1323"/>
      <c r="E357" s="1448"/>
      <c r="F357" s="1437"/>
      <c r="G357" s="1437"/>
      <c r="H357" s="1437"/>
      <c r="I357" s="1437"/>
      <c r="J357" s="1437"/>
      <c r="K357" s="1437"/>
      <c r="L357" s="1437"/>
      <c r="M357" s="1435"/>
      <c r="N357" s="1460"/>
      <c r="O357" s="1430"/>
      <c r="P357" s="1430"/>
      <c r="T357" s="1241"/>
      <c r="U357" s="1241"/>
    </row>
    <row r="358" spans="1:21" ht="12.75">
      <c r="A358" s="1335">
        <v>1.55</v>
      </c>
      <c r="B358" s="2056" t="s">
        <v>293</v>
      </c>
      <c r="C358" s="2056"/>
      <c r="D358" s="2056"/>
      <c r="E358" s="1418"/>
      <c r="F358" s="1425"/>
      <c r="G358" s="1437"/>
      <c r="H358" s="1437"/>
      <c r="I358" s="1437"/>
      <c r="J358" s="1437"/>
      <c r="K358" s="1437"/>
      <c r="L358" s="1437"/>
      <c r="M358" s="1435"/>
      <c r="N358" s="1460"/>
      <c r="O358" s="1430"/>
      <c r="P358" s="1430"/>
      <c r="T358" s="1241"/>
      <c r="U358" s="1241"/>
    </row>
    <row r="359" spans="1:21" ht="12.75">
      <c r="A359" s="1322">
        <v>0</v>
      </c>
      <c r="B359" s="1323" t="s">
        <v>267</v>
      </c>
      <c r="C359" s="1323"/>
      <c r="D359" s="1323"/>
      <c r="E359" s="1448"/>
      <c r="F359" s="1437"/>
      <c r="G359" s="1437"/>
      <c r="H359" s="1437"/>
      <c r="I359" s="1437"/>
      <c r="J359" s="1437"/>
      <c r="K359" s="1437"/>
      <c r="L359" s="1437"/>
      <c r="M359" s="1435"/>
      <c r="N359" s="1460"/>
      <c r="O359" s="1430"/>
      <c r="P359" s="1430"/>
      <c r="T359" s="1241"/>
      <c r="U359" s="1241"/>
    </row>
    <row r="360" spans="1:21" ht="12.75">
      <c r="A360" s="1316">
        <v>12.1</v>
      </c>
      <c r="B360" s="1316" t="s">
        <v>35</v>
      </c>
      <c r="C360" s="1239"/>
      <c r="D360" s="1323"/>
      <c r="E360" s="1448"/>
      <c r="F360" s="1437"/>
      <c r="G360" s="1437"/>
      <c r="H360" s="1437"/>
      <c r="I360" s="1437"/>
      <c r="J360" s="1437"/>
      <c r="K360" s="1437"/>
      <c r="L360" s="1437"/>
      <c r="M360" s="1435"/>
      <c r="N360" s="1480">
        <v>12.1</v>
      </c>
      <c r="O360" s="1430"/>
      <c r="P360" s="1430"/>
      <c r="T360" s="1241"/>
      <c r="U360" s="1241"/>
    </row>
    <row r="361" spans="1:21" ht="12.75">
      <c r="A361" s="1241">
        <v>-944.22</v>
      </c>
      <c r="B361" s="1392" t="s">
        <v>10</v>
      </c>
      <c r="C361" s="1239"/>
      <c r="D361" s="1323"/>
      <c r="E361" s="1448"/>
      <c r="F361" s="1437"/>
      <c r="G361" s="1437"/>
      <c r="H361" s="1437"/>
      <c r="I361" s="1437"/>
      <c r="J361" s="1437"/>
      <c r="K361" s="1437"/>
      <c r="L361" s="1437"/>
      <c r="M361" s="1435"/>
      <c r="N361" s="1460"/>
      <c r="O361" s="1430"/>
      <c r="P361" s="1430"/>
      <c r="T361" s="1241"/>
      <c r="U361" s="1241"/>
    </row>
    <row r="362" spans="1:21" ht="12.75">
      <c r="A362" s="1397">
        <v>-3088.47</v>
      </c>
      <c r="B362" s="1392" t="s">
        <v>22</v>
      </c>
      <c r="C362" s="1239"/>
      <c r="D362" s="1323"/>
      <c r="E362" s="1448"/>
      <c r="F362" s="1437"/>
      <c r="G362" s="1442"/>
      <c r="H362" s="1437"/>
      <c r="I362" s="1437"/>
      <c r="J362" s="1437"/>
      <c r="K362" s="1437"/>
      <c r="L362" s="1437"/>
      <c r="M362" s="1435"/>
      <c r="N362" s="1460"/>
      <c r="O362" s="1430"/>
      <c r="P362" s="1430"/>
      <c r="T362" s="1241"/>
      <c r="U362" s="1241"/>
    </row>
    <row r="363" spans="1:21" ht="12.75">
      <c r="A363" s="1397">
        <v>-9745.2</v>
      </c>
      <c r="B363" s="1392" t="s">
        <v>12</v>
      </c>
      <c r="C363" s="1239"/>
      <c r="D363" s="1323"/>
      <c r="E363" s="1448"/>
      <c r="F363" s="1437"/>
      <c r="G363" s="1437"/>
      <c r="H363" s="1437"/>
      <c r="I363" s="1437"/>
      <c r="J363" s="1437"/>
      <c r="K363" s="1437"/>
      <c r="L363" s="1437"/>
      <c r="M363" s="1435"/>
      <c r="N363" s="1460"/>
      <c r="O363" s="1430"/>
      <c r="P363" s="1430"/>
      <c r="T363" s="1241"/>
      <c r="U363" s="1241"/>
    </row>
    <row r="364" spans="1:21" ht="12.75">
      <c r="A364" s="1397">
        <v>-0.65</v>
      </c>
      <c r="B364" s="1392" t="s">
        <v>530</v>
      </c>
      <c r="C364" s="1239"/>
      <c r="D364" s="1323"/>
      <c r="E364" s="1448"/>
      <c r="F364" s="1437"/>
      <c r="G364" s="1437"/>
      <c r="H364" s="1437"/>
      <c r="I364" s="1449"/>
      <c r="J364" s="1437"/>
      <c r="K364" s="1437"/>
      <c r="L364" s="1437"/>
      <c r="M364" s="1435"/>
      <c r="N364" s="1460"/>
      <c r="O364" s="1430"/>
      <c r="P364" s="1430"/>
      <c r="T364" s="1241"/>
      <c r="U364" s="1241"/>
    </row>
    <row r="365" spans="1:21" ht="12.75">
      <c r="A365" s="1315">
        <v>-8066.7</v>
      </c>
      <c r="B365" s="1239" t="s">
        <v>16</v>
      </c>
      <c r="C365" s="1239"/>
      <c r="D365" s="1323"/>
      <c r="E365" s="1448"/>
      <c r="F365" s="1437"/>
      <c r="G365" s="1437"/>
      <c r="H365" s="1437"/>
      <c r="I365" s="1449"/>
      <c r="J365" s="1437"/>
      <c r="K365" s="1437"/>
      <c r="L365" s="1437"/>
      <c r="M365" s="1435"/>
      <c r="N365" s="1460"/>
      <c r="O365" s="1430"/>
      <c r="P365" s="1430"/>
      <c r="T365" s="1241"/>
      <c r="U365" s="1241"/>
    </row>
    <row r="366" spans="1:21" ht="12.75">
      <c r="A366" s="1327">
        <v>9744.69</v>
      </c>
      <c r="B366" t="s">
        <v>739</v>
      </c>
      <c r="C366" s="1469"/>
      <c r="D366" s="1327"/>
      <c r="E366" s="1448"/>
      <c r="F366" s="1437"/>
      <c r="G366" s="1437"/>
      <c r="H366" s="1437"/>
      <c r="I366" s="1449"/>
      <c r="J366" s="1437"/>
      <c r="K366" s="1437"/>
      <c r="L366" s="1437"/>
      <c r="M366" s="1435"/>
      <c r="N366" s="1460"/>
      <c r="O366" s="1430"/>
      <c r="P366" s="1430"/>
      <c r="T366" s="1241"/>
      <c r="U366" s="1241"/>
    </row>
    <row r="367" spans="1:21" ht="12.75">
      <c r="A367" s="1327">
        <v>3088.47</v>
      </c>
      <c r="B367" t="s">
        <v>706</v>
      </c>
      <c r="C367" s="1469"/>
      <c r="D367" s="1438"/>
      <c r="E367" s="1448"/>
      <c r="F367" s="1437"/>
      <c r="G367" s="1437"/>
      <c r="H367" s="1437"/>
      <c r="I367" s="1449"/>
      <c r="J367" s="1437"/>
      <c r="K367" s="1437"/>
      <c r="L367" s="1437"/>
      <c r="M367" s="1435"/>
      <c r="N367" s="1460"/>
      <c r="O367" s="1430"/>
      <c r="P367" s="1430"/>
      <c r="T367" s="1241"/>
      <c r="U367" s="1241"/>
    </row>
    <row r="368" spans="1:21" ht="12.75">
      <c r="A368" s="1327">
        <v>-8067.1</v>
      </c>
      <c r="B368" t="s">
        <v>726</v>
      </c>
      <c r="C368" s="1469"/>
      <c r="D368" s="1327"/>
      <c r="E368" s="1448"/>
      <c r="F368" s="1437"/>
      <c r="G368" s="1437"/>
      <c r="H368" s="1437"/>
      <c r="I368" s="1449"/>
      <c r="J368" s="1437"/>
      <c r="K368" s="1437"/>
      <c r="L368" s="1437"/>
      <c r="M368" s="1435"/>
      <c r="N368" s="1460"/>
      <c r="O368" s="1430"/>
      <c r="P368" s="1430"/>
      <c r="T368" s="1241"/>
      <c r="U368" s="1241"/>
    </row>
    <row r="369" spans="1:21" ht="12.75">
      <c r="A369">
        <v>-0.19</v>
      </c>
      <c r="B369" t="s">
        <v>264</v>
      </c>
      <c r="C369" s="1469"/>
      <c r="D369" s="1469"/>
      <c r="E369" s="1448"/>
      <c r="F369" s="1437"/>
      <c r="G369" s="1437"/>
      <c r="H369" s="1437"/>
      <c r="I369" s="1449"/>
      <c r="J369" s="1437"/>
      <c r="K369" s="1437"/>
      <c r="L369" s="1437"/>
      <c r="M369" s="1435"/>
      <c r="N369" s="1460"/>
      <c r="O369" s="1430"/>
      <c r="P369" s="1430"/>
      <c r="T369" s="1241"/>
      <c r="U369" s="1241"/>
    </row>
    <row r="370" spans="1:21" ht="12.75">
      <c r="A370" s="1327">
        <v>-17.7400000000016</v>
      </c>
      <c r="B370" t="s">
        <v>704</v>
      </c>
      <c r="C370" s="1469"/>
      <c r="D370" s="1469"/>
      <c r="E370" s="1448"/>
      <c r="F370" s="1437"/>
      <c r="G370" s="1437"/>
      <c r="H370" s="1437"/>
      <c r="I370" s="1449"/>
      <c r="J370" s="1437"/>
      <c r="K370" s="1437"/>
      <c r="L370" s="1437"/>
      <c r="M370" s="1435"/>
      <c r="N370" s="1460"/>
      <c r="O370" s="1430"/>
      <c r="P370" s="1462">
        <f>-A370</f>
        <v>17.7400000000016</v>
      </c>
      <c r="Q370" s="1438">
        <v>0</v>
      </c>
      <c r="T370" s="1241"/>
      <c r="U370" s="1241"/>
    </row>
    <row r="371" spans="1:21" ht="12.75">
      <c r="A371" s="1327">
        <v>-6279.74</v>
      </c>
      <c r="B371" t="s">
        <v>729</v>
      </c>
      <c r="C371" s="1469"/>
      <c r="D371" s="1469"/>
      <c r="E371" s="1448"/>
      <c r="F371" s="1437"/>
      <c r="G371" s="1449">
        <f>-A371</f>
        <v>6279.74</v>
      </c>
      <c r="H371" s="1437"/>
      <c r="I371" s="1449"/>
      <c r="J371" s="1437"/>
      <c r="K371" s="1437"/>
      <c r="L371" s="1437"/>
      <c r="M371" s="1435"/>
      <c r="N371" s="1460"/>
      <c r="O371" s="1430"/>
      <c r="P371" s="1430"/>
      <c r="T371" s="1241"/>
      <c r="U371" s="1241"/>
    </row>
    <row r="372" spans="1:21" ht="12.75">
      <c r="A372" s="1327">
        <v>-3000</v>
      </c>
      <c r="B372" t="s">
        <v>731</v>
      </c>
      <c r="C372" s="1469"/>
      <c r="D372" s="1469"/>
      <c r="E372" s="1448"/>
      <c r="F372" s="1449">
        <f>-A372</f>
        <v>3000</v>
      </c>
      <c r="G372" s="1437"/>
      <c r="H372" s="1437"/>
      <c r="I372" s="1449"/>
      <c r="J372" s="1437"/>
      <c r="K372" s="1437"/>
      <c r="L372" s="1437"/>
      <c r="M372" s="1435"/>
      <c r="N372" s="1460"/>
      <c r="O372" s="1430"/>
      <c r="P372" s="1430"/>
      <c r="T372" s="1241"/>
      <c r="U372" s="1241"/>
    </row>
    <row r="373" spans="1:21" ht="12.75">
      <c r="A373" s="1327">
        <v>-7268.7</v>
      </c>
      <c r="B373" t="s">
        <v>724</v>
      </c>
      <c r="C373" s="1469"/>
      <c r="D373" s="1469"/>
      <c r="E373" s="1448">
        <f>-A373</f>
        <v>7268.7</v>
      </c>
      <c r="F373" s="1437"/>
      <c r="G373" s="1437"/>
      <c r="H373" s="1437"/>
      <c r="I373" s="1449"/>
      <c r="J373" s="1437"/>
      <c r="K373" s="1437"/>
      <c r="L373" s="1437"/>
      <c r="M373" s="1435"/>
      <c r="N373" s="1460"/>
      <c r="O373" s="1430"/>
      <c r="P373" s="1430"/>
      <c r="T373" s="1241"/>
      <c r="U373" s="1241"/>
    </row>
    <row r="374" spans="1:21" ht="12.75">
      <c r="A374" s="1352">
        <f>+SUM(A346:A373)</f>
        <v>-44995.44999999999</v>
      </c>
      <c r="B374" s="1333" t="s">
        <v>257</v>
      </c>
      <c r="C374" s="1469"/>
      <c r="D374" s="1469"/>
      <c r="E374" s="1448"/>
      <c r="F374" s="1437"/>
      <c r="G374" s="1437"/>
      <c r="H374" s="1437"/>
      <c r="I374" s="1437"/>
      <c r="J374" s="1437"/>
      <c r="K374" s="1437"/>
      <c r="L374" s="1437"/>
      <c r="M374" s="1435"/>
      <c r="N374" s="1460"/>
      <c r="O374" s="1430"/>
      <c r="P374" s="1430"/>
      <c r="T374" s="1241"/>
      <c r="U374" s="1241"/>
    </row>
    <row r="375" spans="1:21" ht="12.75">
      <c r="A375" s="1352"/>
      <c r="B375" s="1469"/>
      <c r="C375" s="1469"/>
      <c r="D375" s="1469"/>
      <c r="E375" s="1448"/>
      <c r="F375" s="1437"/>
      <c r="G375" s="1437"/>
      <c r="H375" s="1437"/>
      <c r="I375" s="1437"/>
      <c r="J375" s="1437"/>
      <c r="K375" s="1437"/>
      <c r="L375" s="1437"/>
      <c r="M375" s="1435"/>
      <c r="N375" s="1460"/>
      <c r="O375" s="1430"/>
      <c r="P375" s="1430"/>
      <c r="T375" s="1241"/>
      <c r="U375" s="1241"/>
    </row>
    <row r="376" spans="1:21" ht="12.75">
      <c r="A376" s="1426" t="s">
        <v>577</v>
      </c>
      <c r="B376" s="1469"/>
      <c r="C376" s="1469"/>
      <c r="D376" s="1469"/>
      <c r="E376" s="1437"/>
      <c r="F376" s="1437"/>
      <c r="G376" s="1437"/>
      <c r="H376" s="1437"/>
      <c r="I376" s="1437"/>
      <c r="J376" s="1437"/>
      <c r="K376" s="1437"/>
      <c r="L376" s="1437"/>
      <c r="M376" s="1435"/>
      <c r="N376" s="1460"/>
      <c r="O376" s="1430"/>
      <c r="P376" s="1430"/>
      <c r="T376" s="1241"/>
      <c r="U376" s="1241"/>
    </row>
    <row r="377" spans="1:21" ht="12.75">
      <c r="A377" s="1427"/>
      <c r="B377" s="1469"/>
      <c r="C377" s="1469"/>
      <c r="D377" s="1469"/>
      <c r="E377" s="1437"/>
      <c r="F377" s="1437"/>
      <c r="G377" s="1437"/>
      <c r="H377" s="1437"/>
      <c r="I377" s="1437"/>
      <c r="J377" s="1437"/>
      <c r="K377" s="1437"/>
      <c r="L377" s="1437"/>
      <c r="M377" s="1435"/>
      <c r="N377" s="1460"/>
      <c r="O377" s="1430"/>
      <c r="P377" s="1430"/>
      <c r="T377" s="1241"/>
      <c r="U377" s="1241"/>
    </row>
    <row r="378" spans="1:21" ht="12.75">
      <c r="A378" s="1317">
        <v>9833.4</v>
      </c>
      <c r="B378" s="1332" t="s">
        <v>55</v>
      </c>
      <c r="C378" s="1323"/>
      <c r="D378" s="1469"/>
      <c r="E378" s="1437"/>
      <c r="F378" s="1437"/>
      <c r="G378" s="1437"/>
      <c r="H378" s="1437"/>
      <c r="I378" s="1448"/>
      <c r="J378" s="1437"/>
      <c r="K378" s="1437"/>
      <c r="L378" s="1437"/>
      <c r="M378" s="1435"/>
      <c r="N378" s="1460"/>
      <c r="O378" s="1430"/>
      <c r="P378" s="1430"/>
      <c r="T378" s="1241"/>
      <c r="U378" s="1241"/>
    </row>
    <row r="379" spans="1:21" ht="12.75">
      <c r="A379" s="1317">
        <v>-0.03</v>
      </c>
      <c r="B379" s="1332" t="s">
        <v>530</v>
      </c>
      <c r="C379" s="1323"/>
      <c r="D379" s="1469"/>
      <c r="E379" s="1437"/>
      <c r="F379" s="1437"/>
      <c r="G379" s="1437"/>
      <c r="H379" s="1437"/>
      <c r="I379" s="1437"/>
      <c r="J379" s="1437"/>
      <c r="K379" s="1437"/>
      <c r="L379" s="1437"/>
      <c r="M379" s="1435"/>
      <c r="N379" s="1460"/>
      <c r="O379" s="1430"/>
      <c r="P379" s="1430"/>
      <c r="T379" s="1241"/>
      <c r="U379" s="1241"/>
    </row>
    <row r="380" spans="1:21" ht="12.75">
      <c r="A380" s="1317">
        <v>-2655.26</v>
      </c>
      <c r="B380" s="1326" t="s">
        <v>993</v>
      </c>
      <c r="C380" s="1323"/>
      <c r="D380" s="1469"/>
      <c r="E380" s="1437"/>
      <c r="F380" s="1437"/>
      <c r="G380" s="1437"/>
      <c r="H380" s="1437"/>
      <c r="I380" s="1437"/>
      <c r="J380" s="1437"/>
      <c r="K380" s="1437"/>
      <c r="L380" s="1437"/>
      <c r="M380" s="1435"/>
      <c r="N380" s="1460"/>
      <c r="O380" s="1430"/>
      <c r="P380" s="1430"/>
      <c r="T380" s="1241"/>
      <c r="U380" s="1241"/>
    </row>
    <row r="381" spans="1:21" ht="12.75">
      <c r="A381" s="1323">
        <v>-273.03</v>
      </c>
      <c r="B381" s="1350" t="s">
        <v>1030</v>
      </c>
      <c r="C381" s="1323"/>
      <c r="D381" s="1469"/>
      <c r="E381" s="1437"/>
      <c r="F381" s="1437"/>
      <c r="G381" s="1437"/>
      <c r="H381" s="1437"/>
      <c r="I381" s="1437"/>
      <c r="J381" s="1437"/>
      <c r="K381" s="1437"/>
      <c r="L381" s="1437"/>
      <c r="M381" s="1435"/>
      <c r="N381" s="1460"/>
      <c r="O381" s="1430"/>
      <c r="P381" s="1430"/>
      <c r="T381" s="1241"/>
      <c r="U381" s="1241"/>
    </row>
    <row r="382" spans="1:21" ht="12.75">
      <c r="A382" s="1327">
        <v>-760</v>
      </c>
      <c r="B382" t="s">
        <v>732</v>
      </c>
      <c r="C382" s="1430"/>
      <c r="D382" s="1469"/>
      <c r="E382" s="1437"/>
      <c r="F382" s="1437"/>
      <c r="G382" s="1437"/>
      <c r="H382" s="1437"/>
      <c r="I382" s="1437"/>
      <c r="J382" s="1437"/>
      <c r="K382" s="1437"/>
      <c r="L382" s="1437"/>
      <c r="M382" s="1435"/>
      <c r="N382" s="1460"/>
      <c r="O382" s="1430"/>
      <c r="P382" s="1430"/>
      <c r="T382" s="1241"/>
      <c r="U382" s="1241"/>
    </row>
    <row r="383" spans="1:21" ht="12.75">
      <c r="A383" s="1327">
        <v>-1755.78</v>
      </c>
      <c r="B383" t="s">
        <v>704</v>
      </c>
      <c r="C383" s="1430"/>
      <c r="D383" s="1469"/>
      <c r="E383" s="1437"/>
      <c r="F383" s="1437"/>
      <c r="G383" s="1437"/>
      <c r="H383" s="1437"/>
      <c r="I383" s="1437"/>
      <c r="J383" s="1437"/>
      <c r="K383" s="1437"/>
      <c r="L383" s="1437"/>
      <c r="M383" s="1435"/>
      <c r="N383" s="1460"/>
      <c r="O383" s="1430"/>
      <c r="P383" s="1462">
        <f>-A383</f>
        <v>1755.78</v>
      </c>
      <c r="T383" s="1241"/>
      <c r="U383" s="1241"/>
    </row>
    <row r="384" spans="1:21" ht="12.75">
      <c r="A384" s="1327">
        <v>-9833.4</v>
      </c>
      <c r="B384" t="s">
        <v>733</v>
      </c>
      <c r="C384" s="1430"/>
      <c r="D384" s="1469"/>
      <c r="E384" s="1437"/>
      <c r="F384" s="1437"/>
      <c r="G384" s="1437"/>
      <c r="H384" s="1437"/>
      <c r="I384" s="1437"/>
      <c r="J384" s="1437"/>
      <c r="K384" s="1437"/>
      <c r="L384" s="1437"/>
      <c r="M384" s="1435"/>
      <c r="N384" s="1460"/>
      <c r="O384" s="1430"/>
      <c r="P384" s="1430"/>
      <c r="T384" s="1241"/>
      <c r="U384" s="1241"/>
    </row>
    <row r="385" spans="1:21" ht="12.75">
      <c r="A385" s="1327">
        <v>-256.4</v>
      </c>
      <c r="B385" t="s">
        <v>730</v>
      </c>
      <c r="C385" s="1430"/>
      <c r="D385" s="1469"/>
      <c r="E385" s="1437"/>
      <c r="F385" s="1449">
        <f>-A385</f>
        <v>256.4</v>
      </c>
      <c r="G385" s="1437"/>
      <c r="H385" s="1437"/>
      <c r="I385" s="1437"/>
      <c r="J385" s="1437"/>
      <c r="K385" s="1437"/>
      <c r="L385" s="1437"/>
      <c r="M385" s="1435"/>
      <c r="N385" s="1460"/>
      <c r="O385" s="1430"/>
      <c r="P385" s="1430"/>
      <c r="T385" s="1241"/>
      <c r="U385" s="1241"/>
    </row>
    <row r="386" spans="1:21" ht="12.75">
      <c r="A386" s="1327">
        <v>-2.03</v>
      </c>
      <c r="B386" t="s">
        <v>264</v>
      </c>
      <c r="C386" s="1446"/>
      <c r="D386" s="1469"/>
      <c r="E386" s="1437"/>
      <c r="F386" s="1437"/>
      <c r="G386" s="1437"/>
      <c r="H386" s="1437"/>
      <c r="I386" s="1437"/>
      <c r="J386" s="1437"/>
      <c r="K386" s="1437"/>
      <c r="L386" s="1437"/>
      <c r="M386" s="1435"/>
      <c r="N386" s="1460"/>
      <c r="O386" s="1430"/>
      <c r="P386" s="1430"/>
      <c r="T386" s="1241"/>
      <c r="U386" s="1241"/>
    </row>
    <row r="387" spans="1:21" ht="12.75">
      <c r="A387" s="1322">
        <f>+SUM(A378:A386)</f>
        <v>-5702.53</v>
      </c>
      <c r="B387" s="2055" t="s">
        <v>999</v>
      </c>
      <c r="C387" s="2055"/>
      <c r="D387" s="1469"/>
      <c r="E387" s="1437"/>
      <c r="F387" s="1437"/>
      <c r="G387" s="1437"/>
      <c r="H387" s="1437"/>
      <c r="I387" s="1437"/>
      <c r="J387" s="1437"/>
      <c r="K387" s="1437"/>
      <c r="L387" s="1437"/>
      <c r="M387" s="1435"/>
      <c r="N387" s="1460"/>
      <c r="O387" s="1430"/>
      <c r="P387" s="1430"/>
      <c r="T387" s="1241"/>
      <c r="U387" s="1241"/>
    </row>
    <row r="388" spans="1:21" ht="12.75">
      <c r="A388" s="1436"/>
      <c r="B388" s="1332"/>
      <c r="C388" s="1469"/>
      <c r="D388" s="1469"/>
      <c r="E388" s="1437"/>
      <c r="F388" s="1437"/>
      <c r="G388" s="1437"/>
      <c r="H388" s="1437"/>
      <c r="I388" s="1437"/>
      <c r="J388" s="1437"/>
      <c r="K388" s="1437"/>
      <c r="L388" s="1437"/>
      <c r="M388" s="1435"/>
      <c r="N388" s="1460"/>
      <c r="O388" s="1430"/>
      <c r="P388" s="1430"/>
      <c r="T388" s="1241"/>
      <c r="U388" s="1241"/>
    </row>
    <row r="389" spans="1:21" ht="12.75">
      <c r="A389" s="1470"/>
      <c r="B389" s="2055"/>
      <c r="C389" s="2055"/>
      <c r="D389" s="1486"/>
      <c r="E389" s="1457"/>
      <c r="F389" s="1457"/>
      <c r="G389" s="1457"/>
      <c r="H389" s="1457"/>
      <c r="I389" s="1457"/>
      <c r="J389" s="1457"/>
      <c r="K389" s="1457"/>
      <c r="L389" s="1457"/>
      <c r="M389" s="1458"/>
      <c r="N389" s="1460"/>
      <c r="O389" s="1430"/>
      <c r="P389" s="1430"/>
      <c r="T389" s="1241"/>
      <c r="U389" s="1241"/>
    </row>
    <row r="390" spans="1:21" ht="12.75">
      <c r="A390" s="1430"/>
      <c r="B390" s="1430"/>
      <c r="C390" s="1430"/>
      <c r="D390" s="1430"/>
      <c r="E390" s="1487">
        <f aca="true" t="shared" si="0" ref="E390:Q390">+SUM(E134:E389)</f>
        <v>14278.32</v>
      </c>
      <c r="F390" s="1487">
        <f t="shared" si="0"/>
        <v>18949.4</v>
      </c>
      <c r="G390" s="1487">
        <f t="shared" si="0"/>
        <v>104692.03000000001</v>
      </c>
      <c r="H390" s="1487">
        <f t="shared" si="0"/>
        <v>0.09000000000000001</v>
      </c>
      <c r="I390" s="1487">
        <f t="shared" si="0"/>
        <v>0</v>
      </c>
      <c r="J390" s="1487">
        <f t="shared" si="0"/>
        <v>15391.84</v>
      </c>
      <c r="K390" s="1487">
        <f t="shared" si="0"/>
        <v>6699.17</v>
      </c>
      <c r="L390" s="1487">
        <f t="shared" si="0"/>
        <v>9331.310000000001</v>
      </c>
      <c r="M390" s="1487">
        <f t="shared" si="0"/>
        <v>776.7100000000048</v>
      </c>
      <c r="N390" s="1487">
        <f t="shared" si="0"/>
        <v>24.85</v>
      </c>
      <c r="O390" s="1487">
        <f t="shared" si="0"/>
        <v>1.25</v>
      </c>
      <c r="P390" s="1487">
        <f t="shared" si="0"/>
        <v>139399.08</v>
      </c>
      <c r="Q390" s="1487">
        <f t="shared" si="0"/>
        <v>5194.18</v>
      </c>
      <c r="T390" s="1241"/>
      <c r="U390" s="1241"/>
    </row>
    <row r="391" spans="1:21" ht="12.75">
      <c r="A391" s="1436"/>
      <c r="B391" s="1430"/>
      <c r="C391" s="1430"/>
      <c r="D391" s="1430"/>
      <c r="E391" s="1475"/>
      <c r="F391" s="1475"/>
      <c r="G391" s="1475"/>
      <c r="H391" s="1460"/>
      <c r="I391" s="1460"/>
      <c r="J391" s="1460"/>
      <c r="K391" s="1460"/>
      <c r="L391" s="1460"/>
      <c r="M391" s="1460"/>
      <c r="N391" s="1460"/>
      <c r="O391" s="1430"/>
      <c r="P391" s="1462"/>
      <c r="Q391" s="1438"/>
      <c r="T391" s="1241"/>
      <c r="U391" s="1241"/>
    </row>
    <row r="392" spans="1:21" ht="12.75">
      <c r="A392" s="1430"/>
      <c r="B392" s="1430"/>
      <c r="C392" s="1430"/>
      <c r="D392" s="1430"/>
      <c r="E392" s="1464"/>
      <c r="F392" s="1464"/>
      <c r="G392" s="1464"/>
      <c r="H392" s="1430"/>
      <c r="I392" s="1430"/>
      <c r="J392" s="1430"/>
      <c r="K392" s="1430"/>
      <c r="L392" s="1430"/>
      <c r="M392" s="1430"/>
      <c r="N392" s="1430"/>
      <c r="O392" s="1488"/>
      <c r="P392" s="1462"/>
      <c r="Q392" s="1438"/>
      <c r="T392" s="1241"/>
      <c r="U392" s="1241"/>
    </row>
    <row r="393" spans="1:21" ht="12.75">
      <c r="A393" s="1430"/>
      <c r="B393" s="1430"/>
      <c r="C393" s="1430"/>
      <c r="D393" s="1430"/>
      <c r="E393" s="1430"/>
      <c r="F393" s="1430"/>
      <c r="G393" s="1430"/>
      <c r="H393" s="1430"/>
      <c r="I393" s="1430"/>
      <c r="J393" s="1430"/>
      <c r="K393" s="1430"/>
      <c r="L393" s="1430"/>
      <c r="M393" s="1430"/>
      <c r="N393" s="1430"/>
      <c r="O393" s="1430"/>
      <c r="P393" s="1430"/>
      <c r="T393" s="1241"/>
      <c r="U393" s="1241"/>
    </row>
    <row r="394" spans="1:21" ht="12.75">
      <c r="A394" s="1430"/>
      <c r="B394" s="1327"/>
      <c r="D394" s="1430"/>
      <c r="E394" s="1430"/>
      <c r="F394" s="1430"/>
      <c r="G394" s="1430"/>
      <c r="H394" s="1430"/>
      <c r="I394" s="1430"/>
      <c r="J394" s="1430"/>
      <c r="K394" s="1430"/>
      <c r="L394" s="1430"/>
      <c r="M394" s="1430"/>
      <c r="N394" s="1430"/>
      <c r="O394" s="1430"/>
      <c r="P394" s="1430"/>
      <c r="T394" s="1241"/>
      <c r="U394" s="1241"/>
    </row>
    <row r="395" spans="1:21" ht="12.75">
      <c r="A395" s="1430"/>
      <c r="B395" s="1327"/>
      <c r="D395" s="1430"/>
      <c r="E395" s="1430"/>
      <c r="F395" s="1430"/>
      <c r="G395" s="1430"/>
      <c r="H395" s="1430"/>
      <c r="I395" s="1430"/>
      <c r="J395" s="1430"/>
      <c r="K395" s="1430"/>
      <c r="L395" s="1430"/>
      <c r="M395" s="1430"/>
      <c r="N395" s="1430"/>
      <c r="O395" s="1430"/>
      <c r="P395" s="1430"/>
      <c r="T395" s="1241"/>
      <c r="U395" s="1241"/>
    </row>
    <row r="396" spans="1:21" ht="12.75">
      <c r="A396" s="1430"/>
      <c r="B396" s="1327"/>
      <c r="D396" s="1430"/>
      <c r="E396" s="1430"/>
      <c r="F396" s="1430"/>
      <c r="G396" s="1430"/>
      <c r="H396" s="1430"/>
      <c r="I396" s="1430"/>
      <c r="J396" s="1430"/>
      <c r="K396" s="1430"/>
      <c r="L396" s="1430"/>
      <c r="M396" s="1430"/>
      <c r="N396" s="1430"/>
      <c r="O396" s="1430"/>
      <c r="P396" s="1430"/>
      <c r="T396" s="1241"/>
      <c r="U396" s="1241"/>
    </row>
    <row r="397" spans="1:21" ht="12.75">
      <c r="A397" s="1430"/>
      <c r="B397" s="1327"/>
      <c r="D397" s="1430"/>
      <c r="E397" s="1430"/>
      <c r="F397" s="1430"/>
      <c r="G397" s="1430"/>
      <c r="H397" s="1430"/>
      <c r="I397" s="1430"/>
      <c r="J397" s="1430"/>
      <c r="K397" s="1430"/>
      <c r="L397" s="1430"/>
      <c r="M397" s="1430"/>
      <c r="N397" s="1430"/>
      <c r="O397" s="1430"/>
      <c r="P397" s="1430"/>
      <c r="T397" s="1241"/>
      <c r="U397" s="1241"/>
    </row>
    <row r="398" spans="1:21" ht="12.75">
      <c r="A398" s="1430"/>
      <c r="B398" s="1327"/>
      <c r="D398" s="1446"/>
      <c r="E398" s="1430"/>
      <c r="F398" s="1430"/>
      <c r="G398" s="1430"/>
      <c r="H398" s="1430"/>
      <c r="I398" s="1430"/>
      <c r="J398" s="1430"/>
      <c r="K398" s="1430"/>
      <c r="L398" s="1430"/>
      <c r="M398" s="1430"/>
      <c r="N398" s="1430"/>
      <c r="O398" s="1430"/>
      <c r="P398" s="1430"/>
      <c r="T398" s="1241"/>
      <c r="U398" s="1241"/>
    </row>
    <row r="399" spans="1:21" ht="12.75">
      <c r="A399" s="1430"/>
      <c r="B399" s="1327"/>
      <c r="C399" s="2034"/>
      <c r="D399" s="2035"/>
      <c r="E399" s="1430"/>
      <c r="F399" s="1430"/>
      <c r="G399" s="1430"/>
      <c r="H399" s="1430"/>
      <c r="I399" s="1430"/>
      <c r="J399" s="1430"/>
      <c r="K399" s="1430"/>
      <c r="L399" s="1430"/>
      <c r="M399" s="1430"/>
      <c r="N399" s="1430"/>
      <c r="O399" s="1430"/>
      <c r="P399" s="1430"/>
      <c r="T399" s="1241"/>
      <c r="U399" s="1241"/>
    </row>
    <row r="400" spans="1:21" ht="12.75">
      <c r="A400" s="1430"/>
      <c r="B400" s="1430"/>
      <c r="C400" s="1430"/>
      <c r="D400" s="1430"/>
      <c r="E400" s="1430"/>
      <c r="F400" s="1430"/>
      <c r="G400" s="1430"/>
      <c r="H400" s="1430"/>
      <c r="I400" s="1430"/>
      <c r="J400" s="1430"/>
      <c r="K400" s="1430"/>
      <c r="L400" s="1430"/>
      <c r="M400" s="1430"/>
      <c r="N400" s="1430"/>
      <c r="O400" s="1430"/>
      <c r="P400" s="1430"/>
      <c r="T400" s="1241"/>
      <c r="U400" s="1241"/>
    </row>
    <row r="401" spans="1:21" ht="12.75">
      <c r="A401" s="1430"/>
      <c r="B401" s="1430"/>
      <c r="C401" s="1430"/>
      <c r="D401" s="1430"/>
      <c r="E401" s="1430"/>
      <c r="F401" s="1430"/>
      <c r="G401" s="1430"/>
      <c r="H401" s="1430"/>
      <c r="I401" s="1430"/>
      <c r="J401" s="1430"/>
      <c r="K401" s="1430"/>
      <c r="L401" s="1430"/>
      <c r="M401" s="1430"/>
      <c r="N401" s="1430"/>
      <c r="O401" s="1430"/>
      <c r="P401" s="1430"/>
      <c r="T401" s="1241"/>
      <c r="U401" s="1241"/>
    </row>
    <row r="402" spans="1:21" ht="12.75">
      <c r="A402" s="1430"/>
      <c r="B402" s="1430"/>
      <c r="C402" s="1430"/>
      <c r="D402" s="1430"/>
      <c r="E402" s="1430"/>
      <c r="F402" s="1430"/>
      <c r="G402" s="1430"/>
      <c r="H402" s="1430"/>
      <c r="I402" s="1430"/>
      <c r="J402" s="1430"/>
      <c r="K402" s="1430"/>
      <c r="L402" s="1430"/>
      <c r="M402" s="1430"/>
      <c r="N402" s="1430"/>
      <c r="O402" s="1430"/>
      <c r="P402" s="1430"/>
      <c r="T402" s="1241"/>
      <c r="U402" s="1241"/>
    </row>
    <row r="403" spans="1:21" ht="12.75">
      <c r="A403" s="1430"/>
      <c r="B403" s="1430"/>
      <c r="C403" s="1430"/>
      <c r="D403" s="1430"/>
      <c r="E403" s="1430"/>
      <c r="F403" s="1430"/>
      <c r="G403" s="1430"/>
      <c r="H403" s="1430"/>
      <c r="I403" s="1430"/>
      <c r="J403" s="1430"/>
      <c r="K403" s="1430"/>
      <c r="L403" s="1430"/>
      <c r="M403" s="1430"/>
      <c r="N403" s="1430"/>
      <c r="O403" s="1430"/>
      <c r="P403" s="1430"/>
      <c r="T403" s="1241"/>
      <c r="U403" s="1241"/>
    </row>
    <row r="404" spans="1:21" ht="12.75">
      <c r="A404" s="1430"/>
      <c r="B404" s="1430"/>
      <c r="C404" s="1430"/>
      <c r="D404" s="1430"/>
      <c r="E404" s="1430"/>
      <c r="F404" s="1430"/>
      <c r="G404" s="1430"/>
      <c r="H404" s="1430"/>
      <c r="I404" s="1430"/>
      <c r="J404" s="1430"/>
      <c r="K404" s="1430"/>
      <c r="L404" s="1430"/>
      <c r="M404" s="1430"/>
      <c r="N404" s="1430"/>
      <c r="O404" s="1430"/>
      <c r="P404" s="1430"/>
      <c r="T404" s="1241"/>
      <c r="U404" s="1241"/>
    </row>
    <row r="405" spans="1:21" ht="12.75">
      <c r="A405" s="1430"/>
      <c r="B405" s="1430"/>
      <c r="C405" s="1430"/>
      <c r="D405" s="1430"/>
      <c r="E405" s="1430"/>
      <c r="F405" s="1430"/>
      <c r="G405" s="1430"/>
      <c r="H405" s="1430"/>
      <c r="I405" s="1430"/>
      <c r="J405" s="1430"/>
      <c r="K405" s="1430"/>
      <c r="L405" s="1430"/>
      <c r="M405" s="1430"/>
      <c r="N405" s="1430"/>
      <c r="O405" s="1430"/>
      <c r="P405" s="1430"/>
      <c r="T405" s="1241"/>
      <c r="U405" s="1241"/>
    </row>
    <row r="406" spans="1:21" ht="12.75">
      <c r="A406" s="1430"/>
      <c r="B406" s="1430"/>
      <c r="C406" s="1430"/>
      <c r="D406" s="1430"/>
      <c r="E406" s="1430"/>
      <c r="F406" s="1430"/>
      <c r="G406" s="1430"/>
      <c r="H406" s="1430"/>
      <c r="I406" s="1430"/>
      <c r="J406" s="1430"/>
      <c r="K406" s="1430"/>
      <c r="L406" s="1430"/>
      <c r="M406" s="1430"/>
      <c r="N406" s="1430"/>
      <c r="O406" s="1430"/>
      <c r="P406" s="1430"/>
      <c r="T406" s="1241"/>
      <c r="U406" s="1241"/>
    </row>
    <row r="407" spans="1:21" ht="12.75">
      <c r="A407" s="1430"/>
      <c r="B407" s="1430"/>
      <c r="C407" s="1430"/>
      <c r="D407" s="1430"/>
      <c r="E407" s="1430"/>
      <c r="F407" s="1430"/>
      <c r="G407" s="1430"/>
      <c r="H407" s="1430"/>
      <c r="I407" s="1430"/>
      <c r="J407" s="1430"/>
      <c r="K407" s="1430"/>
      <c r="L407" s="1430"/>
      <c r="M407" s="1430"/>
      <c r="N407" s="1430"/>
      <c r="O407" s="1430"/>
      <c r="P407" s="1430"/>
      <c r="T407" s="1241"/>
      <c r="U407" s="1241"/>
    </row>
    <row r="408" spans="1:21" ht="12.75">
      <c r="A408" s="1430"/>
      <c r="B408" s="1430"/>
      <c r="C408" s="1430"/>
      <c r="D408" s="1430"/>
      <c r="E408" s="1430"/>
      <c r="F408" s="1430"/>
      <c r="G408" s="1430"/>
      <c r="H408" s="1430"/>
      <c r="I408" s="1430"/>
      <c r="J408" s="1430"/>
      <c r="K408" s="1430"/>
      <c r="L408" s="1430"/>
      <c r="M408" s="1430"/>
      <c r="N408" s="1430"/>
      <c r="O408" s="1430"/>
      <c r="P408" s="1430"/>
      <c r="T408" s="1241"/>
      <c r="U408" s="1241"/>
    </row>
    <row r="409" spans="1:21" ht="12.75">
      <c r="A409" s="1430"/>
      <c r="B409" s="1430"/>
      <c r="C409" s="1430"/>
      <c r="D409" s="1430"/>
      <c r="E409" s="1430"/>
      <c r="F409" s="1430"/>
      <c r="G409" s="1430"/>
      <c r="H409" s="1430"/>
      <c r="I409" s="1430"/>
      <c r="J409" s="1430"/>
      <c r="K409" s="1430"/>
      <c r="L409" s="1430"/>
      <c r="M409" s="1430"/>
      <c r="N409" s="1430"/>
      <c r="O409" s="1430"/>
      <c r="P409" s="1430"/>
      <c r="T409" s="1241"/>
      <c r="U409" s="1241"/>
    </row>
    <row r="410" spans="1:21" ht="12.75">
      <c r="A410" s="1430"/>
      <c r="B410" s="1430"/>
      <c r="C410" s="1430"/>
      <c r="D410" s="1430"/>
      <c r="E410" s="1430"/>
      <c r="F410" s="1430"/>
      <c r="G410" s="1430"/>
      <c r="H410" s="1430"/>
      <c r="I410" s="1430"/>
      <c r="J410" s="1430"/>
      <c r="K410" s="1430"/>
      <c r="L410" s="1430"/>
      <c r="M410" s="1430"/>
      <c r="N410" s="1430"/>
      <c r="O410" s="1430"/>
      <c r="P410" s="1430"/>
      <c r="T410" s="1241"/>
      <c r="U410" s="1241"/>
    </row>
    <row r="411" spans="1:21" ht="12.75">
      <c r="A411" s="1430"/>
      <c r="B411" s="1430"/>
      <c r="C411" s="1430"/>
      <c r="D411" s="1430"/>
      <c r="E411" s="1430"/>
      <c r="F411" s="1430"/>
      <c r="G411" s="1430"/>
      <c r="H411" s="1430"/>
      <c r="I411" s="1430"/>
      <c r="J411" s="1430"/>
      <c r="K411" s="1430"/>
      <c r="L411" s="1430"/>
      <c r="M411" s="1430"/>
      <c r="N411" s="1430"/>
      <c r="O411" s="1430"/>
      <c r="P411" s="1430"/>
      <c r="T411" s="1241"/>
      <c r="U411" s="1241"/>
    </row>
    <row r="412" spans="1:21" ht="12.75">
      <c r="A412" s="1430"/>
      <c r="B412" s="1430"/>
      <c r="C412" s="1430"/>
      <c r="D412" s="1430"/>
      <c r="E412" s="1430"/>
      <c r="F412" s="1430"/>
      <c r="G412" s="1430"/>
      <c r="H412" s="1430"/>
      <c r="I412" s="1430"/>
      <c r="J412" s="1430"/>
      <c r="K412" s="1430"/>
      <c r="L412" s="1430"/>
      <c r="M412" s="1430"/>
      <c r="N412" s="1430"/>
      <c r="O412" s="1430"/>
      <c r="P412" s="1430"/>
      <c r="T412" s="1241"/>
      <c r="U412" s="1241"/>
    </row>
    <row r="413" spans="1:21" ht="12.75">
      <c r="A413" s="1430"/>
      <c r="B413" s="1430"/>
      <c r="C413" s="1430"/>
      <c r="D413" s="1430"/>
      <c r="E413" s="1430"/>
      <c r="F413" s="1430"/>
      <c r="G413" s="1430"/>
      <c r="H413" s="1430"/>
      <c r="I413" s="1430"/>
      <c r="J413" s="1430"/>
      <c r="K413" s="1430"/>
      <c r="L413" s="1430"/>
      <c r="M413" s="1430"/>
      <c r="N413" s="1430"/>
      <c r="O413" s="1430"/>
      <c r="P413" s="1430"/>
      <c r="T413" s="1241"/>
      <c r="U413" s="1241"/>
    </row>
    <row r="414" spans="1:21" ht="12.75">
      <c r="A414" s="1430"/>
      <c r="B414" s="1430"/>
      <c r="C414" s="1430"/>
      <c r="D414" s="1430"/>
      <c r="E414" s="1430"/>
      <c r="F414" s="1430"/>
      <c r="G414" s="1430"/>
      <c r="H414" s="1430"/>
      <c r="I414" s="1430"/>
      <c r="J414" s="1430"/>
      <c r="K414" s="1430"/>
      <c r="L414" s="1430"/>
      <c r="M414" s="1430"/>
      <c r="N414" s="1430"/>
      <c r="O414" s="1430"/>
      <c r="P414" s="1430"/>
      <c r="T414" s="1241"/>
      <c r="U414" s="1241"/>
    </row>
    <row r="415" spans="1:21" ht="12.75">
      <c r="A415" s="1430"/>
      <c r="B415" s="1430"/>
      <c r="C415" s="1430"/>
      <c r="D415" s="1430"/>
      <c r="E415" s="1430"/>
      <c r="F415" s="1430"/>
      <c r="G415" s="1430"/>
      <c r="H415" s="1430"/>
      <c r="I415" s="1430"/>
      <c r="J415" s="1430"/>
      <c r="K415" s="1430"/>
      <c r="L415" s="1430"/>
      <c r="M415" s="1430"/>
      <c r="N415" s="1430"/>
      <c r="O415" s="1430"/>
      <c r="P415" s="1430"/>
      <c r="T415" s="1241"/>
      <c r="U415" s="1241"/>
    </row>
    <row r="416" spans="1:21" ht="12.75">
      <c r="A416" s="1430"/>
      <c r="B416" s="1430"/>
      <c r="C416" s="1430"/>
      <c r="D416" s="1430"/>
      <c r="E416" s="1430"/>
      <c r="F416" s="1430"/>
      <c r="G416" s="1430"/>
      <c r="H416" s="1430"/>
      <c r="I416" s="1430"/>
      <c r="J416" s="1430"/>
      <c r="K416" s="1430"/>
      <c r="L416" s="1430"/>
      <c r="M416" s="1430"/>
      <c r="N416" s="1430"/>
      <c r="O416" s="1430"/>
      <c r="P416" s="1430"/>
      <c r="T416" s="1241"/>
      <c r="U416" s="1241"/>
    </row>
    <row r="417" spans="1:21" ht="12.75">
      <c r="A417" s="1430"/>
      <c r="B417" s="1430"/>
      <c r="C417" s="1430"/>
      <c r="D417" s="1430"/>
      <c r="E417" s="1430"/>
      <c r="F417" s="1430"/>
      <c r="G417" s="1430"/>
      <c r="H417" s="1430"/>
      <c r="I417" s="1430"/>
      <c r="J417" s="1430"/>
      <c r="K417" s="1430"/>
      <c r="L417" s="1430"/>
      <c r="M417" s="1430"/>
      <c r="N417" s="1430"/>
      <c r="O417" s="1430"/>
      <c r="P417" s="1430"/>
      <c r="T417" s="1241"/>
      <c r="U417" s="1241"/>
    </row>
    <row r="418" spans="1:21" ht="12.75">
      <c r="A418" s="1430"/>
      <c r="B418" s="1430"/>
      <c r="C418" s="1430"/>
      <c r="D418" s="1430"/>
      <c r="E418" s="1430"/>
      <c r="F418" s="1430"/>
      <c r="G418" s="1430"/>
      <c r="H418" s="1430"/>
      <c r="I418" s="1430"/>
      <c r="J418" s="1430"/>
      <c r="K418" s="1430"/>
      <c r="L418" s="1430"/>
      <c r="M418" s="1430"/>
      <c r="N418" s="1430"/>
      <c r="O418" s="1430"/>
      <c r="P418" s="1430"/>
      <c r="T418" s="1241"/>
      <c r="U418" s="1241"/>
    </row>
    <row r="419" spans="1:21" ht="12.75">
      <c r="A419" s="1430"/>
      <c r="B419" s="1430"/>
      <c r="C419" s="1430"/>
      <c r="D419" s="1430"/>
      <c r="E419" s="1430"/>
      <c r="F419" s="1430"/>
      <c r="G419" s="1430"/>
      <c r="H419" s="1430"/>
      <c r="I419" s="1430"/>
      <c r="J419" s="1430"/>
      <c r="K419" s="1430"/>
      <c r="L419" s="1430"/>
      <c r="M419" s="1430"/>
      <c r="N419" s="1430"/>
      <c r="O419" s="1430"/>
      <c r="P419" s="1430"/>
      <c r="T419" s="1241"/>
      <c r="U419" s="1241"/>
    </row>
    <row r="420" spans="1:21" ht="12.75">
      <c r="A420" s="1430"/>
      <c r="B420" s="1430"/>
      <c r="C420" s="1430"/>
      <c r="D420" s="1430"/>
      <c r="E420" s="1430"/>
      <c r="F420" s="1430"/>
      <c r="G420" s="1430"/>
      <c r="H420" s="1430"/>
      <c r="I420" s="1430"/>
      <c r="J420" s="1430"/>
      <c r="K420" s="1430"/>
      <c r="L420" s="1430"/>
      <c r="M420" s="1430"/>
      <c r="N420" s="1430"/>
      <c r="O420" s="1430"/>
      <c r="P420" s="1430"/>
      <c r="T420" s="1241"/>
      <c r="U420" s="1241"/>
    </row>
    <row r="421" spans="1:21" ht="12.75">
      <c r="A421" s="1430"/>
      <c r="B421" s="1430"/>
      <c r="C421" s="1430"/>
      <c r="D421" s="1430"/>
      <c r="E421" s="1430"/>
      <c r="F421" s="1430"/>
      <c r="G421" s="1430"/>
      <c r="H421" s="1430"/>
      <c r="I421" s="1430"/>
      <c r="J421" s="1430"/>
      <c r="K421" s="1430"/>
      <c r="L421" s="1430"/>
      <c r="M421" s="1430"/>
      <c r="N421" s="1430"/>
      <c r="O421" s="1430"/>
      <c r="P421" s="1430"/>
      <c r="T421" s="1241"/>
      <c r="U421" s="1241"/>
    </row>
    <row r="422" spans="1:21" ht="12.75">
      <c r="A422" s="1430"/>
      <c r="B422" s="1430"/>
      <c r="C422" s="1430"/>
      <c r="D422" s="1430"/>
      <c r="E422" s="1430"/>
      <c r="F422" s="1430"/>
      <c r="G422" s="1430"/>
      <c r="H422" s="1430"/>
      <c r="I422" s="1430"/>
      <c r="J422" s="1430"/>
      <c r="K422" s="1430"/>
      <c r="L422" s="1430"/>
      <c r="M422" s="1430"/>
      <c r="N422" s="1430"/>
      <c r="O422" s="1430"/>
      <c r="P422" s="1430"/>
      <c r="T422" s="1241"/>
      <c r="U422" s="1241"/>
    </row>
    <row r="423" spans="1:21" ht="12.75">
      <c r="A423" s="1430"/>
      <c r="B423" s="1430"/>
      <c r="C423" s="1430"/>
      <c r="D423" s="1430"/>
      <c r="E423" s="1430"/>
      <c r="F423" s="1430"/>
      <c r="G423" s="1430"/>
      <c r="H423" s="1430"/>
      <c r="I423" s="1430"/>
      <c r="J423" s="1430"/>
      <c r="K423" s="1430"/>
      <c r="L423" s="1430"/>
      <c r="M423" s="1430"/>
      <c r="N423" s="1430"/>
      <c r="O423" s="1430"/>
      <c r="P423" s="1430"/>
      <c r="T423" s="1241"/>
      <c r="U423" s="1241"/>
    </row>
    <row r="424" spans="1:21" ht="12.75">
      <c r="A424" s="1430"/>
      <c r="B424" s="1430"/>
      <c r="C424" s="1430"/>
      <c r="D424" s="1430"/>
      <c r="E424" s="1430"/>
      <c r="F424" s="1430"/>
      <c r="G424" s="1430"/>
      <c r="H424" s="1430"/>
      <c r="I424" s="1430"/>
      <c r="J424" s="1430"/>
      <c r="K424" s="1430"/>
      <c r="L424" s="1430"/>
      <c r="M424" s="1430"/>
      <c r="N424" s="1430"/>
      <c r="O424" s="1430"/>
      <c r="P424" s="1430"/>
      <c r="T424" s="1241"/>
      <c r="U424" s="1241"/>
    </row>
    <row r="425" spans="1:21" ht="12.75">
      <c r="A425" s="1430"/>
      <c r="B425" s="1430"/>
      <c r="C425" s="1430"/>
      <c r="D425" s="1430"/>
      <c r="E425" s="1430"/>
      <c r="F425" s="1430"/>
      <c r="G425" s="1430"/>
      <c r="H425" s="1430"/>
      <c r="I425" s="1430"/>
      <c r="J425" s="1430"/>
      <c r="K425" s="1430"/>
      <c r="L425" s="1430"/>
      <c r="M425" s="1430"/>
      <c r="N425" s="1430"/>
      <c r="O425" s="1430"/>
      <c r="P425" s="1430"/>
      <c r="T425" s="1241"/>
      <c r="U425" s="1241"/>
    </row>
    <row r="426" spans="1:21" ht="12.75">
      <c r="A426" s="1430"/>
      <c r="B426" s="1430"/>
      <c r="C426" s="1430"/>
      <c r="D426" s="1430"/>
      <c r="E426" s="1430"/>
      <c r="F426" s="1430"/>
      <c r="G426" s="1430"/>
      <c r="H426" s="1430"/>
      <c r="I426" s="1430"/>
      <c r="J426" s="1430"/>
      <c r="K426" s="1430"/>
      <c r="L426" s="1430"/>
      <c r="M426" s="1430"/>
      <c r="N426" s="1430"/>
      <c r="O426" s="1430"/>
      <c r="P426" s="1430"/>
      <c r="T426" s="1241"/>
      <c r="U426" s="1241"/>
    </row>
    <row r="427" spans="1:21" ht="12.75">
      <c r="A427" s="1430"/>
      <c r="B427" s="1430"/>
      <c r="C427" s="1430"/>
      <c r="D427" s="1430"/>
      <c r="E427" s="1430"/>
      <c r="F427" s="1430"/>
      <c r="G427" s="1430"/>
      <c r="H427" s="1430"/>
      <c r="I427" s="1430"/>
      <c r="J427" s="1430"/>
      <c r="K427" s="1430"/>
      <c r="L427" s="1430"/>
      <c r="M427" s="1430"/>
      <c r="N427" s="1430"/>
      <c r="O427" s="1430"/>
      <c r="P427" s="1430"/>
      <c r="T427" s="1241"/>
      <c r="U427" s="1241"/>
    </row>
    <row r="428" spans="1:21" ht="12.75">
      <c r="A428" s="1430"/>
      <c r="B428" s="1430"/>
      <c r="C428" s="1430"/>
      <c r="D428" s="1430"/>
      <c r="E428" s="1430"/>
      <c r="F428" s="1430"/>
      <c r="G428" s="1430"/>
      <c r="H428" s="1430"/>
      <c r="I428" s="1430"/>
      <c r="J428" s="1430"/>
      <c r="K428" s="1430"/>
      <c r="L428" s="1430"/>
      <c r="M428" s="1430"/>
      <c r="N428" s="1430"/>
      <c r="O428" s="1430"/>
      <c r="P428" s="1430"/>
      <c r="T428" s="1241"/>
      <c r="U428" s="1241"/>
    </row>
    <row r="429" spans="1:21" ht="12.75">
      <c r="A429" s="1430"/>
      <c r="B429" s="1430"/>
      <c r="C429" s="1430"/>
      <c r="D429" s="1430"/>
      <c r="E429" s="1430"/>
      <c r="F429" s="1430"/>
      <c r="G429" s="1430"/>
      <c r="H429" s="1430"/>
      <c r="I429" s="1430"/>
      <c r="J429" s="1430"/>
      <c r="K429" s="1430"/>
      <c r="L429" s="1430"/>
      <c r="M429" s="1430"/>
      <c r="N429" s="1430"/>
      <c r="O429" s="1430"/>
      <c r="P429" s="1430"/>
      <c r="T429" s="1241"/>
      <c r="U429" s="1241"/>
    </row>
    <row r="430" spans="1:21" ht="12.75">
      <c r="A430" s="1430"/>
      <c r="B430" s="1430"/>
      <c r="C430" s="1430"/>
      <c r="D430" s="1430"/>
      <c r="E430" s="1430"/>
      <c r="F430" s="1430"/>
      <c r="G430" s="1430"/>
      <c r="H430" s="1430"/>
      <c r="I430" s="1430"/>
      <c r="J430" s="1430"/>
      <c r="K430" s="1430"/>
      <c r="L430" s="1430"/>
      <c r="M430" s="1430"/>
      <c r="N430" s="1430"/>
      <c r="O430" s="1430"/>
      <c r="P430" s="1430"/>
      <c r="T430" s="1241"/>
      <c r="U430" s="1241"/>
    </row>
    <row r="431" spans="1:21" ht="12.75">
      <c r="A431" s="1430"/>
      <c r="B431" s="1430"/>
      <c r="C431" s="1430"/>
      <c r="D431" s="1430"/>
      <c r="E431" s="1430"/>
      <c r="F431" s="1430"/>
      <c r="G431" s="1430"/>
      <c r="H431" s="1430"/>
      <c r="I431" s="1430"/>
      <c r="J431" s="1430"/>
      <c r="K431" s="1430"/>
      <c r="L431" s="1430"/>
      <c r="M431" s="1430"/>
      <c r="N431" s="1430"/>
      <c r="O431" s="1430"/>
      <c r="P431" s="1430"/>
      <c r="T431" s="1241"/>
      <c r="U431" s="1241"/>
    </row>
    <row r="432" spans="1:21" ht="12.75">
      <c r="A432" s="1430"/>
      <c r="B432" s="1430"/>
      <c r="C432" s="1430"/>
      <c r="D432" s="1430"/>
      <c r="E432" s="1430"/>
      <c r="F432" s="1430"/>
      <c r="G432" s="1430"/>
      <c r="H432" s="1430"/>
      <c r="I432" s="1430"/>
      <c r="J432" s="1430"/>
      <c r="K432" s="1430"/>
      <c r="L432" s="1430"/>
      <c r="M432" s="1430"/>
      <c r="N432" s="1430"/>
      <c r="O432" s="1430"/>
      <c r="P432" s="1430"/>
      <c r="T432" s="1241"/>
      <c r="U432" s="1241"/>
    </row>
    <row r="433" spans="1:21" ht="12.75">
      <c r="A433" s="1430"/>
      <c r="B433" s="1430"/>
      <c r="C433" s="1430"/>
      <c r="D433" s="1430"/>
      <c r="E433" s="1430"/>
      <c r="F433" s="1430"/>
      <c r="G433" s="1430"/>
      <c r="H433" s="1430"/>
      <c r="I433" s="1430"/>
      <c r="J433" s="1430"/>
      <c r="K433" s="1430"/>
      <c r="L433" s="1430"/>
      <c r="M433" s="1430"/>
      <c r="N433" s="1430"/>
      <c r="O433" s="1430"/>
      <c r="P433" s="1430"/>
      <c r="T433" s="1241"/>
      <c r="U433" s="1241"/>
    </row>
    <row r="434" spans="1:21" ht="12.75">
      <c r="A434" s="1430"/>
      <c r="B434" s="1430"/>
      <c r="C434" s="1430"/>
      <c r="D434" s="1430"/>
      <c r="E434" s="1430"/>
      <c r="F434" s="1430"/>
      <c r="G434" s="1430"/>
      <c r="H434" s="1430"/>
      <c r="I434" s="1430"/>
      <c r="J434" s="1430"/>
      <c r="K434" s="1430"/>
      <c r="L434" s="1430"/>
      <c r="M434" s="1430"/>
      <c r="N434" s="1430"/>
      <c r="O434" s="1430"/>
      <c r="P434" s="1430"/>
      <c r="T434" s="1241"/>
      <c r="U434" s="1241"/>
    </row>
    <row r="435" spans="1:21" ht="12.75">
      <c r="A435" s="1430"/>
      <c r="B435" s="1430"/>
      <c r="C435" s="1430"/>
      <c r="D435" s="1430"/>
      <c r="E435" s="1430"/>
      <c r="F435" s="1430"/>
      <c r="G435" s="1430"/>
      <c r="H435" s="1430"/>
      <c r="I435" s="1430"/>
      <c r="J435" s="1430"/>
      <c r="K435" s="1430"/>
      <c r="L435" s="1430"/>
      <c r="M435" s="1430"/>
      <c r="N435" s="1430"/>
      <c r="O435" s="1430"/>
      <c r="P435" s="1430"/>
      <c r="T435" s="1241"/>
      <c r="U435" s="1241"/>
    </row>
    <row r="436" spans="1:21" ht="12.75">
      <c r="A436" s="1430"/>
      <c r="B436" s="1430"/>
      <c r="C436" s="1430"/>
      <c r="D436" s="1430"/>
      <c r="E436" s="1430"/>
      <c r="F436" s="1430"/>
      <c r="G436" s="1430"/>
      <c r="H436" s="1430"/>
      <c r="I436" s="1430"/>
      <c r="J436" s="1430"/>
      <c r="K436" s="1430"/>
      <c r="L436" s="1430"/>
      <c r="M436" s="1430"/>
      <c r="N436" s="1430"/>
      <c r="O436" s="1430"/>
      <c r="P436" s="1430"/>
      <c r="T436" s="1241"/>
      <c r="U436" s="1241"/>
    </row>
    <row r="437" spans="1:21" ht="12.75">
      <c r="A437" s="1430"/>
      <c r="B437" s="1430"/>
      <c r="C437" s="1430"/>
      <c r="D437" s="1430"/>
      <c r="E437" s="1430"/>
      <c r="F437" s="1430"/>
      <c r="G437" s="1430"/>
      <c r="H437" s="1430"/>
      <c r="I437" s="1430"/>
      <c r="J437" s="1430"/>
      <c r="K437" s="1430"/>
      <c r="L437" s="1430"/>
      <c r="M437" s="1430"/>
      <c r="N437" s="1430"/>
      <c r="O437" s="1430"/>
      <c r="P437" s="1430"/>
      <c r="T437" s="1241"/>
      <c r="U437" s="1241"/>
    </row>
    <row r="438" spans="1:21" ht="12.75">
      <c r="A438" s="1430"/>
      <c r="B438" s="1430"/>
      <c r="C438" s="1430"/>
      <c r="D438" s="1430"/>
      <c r="E438" s="1430"/>
      <c r="F438" s="1430"/>
      <c r="G438" s="1430"/>
      <c r="H438" s="1430"/>
      <c r="I438" s="1430"/>
      <c r="J438" s="1430"/>
      <c r="K438" s="1430"/>
      <c r="L438" s="1430"/>
      <c r="M438" s="1430"/>
      <c r="N438" s="1430"/>
      <c r="O438" s="1430"/>
      <c r="P438" s="1430"/>
      <c r="T438" s="1241"/>
      <c r="U438" s="1241"/>
    </row>
    <row r="439" spans="20:21" ht="12.75">
      <c r="T439" s="1241"/>
      <c r="U439" s="1241"/>
    </row>
    <row r="440" spans="20:21" ht="12.75">
      <c r="T440" s="1241"/>
      <c r="U440" s="1241"/>
    </row>
    <row r="441" spans="20:21" ht="12.75">
      <c r="T441" s="1241"/>
      <c r="U441" s="1241"/>
    </row>
    <row r="442" spans="20:21" ht="12.75">
      <c r="T442" s="1241"/>
      <c r="U442" s="1241"/>
    </row>
    <row r="443" spans="20:21" ht="12.75">
      <c r="T443" s="1241"/>
      <c r="U443" s="1241"/>
    </row>
    <row r="444" spans="20:21" ht="12.75">
      <c r="T444" s="1241"/>
      <c r="U444" s="1241"/>
    </row>
    <row r="445" spans="20:21" ht="12.75">
      <c r="T445" s="1241"/>
      <c r="U445" s="1241"/>
    </row>
    <row r="446" spans="20:21" ht="12.75">
      <c r="T446" s="1241"/>
      <c r="U446" s="1241"/>
    </row>
    <row r="447" spans="20:21" ht="12.75">
      <c r="T447" s="1241"/>
      <c r="U447" s="1241"/>
    </row>
    <row r="448" spans="20:21" ht="12.75">
      <c r="T448" s="1241"/>
      <c r="U448" s="1241"/>
    </row>
    <row r="449" spans="20:21" ht="12.75">
      <c r="T449" s="1241"/>
      <c r="U449" s="1241"/>
    </row>
    <row r="450" spans="20:21" ht="12.75">
      <c r="T450" s="1241"/>
      <c r="U450" s="1241"/>
    </row>
    <row r="451" spans="20:21" ht="12.75">
      <c r="T451" s="1241"/>
      <c r="U451" s="1241"/>
    </row>
    <row r="452" spans="20:21" ht="12.75">
      <c r="T452" s="1241"/>
      <c r="U452" s="1241"/>
    </row>
    <row r="453" spans="20:21" ht="12.75">
      <c r="T453" s="1241"/>
      <c r="U453" s="1241"/>
    </row>
  </sheetData>
  <sheetProtection selectLockedCells="1" selectUnlockedCells="1"/>
  <mergeCells count="26">
    <mergeCell ref="A159:C159"/>
    <mergeCell ref="A168:C168"/>
    <mergeCell ref="B389:C389"/>
    <mergeCell ref="C399:D399"/>
    <mergeCell ref="A339:D339"/>
    <mergeCell ref="A344:C344"/>
    <mergeCell ref="B358:D358"/>
    <mergeCell ref="B387:C387"/>
    <mergeCell ref="B222:D222"/>
    <mergeCell ref="A231:C231"/>
    <mergeCell ref="A277:C277"/>
    <mergeCell ref="A299:C299"/>
    <mergeCell ref="A48:C48"/>
    <mergeCell ref="A59:C59"/>
    <mergeCell ref="B203:C203"/>
    <mergeCell ref="A218:C218"/>
    <mergeCell ref="A76:C76"/>
    <mergeCell ref="A88:C88"/>
    <mergeCell ref="A105:D105"/>
    <mergeCell ref="A110:C110"/>
    <mergeCell ref="B130:C130"/>
    <mergeCell ref="A135:C135"/>
    <mergeCell ref="A3:C3"/>
    <mergeCell ref="A18:C18"/>
    <mergeCell ref="B42:C42"/>
    <mergeCell ref="B46:C46"/>
  </mergeCells>
  <conditionalFormatting sqref="E85 E60:E83 E53">
    <cfRule type="cellIs" priority="1" dxfId="0" operator="lessThan" stopIfTrue="1">
      <formula>0</formula>
    </cfRule>
  </conditionalFormatting>
  <dataValidations count="1">
    <dataValidation type="decimal" allowBlank="1" showErrorMessage="1" sqref="E179:F179">
      <formula1>-1000000000000</formula1>
      <formula2>99999999999999.9</formula2>
    </dataValidation>
  </dataValidations>
  <hyperlinks>
    <hyperlink ref="C3:C5" r:id="rId1" display="ANEXO 7"/>
    <hyperlink ref="C1" r:id="rId2" display="ANEXO 5"/>
    <hyperlink ref="C2" r:id="rId3" display="ANEXO 6"/>
    <hyperlink ref="C25" r:id="rId4" display="ANEXO 6"/>
    <hyperlink ref="C22:C23" r:id="rId5" display="ANEXO 7"/>
    <hyperlink ref="C20" r:id="rId6" display="ANEXO 5"/>
    <hyperlink ref="C21" r:id="rId7" display="ANEXO 6"/>
    <hyperlink ref="C16" r:id="rId8" display="ANEXO 11"/>
    <hyperlink ref="C101" r:id="rId9" display="ANEXO 6"/>
    <hyperlink ref="C103" r:id="rId10" display="ANEXO 11"/>
    <hyperlink ref="C323" r:id="rId11" display="ANEXO 6"/>
  </hyperlinks>
  <printOptions/>
  <pageMargins left="0.75" right="0.75" top="1" bottom="1" header="0.5118055555555555" footer="0.5118055555555555"/>
  <pageSetup horizontalDpi="300" verticalDpi="300" orientation="landscape" scale="55"/>
</worksheet>
</file>

<file path=xl/worksheets/sheet3.xml><?xml version="1.0" encoding="utf-8"?>
<worksheet xmlns="http://schemas.openxmlformats.org/spreadsheetml/2006/main" xmlns:r="http://schemas.openxmlformats.org/officeDocument/2006/relationships">
  <sheetPr>
    <tabColor indexed="11"/>
    <pageSetUpPr fitToPage="1"/>
  </sheetPr>
  <dimension ref="A1:Q42"/>
  <sheetViews>
    <sheetView showGridLines="0" zoomScale="50" zoomScaleNormal="50" zoomScaleSheetLayoutView="100" zoomScalePageLayoutView="0" workbookViewId="0" topLeftCell="K12">
      <selection activeCell="O13" sqref="O13:P13"/>
    </sheetView>
  </sheetViews>
  <sheetFormatPr defaultColWidth="9.140625" defaultRowHeight="12.75" outlineLevelRow="1"/>
  <cols>
    <col min="1" max="1" width="16.421875" style="16" customWidth="1"/>
    <col min="2" max="2" width="15.421875" style="16" customWidth="1"/>
    <col min="3" max="3" width="47.140625" style="16" customWidth="1"/>
    <col min="4" max="4" width="25.421875" style="16" customWidth="1"/>
    <col min="5" max="5" width="24.421875" style="16" customWidth="1"/>
    <col min="6" max="6" width="35.8515625" style="16" customWidth="1"/>
    <col min="7" max="7" width="23.28125" style="16" customWidth="1"/>
    <col min="8" max="8" width="24.421875" style="16" customWidth="1"/>
    <col min="9" max="9" width="20.28125" style="16" customWidth="1"/>
    <col min="10" max="10" width="18.7109375" style="16" customWidth="1"/>
    <col min="11" max="11" width="12.7109375" style="16" customWidth="1"/>
    <col min="12" max="12" width="23.7109375" style="16" customWidth="1"/>
    <col min="13" max="13" width="27.57421875" style="16" customWidth="1"/>
    <col min="14" max="14" width="21.00390625" style="16" customWidth="1"/>
    <col min="15" max="15" width="111.421875" style="16" customWidth="1"/>
    <col min="16" max="16" width="85.57421875" style="16" customWidth="1"/>
    <col min="17" max="17" width="80.00390625" style="16" hidden="1" customWidth="1"/>
    <col min="18" max="16384" width="9.140625" style="16" customWidth="1"/>
  </cols>
  <sheetData>
    <row r="1" spans="1:16" ht="25.5" customHeight="1">
      <c r="A1" s="1614" t="s">
        <v>129</v>
      </c>
      <c r="B1" s="1614"/>
      <c r="C1" s="1614"/>
      <c r="D1" s="1614"/>
      <c r="E1" s="1614"/>
      <c r="F1" s="1614"/>
      <c r="G1" s="1614"/>
      <c r="H1" s="17"/>
      <c r="I1" s="17"/>
      <c r="J1" s="18"/>
      <c r="K1" s="18"/>
      <c r="L1" s="19"/>
      <c r="M1" s="19"/>
      <c r="N1" s="19"/>
      <c r="O1" s="19"/>
      <c r="P1" s="19"/>
    </row>
    <row r="2" spans="1:16" ht="18.75" customHeight="1" thickBot="1">
      <c r="A2" s="72" t="s">
        <v>130</v>
      </c>
      <c r="B2" s="72"/>
      <c r="C2" s="32"/>
      <c r="D2" s="32"/>
      <c r="E2" s="46"/>
      <c r="F2" s="32"/>
      <c r="G2" s="32"/>
      <c r="H2" s="32"/>
      <c r="I2" s="32"/>
      <c r="J2" s="32"/>
      <c r="K2" s="19"/>
      <c r="L2" s="19"/>
      <c r="M2" s="19"/>
      <c r="N2" s="19"/>
      <c r="O2" s="19"/>
      <c r="P2" s="13"/>
    </row>
    <row r="3" spans="1:16" s="75" customFormat="1" ht="30.75" customHeight="1" thickBot="1">
      <c r="A3" s="1615" t="s">
        <v>131</v>
      </c>
      <c r="B3" s="1615"/>
      <c r="C3" s="1615"/>
      <c r="D3" s="1643" t="str">
        <f>IF('[5]PR_Programmatic Progress_1A'!C7="","",'[5]PR_Programmatic Progress_1A'!C7)</f>
        <v>SLV-910-G08-T</v>
      </c>
      <c r="E3" s="1643"/>
      <c r="F3" s="1643"/>
      <c r="G3" s="1643"/>
      <c r="H3" s="73"/>
      <c r="I3" s="74"/>
      <c r="J3" s="73"/>
      <c r="K3" s="73"/>
      <c r="L3" s="73"/>
      <c r="M3" s="73"/>
      <c r="N3" s="73"/>
      <c r="O3" s="73"/>
      <c r="P3" s="73"/>
    </row>
    <row r="4" spans="1:16" s="75" customFormat="1" ht="24.75" customHeight="1">
      <c r="A4" s="76" t="s">
        <v>87</v>
      </c>
      <c r="B4" s="77"/>
      <c r="C4" s="77"/>
      <c r="D4" s="36" t="s">
        <v>132</v>
      </c>
      <c r="E4" s="1569" t="str">
        <f>IF('[5]PR_Programmatic Progress_1A'!D12="Select","",'[5]PR_Programmatic Progress_1A'!D12)</f>
        <v>Semestral</v>
      </c>
      <c r="F4" s="42" t="s">
        <v>90</v>
      </c>
      <c r="G4" s="1570">
        <v>10</v>
      </c>
      <c r="H4" s="73"/>
      <c r="I4" s="73"/>
      <c r="J4" s="73"/>
      <c r="K4" s="73"/>
      <c r="L4" s="73"/>
      <c r="M4" s="73"/>
      <c r="N4" s="73"/>
      <c r="O4" s="73"/>
      <c r="P4" s="73"/>
    </row>
    <row r="5" spans="1:16" s="75" customFormat="1" ht="27.75" customHeight="1">
      <c r="A5" s="39" t="s">
        <v>133</v>
      </c>
      <c r="B5" s="40"/>
      <c r="C5" s="40"/>
      <c r="D5" s="41" t="s">
        <v>92</v>
      </c>
      <c r="E5" s="1571">
        <v>42005</v>
      </c>
      <c r="F5" s="42" t="s">
        <v>134</v>
      </c>
      <c r="G5" s="1572">
        <v>42185</v>
      </c>
      <c r="H5" s="73"/>
      <c r="I5" s="73"/>
      <c r="J5" s="73"/>
      <c r="K5" s="73"/>
      <c r="L5" s="73"/>
      <c r="M5" s="73"/>
      <c r="N5" s="73"/>
      <c r="O5" s="73"/>
      <c r="P5" s="73"/>
    </row>
    <row r="6" spans="1:16" s="75" customFormat="1" ht="17.25" customHeight="1" thickBot="1">
      <c r="A6" s="43" t="s">
        <v>94</v>
      </c>
      <c r="B6" s="45"/>
      <c r="C6" s="44"/>
      <c r="D6" s="1644">
        <v>10</v>
      </c>
      <c r="E6" s="1644"/>
      <c r="F6" s="1644"/>
      <c r="G6" s="1644"/>
      <c r="H6" s="73"/>
      <c r="I6" s="73"/>
      <c r="J6" s="73"/>
      <c r="K6" s="73"/>
      <c r="L6" s="73"/>
      <c r="M6" s="73"/>
      <c r="N6" s="73"/>
      <c r="O6" s="73"/>
      <c r="P6" s="73"/>
    </row>
    <row r="7" spans="1:16" s="75" customFormat="1" ht="15.75" customHeight="1">
      <c r="A7" s="79"/>
      <c r="B7" s="79"/>
      <c r="C7" s="79"/>
      <c r="D7" s="80"/>
      <c r="E7" s="80"/>
      <c r="F7" s="80"/>
      <c r="G7" s="80"/>
      <c r="H7" s="81"/>
      <c r="I7" s="81"/>
      <c r="J7" s="73"/>
      <c r="K7" s="73"/>
      <c r="L7" s="73"/>
      <c r="M7" s="73"/>
      <c r="N7" s="73"/>
      <c r="O7" s="73"/>
      <c r="P7" s="73"/>
    </row>
    <row r="8" spans="1:16" s="50" customFormat="1" ht="22.5" customHeight="1" thickBot="1">
      <c r="A8" s="82" t="s">
        <v>135</v>
      </c>
      <c r="B8" s="83"/>
      <c r="C8" s="84"/>
      <c r="D8" s="84"/>
      <c r="E8" s="84"/>
      <c r="F8" s="84"/>
      <c r="G8" s="84"/>
      <c r="H8" s="84"/>
      <c r="I8" s="84"/>
      <c r="J8" s="84"/>
      <c r="K8" s="84"/>
      <c r="L8" s="84"/>
      <c r="M8" s="84"/>
      <c r="N8" s="84"/>
      <c r="O8" s="84"/>
      <c r="P8" s="84"/>
    </row>
    <row r="9" spans="1:17" s="54" customFormat="1" ht="20.25" customHeight="1" thickBot="1">
      <c r="A9" s="1647" t="s">
        <v>136</v>
      </c>
      <c r="B9" s="1648"/>
      <c r="C9" s="1648"/>
      <c r="D9" s="1648"/>
      <c r="E9" s="1648"/>
      <c r="F9" s="1648"/>
      <c r="G9" s="1648"/>
      <c r="H9" s="1648"/>
      <c r="I9" s="1648"/>
      <c r="J9" s="1648"/>
      <c r="K9" s="1648"/>
      <c r="L9" s="1648"/>
      <c r="M9" s="1648"/>
      <c r="N9" s="1648"/>
      <c r="O9" s="1648"/>
      <c r="P9" s="1649"/>
      <c r="Q9" s="1609" t="s">
        <v>1155</v>
      </c>
    </row>
    <row r="10" spans="1:17" ht="39.75" customHeight="1">
      <c r="A10" s="1645" t="s">
        <v>137</v>
      </c>
      <c r="B10" s="1645" t="s">
        <v>138</v>
      </c>
      <c r="C10" s="1645" t="s">
        <v>103</v>
      </c>
      <c r="D10" s="1645"/>
      <c r="E10" s="1645"/>
      <c r="F10" s="1645"/>
      <c r="G10" s="1645" t="s">
        <v>139</v>
      </c>
      <c r="H10" s="1645" t="s">
        <v>140</v>
      </c>
      <c r="I10" s="1645" t="s">
        <v>141</v>
      </c>
      <c r="J10" s="1645" t="s">
        <v>104</v>
      </c>
      <c r="K10" s="1645"/>
      <c r="L10" s="1645" t="s">
        <v>142</v>
      </c>
      <c r="M10" s="1656" t="s">
        <v>1169</v>
      </c>
      <c r="N10" s="1650" t="s">
        <v>143</v>
      </c>
      <c r="O10" s="1652" t="s">
        <v>144</v>
      </c>
      <c r="P10" s="1653"/>
      <c r="Q10" s="1610"/>
    </row>
    <row r="11" spans="1:17" ht="58.5" customHeight="1">
      <c r="A11" s="1646"/>
      <c r="B11" s="1646"/>
      <c r="C11" s="1646"/>
      <c r="D11" s="1646"/>
      <c r="E11" s="1646"/>
      <c r="F11" s="1646"/>
      <c r="G11" s="1646"/>
      <c r="H11" s="1646"/>
      <c r="I11" s="1646"/>
      <c r="J11" s="1573" t="s">
        <v>145</v>
      </c>
      <c r="K11" s="1573" t="s">
        <v>111</v>
      </c>
      <c r="L11" s="1646"/>
      <c r="M11" s="1657"/>
      <c r="N11" s="1651"/>
      <c r="O11" s="1654"/>
      <c r="P11" s="1655"/>
      <c r="Q11" s="1611"/>
    </row>
    <row r="12" spans="1:17" ht="345" customHeight="1">
      <c r="A12" s="1574">
        <v>1</v>
      </c>
      <c r="B12" s="1574">
        <v>1.1</v>
      </c>
      <c r="C12" s="1640" t="s">
        <v>146</v>
      </c>
      <c r="D12" s="1640"/>
      <c r="E12" s="1640"/>
      <c r="F12" s="1640"/>
      <c r="G12" s="1575" t="s">
        <v>147</v>
      </c>
      <c r="H12" s="1575" t="s">
        <v>148</v>
      </c>
      <c r="I12" s="1575" t="s">
        <v>149</v>
      </c>
      <c r="J12" s="1576" t="s">
        <v>150</v>
      </c>
      <c r="K12" s="1577" t="s">
        <v>122</v>
      </c>
      <c r="L12" s="1578" t="s">
        <v>1170</v>
      </c>
      <c r="M12" s="1579" t="s">
        <v>1171</v>
      </c>
      <c r="N12" s="1580">
        <f>5.6/41</f>
        <v>0.13658536585365852</v>
      </c>
      <c r="O12" s="1641" t="s">
        <v>1172</v>
      </c>
      <c r="P12" s="1642"/>
      <c r="Q12" s="1561" t="s">
        <v>1173</v>
      </c>
    </row>
    <row r="13" spans="1:17" ht="381" customHeight="1">
      <c r="A13" s="1574">
        <v>1</v>
      </c>
      <c r="B13" s="1574">
        <v>1.2</v>
      </c>
      <c r="C13" s="1640" t="s">
        <v>151</v>
      </c>
      <c r="D13" s="1640"/>
      <c r="E13" s="1640"/>
      <c r="F13" s="1640"/>
      <c r="G13" s="1575" t="s">
        <v>147</v>
      </c>
      <c r="H13" s="1575" t="s">
        <v>148</v>
      </c>
      <c r="I13" s="1575" t="s">
        <v>152</v>
      </c>
      <c r="J13" s="1576" t="s">
        <v>153</v>
      </c>
      <c r="K13" s="1577" t="s">
        <v>122</v>
      </c>
      <c r="L13" s="1578" t="s">
        <v>1174</v>
      </c>
      <c r="M13" s="1579" t="s">
        <v>1175</v>
      </c>
      <c r="N13" s="1580">
        <f>9.5/15.3</f>
        <v>0.6209150326797386</v>
      </c>
      <c r="O13" s="1658" t="s">
        <v>1176</v>
      </c>
      <c r="P13" s="1659"/>
      <c r="Q13" s="1561" t="s">
        <v>1177</v>
      </c>
    </row>
    <row r="14" spans="1:17" ht="204" customHeight="1">
      <c r="A14" s="1574">
        <v>1</v>
      </c>
      <c r="B14" s="1574">
        <v>1.3</v>
      </c>
      <c r="C14" s="1640" t="s">
        <v>154</v>
      </c>
      <c r="D14" s="1640"/>
      <c r="E14" s="1640"/>
      <c r="F14" s="1640"/>
      <c r="G14" s="1575" t="s">
        <v>147</v>
      </c>
      <c r="H14" s="1575" t="s">
        <v>148</v>
      </c>
      <c r="I14" s="1575" t="s">
        <v>149</v>
      </c>
      <c r="J14" s="1576" t="s">
        <v>155</v>
      </c>
      <c r="K14" s="1577" t="s">
        <v>122</v>
      </c>
      <c r="L14" s="1578" t="s">
        <v>1178</v>
      </c>
      <c r="M14" s="1579" t="s">
        <v>1179</v>
      </c>
      <c r="N14" s="1581">
        <v>1.2</v>
      </c>
      <c r="O14" s="1659" t="s">
        <v>1180</v>
      </c>
      <c r="P14" s="1659"/>
      <c r="Q14" s="1561" t="s">
        <v>1181</v>
      </c>
    </row>
    <row r="15" spans="1:17" ht="258.75" customHeight="1">
      <c r="A15" s="1574">
        <v>1</v>
      </c>
      <c r="B15" s="1574">
        <v>1.4</v>
      </c>
      <c r="C15" s="1640" t="s">
        <v>1182</v>
      </c>
      <c r="D15" s="1640"/>
      <c r="E15" s="1640"/>
      <c r="F15" s="1640"/>
      <c r="G15" s="1575" t="s">
        <v>156</v>
      </c>
      <c r="H15" s="1575" t="s">
        <v>148</v>
      </c>
      <c r="I15" s="1575" t="s">
        <v>152</v>
      </c>
      <c r="J15" s="1582">
        <v>826</v>
      </c>
      <c r="K15" s="1577" t="s">
        <v>122</v>
      </c>
      <c r="L15" s="1583">
        <v>652</v>
      </c>
      <c r="M15" s="1579">
        <v>779</v>
      </c>
      <c r="N15" s="1581">
        <f>779/652</f>
        <v>1.1947852760736197</v>
      </c>
      <c r="O15" s="1659" t="s">
        <v>1183</v>
      </c>
      <c r="P15" s="1659"/>
      <c r="Q15" s="1561" t="s">
        <v>1162</v>
      </c>
    </row>
    <row r="16" spans="1:17" ht="309" customHeight="1">
      <c r="A16" s="1574">
        <v>1</v>
      </c>
      <c r="B16" s="1574">
        <v>1.5</v>
      </c>
      <c r="C16" s="1640" t="s">
        <v>157</v>
      </c>
      <c r="D16" s="1640"/>
      <c r="E16" s="1640"/>
      <c r="F16" s="1640"/>
      <c r="G16" s="1575" t="s">
        <v>156</v>
      </c>
      <c r="H16" s="1575" t="s">
        <v>148</v>
      </c>
      <c r="I16" s="1575" t="s">
        <v>152</v>
      </c>
      <c r="J16" s="1582">
        <v>477</v>
      </c>
      <c r="K16" s="1577" t="s">
        <v>122</v>
      </c>
      <c r="L16" s="1584">
        <v>361</v>
      </c>
      <c r="M16" s="1579">
        <v>447</v>
      </c>
      <c r="N16" s="1581">
        <v>1.2</v>
      </c>
      <c r="O16" s="1659" t="s">
        <v>1184</v>
      </c>
      <c r="P16" s="1659"/>
      <c r="Q16" s="1561" t="s">
        <v>1162</v>
      </c>
    </row>
    <row r="17" spans="1:17" ht="282.75" customHeight="1">
      <c r="A17" s="1574">
        <v>1</v>
      </c>
      <c r="B17" s="1574">
        <v>1.6</v>
      </c>
      <c r="C17" s="1640" t="s">
        <v>158</v>
      </c>
      <c r="D17" s="1640"/>
      <c r="E17" s="1640"/>
      <c r="F17" s="1640"/>
      <c r="G17" s="1575" t="s">
        <v>156</v>
      </c>
      <c r="H17" s="1575" t="s">
        <v>148</v>
      </c>
      <c r="I17" s="1575" t="s">
        <v>152</v>
      </c>
      <c r="J17" s="1585" t="s">
        <v>159</v>
      </c>
      <c r="K17" s="1577" t="s">
        <v>122</v>
      </c>
      <c r="L17" s="1578" t="s">
        <v>1185</v>
      </c>
      <c r="M17" s="1579" t="s">
        <v>1186</v>
      </c>
      <c r="N17" s="1580">
        <f>92.7/92.2</f>
        <v>1.0054229934924077</v>
      </c>
      <c r="O17" s="1659" t="s">
        <v>1187</v>
      </c>
      <c r="P17" s="1659"/>
      <c r="Q17" s="1561" t="s">
        <v>1188</v>
      </c>
    </row>
    <row r="18" spans="1:17" ht="294" customHeight="1">
      <c r="A18" s="1574">
        <v>2</v>
      </c>
      <c r="B18" s="1574">
        <v>2.1</v>
      </c>
      <c r="C18" s="1640" t="s">
        <v>160</v>
      </c>
      <c r="D18" s="1640"/>
      <c r="E18" s="1640"/>
      <c r="F18" s="1640"/>
      <c r="G18" s="1575" t="s">
        <v>147</v>
      </c>
      <c r="H18" s="1575" t="s">
        <v>148</v>
      </c>
      <c r="I18" s="1575" t="s">
        <v>152</v>
      </c>
      <c r="J18" s="1582">
        <v>167</v>
      </c>
      <c r="K18" s="1577" t="s">
        <v>122</v>
      </c>
      <c r="L18" s="1584">
        <v>128</v>
      </c>
      <c r="M18" s="1579">
        <v>319</v>
      </c>
      <c r="N18" s="1581">
        <v>1.2</v>
      </c>
      <c r="O18" s="1659" t="s">
        <v>1189</v>
      </c>
      <c r="P18" s="1660"/>
      <c r="Q18" s="1561" t="s">
        <v>1190</v>
      </c>
    </row>
    <row r="19" spans="1:17" ht="253.5" customHeight="1">
      <c r="A19" s="1574">
        <v>2</v>
      </c>
      <c r="B19" s="1574">
        <v>2.2</v>
      </c>
      <c r="C19" s="1640" t="s">
        <v>161</v>
      </c>
      <c r="D19" s="1640"/>
      <c r="E19" s="1640"/>
      <c r="F19" s="1640"/>
      <c r="G19" s="1575" t="s">
        <v>147</v>
      </c>
      <c r="H19" s="1575" t="s">
        <v>148</v>
      </c>
      <c r="I19" s="1575" t="s">
        <v>152</v>
      </c>
      <c r="J19" s="1586" t="s">
        <v>162</v>
      </c>
      <c r="K19" s="1577" t="s">
        <v>122</v>
      </c>
      <c r="L19" s="1578" t="s">
        <v>1191</v>
      </c>
      <c r="M19" s="1579" t="s">
        <v>1192</v>
      </c>
      <c r="N19" s="1580">
        <f>96.33/97.7</f>
        <v>0.9859774820880245</v>
      </c>
      <c r="O19" s="1659" t="s">
        <v>1193</v>
      </c>
      <c r="P19" s="1660"/>
      <c r="Q19" s="1561" t="s">
        <v>1194</v>
      </c>
    </row>
    <row r="20" spans="1:17" ht="234.75" customHeight="1">
      <c r="A20" s="1574">
        <v>3</v>
      </c>
      <c r="B20" s="1574">
        <v>3.1</v>
      </c>
      <c r="C20" s="1640" t="s">
        <v>163</v>
      </c>
      <c r="D20" s="1640"/>
      <c r="E20" s="1640"/>
      <c r="F20" s="1640"/>
      <c r="G20" s="1575" t="s">
        <v>147</v>
      </c>
      <c r="H20" s="1575" t="s">
        <v>148</v>
      </c>
      <c r="I20" s="1575" t="s">
        <v>149</v>
      </c>
      <c r="J20" s="1576" t="s">
        <v>164</v>
      </c>
      <c r="K20" s="1577" t="s">
        <v>122</v>
      </c>
      <c r="L20" s="1578" t="s">
        <v>1195</v>
      </c>
      <c r="M20" s="1579" t="s">
        <v>1196</v>
      </c>
      <c r="N20" s="1580">
        <f>99.48/99.5</f>
        <v>0.9997989949748745</v>
      </c>
      <c r="O20" s="1659" t="s">
        <v>1197</v>
      </c>
      <c r="P20" s="1660"/>
      <c r="Q20" s="1561" t="s">
        <v>1198</v>
      </c>
    </row>
    <row r="21" spans="1:17" ht="237.75" customHeight="1">
      <c r="A21" s="1574">
        <v>3</v>
      </c>
      <c r="B21" s="1574">
        <v>3.2</v>
      </c>
      <c r="C21" s="1640" t="s">
        <v>165</v>
      </c>
      <c r="D21" s="1640"/>
      <c r="E21" s="1640"/>
      <c r="F21" s="1640"/>
      <c r="G21" s="1575" t="s">
        <v>156</v>
      </c>
      <c r="H21" s="1575" t="s">
        <v>148</v>
      </c>
      <c r="I21" s="1575" t="s">
        <v>149</v>
      </c>
      <c r="J21" s="1576" t="s">
        <v>166</v>
      </c>
      <c r="K21" s="1577" t="s">
        <v>122</v>
      </c>
      <c r="L21" s="1587" t="s">
        <v>1199</v>
      </c>
      <c r="M21" s="1579" t="s">
        <v>1200</v>
      </c>
      <c r="N21" s="1580">
        <f>98.11/93.1</f>
        <v>1.0538131041890442</v>
      </c>
      <c r="O21" s="1659" t="s">
        <v>1201</v>
      </c>
      <c r="P21" s="1660"/>
      <c r="Q21" s="1561" t="s">
        <v>1202</v>
      </c>
    </row>
    <row r="22" spans="1:17" ht="264" customHeight="1">
      <c r="A22" s="1574">
        <v>3</v>
      </c>
      <c r="B22" s="1574">
        <v>3.3</v>
      </c>
      <c r="C22" s="1640" t="s">
        <v>167</v>
      </c>
      <c r="D22" s="1640"/>
      <c r="E22" s="1640"/>
      <c r="F22" s="1640"/>
      <c r="G22" s="1575" t="s">
        <v>147</v>
      </c>
      <c r="H22" s="1575" t="s">
        <v>148</v>
      </c>
      <c r="I22" s="1575" t="s">
        <v>149</v>
      </c>
      <c r="J22" s="1576" t="s">
        <v>168</v>
      </c>
      <c r="K22" s="1577" t="s">
        <v>122</v>
      </c>
      <c r="L22" s="1587" t="s">
        <v>1203</v>
      </c>
      <c r="M22" s="1579" t="s">
        <v>1204</v>
      </c>
      <c r="N22" s="1580">
        <f>27.54/93.2</f>
        <v>0.29549356223175965</v>
      </c>
      <c r="O22" s="1660" t="s">
        <v>1205</v>
      </c>
      <c r="P22" s="1661"/>
      <c r="Q22" s="1561" t="s">
        <v>1206</v>
      </c>
    </row>
    <row r="23" spans="1:17" ht="264" customHeight="1">
      <c r="A23" s="1574">
        <v>3</v>
      </c>
      <c r="B23" s="1574">
        <v>3.4</v>
      </c>
      <c r="C23" s="1640" t="s">
        <v>169</v>
      </c>
      <c r="D23" s="1640"/>
      <c r="E23" s="1640"/>
      <c r="F23" s="1640"/>
      <c r="G23" s="1575" t="s">
        <v>156</v>
      </c>
      <c r="H23" s="1575" t="s">
        <v>170</v>
      </c>
      <c r="I23" s="1575" t="s">
        <v>152</v>
      </c>
      <c r="J23" s="1576" t="s">
        <v>171</v>
      </c>
      <c r="K23" s="1577" t="s">
        <v>172</v>
      </c>
      <c r="L23" s="1587" t="s">
        <v>1207</v>
      </c>
      <c r="M23" s="1579" t="s">
        <v>1208</v>
      </c>
      <c r="N23" s="1581">
        <v>1.2</v>
      </c>
      <c r="O23" s="1660" t="s">
        <v>1209</v>
      </c>
      <c r="P23" s="1661"/>
      <c r="Q23" s="1561" t="s">
        <v>1210</v>
      </c>
    </row>
    <row r="24" spans="1:17" ht="220.5" customHeight="1">
      <c r="A24" s="1574">
        <v>4</v>
      </c>
      <c r="B24" s="1574">
        <v>4.1</v>
      </c>
      <c r="C24" s="1640" t="s">
        <v>173</v>
      </c>
      <c r="D24" s="1640"/>
      <c r="E24" s="1640"/>
      <c r="F24" s="1640"/>
      <c r="G24" s="1575" t="s">
        <v>147</v>
      </c>
      <c r="H24" s="1575" t="s">
        <v>148</v>
      </c>
      <c r="I24" s="1575" t="s">
        <v>149</v>
      </c>
      <c r="J24" s="1586" t="s">
        <v>174</v>
      </c>
      <c r="K24" s="1577" t="s">
        <v>122</v>
      </c>
      <c r="L24" s="1588" t="s">
        <v>1211</v>
      </c>
      <c r="M24" s="1579" t="s">
        <v>1212</v>
      </c>
      <c r="N24" s="1580">
        <f>91.75/94</f>
        <v>0.976063829787234</v>
      </c>
      <c r="O24" s="1660" t="s">
        <v>1213</v>
      </c>
      <c r="P24" s="1660"/>
      <c r="Q24" s="1561" t="s">
        <v>1214</v>
      </c>
    </row>
    <row r="25" spans="1:17" ht="207.75" customHeight="1">
      <c r="A25" s="1574">
        <v>5</v>
      </c>
      <c r="B25" s="1574">
        <v>5.1</v>
      </c>
      <c r="C25" s="1640" t="s">
        <v>175</v>
      </c>
      <c r="D25" s="1640"/>
      <c r="E25" s="1640"/>
      <c r="F25" s="1640"/>
      <c r="G25" s="1575" t="s">
        <v>147</v>
      </c>
      <c r="H25" s="1575" t="s">
        <v>148</v>
      </c>
      <c r="I25" s="1575" t="s">
        <v>149</v>
      </c>
      <c r="J25" s="1582" t="s">
        <v>176</v>
      </c>
      <c r="K25" s="1577" t="s">
        <v>122</v>
      </c>
      <c r="L25" s="1589">
        <v>1</v>
      </c>
      <c r="M25" s="1579" t="s">
        <v>1215</v>
      </c>
      <c r="N25" s="1580">
        <f>1/1</f>
        <v>1</v>
      </c>
      <c r="O25" s="1660" t="s">
        <v>1216</v>
      </c>
      <c r="P25" s="1661"/>
      <c r="Q25" s="1561" t="s">
        <v>1217</v>
      </c>
    </row>
    <row r="26" spans="1:17" ht="159.75" customHeight="1">
      <c r="A26" s="1574">
        <v>5</v>
      </c>
      <c r="B26" s="1574">
        <v>5.2</v>
      </c>
      <c r="C26" s="1640" t="s">
        <v>177</v>
      </c>
      <c r="D26" s="1640"/>
      <c r="E26" s="1640"/>
      <c r="F26" s="1640"/>
      <c r="G26" s="1575" t="s">
        <v>156</v>
      </c>
      <c r="H26" s="1575" t="s">
        <v>170</v>
      </c>
      <c r="I26" s="1575" t="s">
        <v>149</v>
      </c>
      <c r="J26" s="1582" t="s">
        <v>178</v>
      </c>
      <c r="K26" s="1577" t="s">
        <v>122</v>
      </c>
      <c r="L26" s="1587" t="s">
        <v>1218</v>
      </c>
      <c r="M26" s="1579" t="s">
        <v>1219</v>
      </c>
      <c r="N26" s="1581">
        <v>1</v>
      </c>
      <c r="O26" s="1660" t="s">
        <v>1220</v>
      </c>
      <c r="P26" s="1661"/>
      <c r="Q26" s="1561" t="s">
        <v>1221</v>
      </c>
    </row>
    <row r="27" spans="1:17" ht="215.25" customHeight="1" outlineLevel="1">
      <c r="A27" s="1574">
        <v>5</v>
      </c>
      <c r="B27" s="1574">
        <v>5.3</v>
      </c>
      <c r="C27" s="1640" t="s">
        <v>179</v>
      </c>
      <c r="D27" s="1640"/>
      <c r="E27" s="1640"/>
      <c r="F27" s="1640"/>
      <c r="G27" s="1575" t="s">
        <v>147</v>
      </c>
      <c r="H27" s="1575" t="s">
        <v>148</v>
      </c>
      <c r="I27" s="1575" t="s">
        <v>152</v>
      </c>
      <c r="J27" s="1586" t="s">
        <v>180</v>
      </c>
      <c r="K27" s="1577" t="s">
        <v>122</v>
      </c>
      <c r="L27" s="1590" t="s">
        <v>1222</v>
      </c>
      <c r="M27" s="1579" t="s">
        <v>1223</v>
      </c>
      <c r="N27" s="1581">
        <v>1.2</v>
      </c>
      <c r="O27" s="1660" t="s">
        <v>1224</v>
      </c>
      <c r="P27" s="1660"/>
      <c r="Q27" s="1561" t="s">
        <v>1225</v>
      </c>
    </row>
    <row r="28" spans="1:16" ht="37.5" customHeight="1" outlineLevel="1">
      <c r="A28" s="1591"/>
      <c r="B28" s="1592"/>
      <c r="C28" s="1662"/>
      <c r="D28" s="1662"/>
      <c r="E28" s="1662"/>
      <c r="F28" s="1662"/>
      <c r="G28" s="1591"/>
      <c r="H28" s="1591"/>
      <c r="I28" s="1591"/>
      <c r="J28" s="1593"/>
      <c r="K28" s="1594"/>
      <c r="L28" s="1593"/>
      <c r="M28" s="1593"/>
      <c r="N28" s="1595"/>
      <c r="O28" s="1662"/>
      <c r="P28" s="1662"/>
    </row>
    <row r="29" spans="1:16" ht="37.5" customHeight="1" hidden="1" outlineLevel="1">
      <c r="A29" s="1591"/>
      <c r="B29" s="1592"/>
      <c r="C29" s="1662"/>
      <c r="D29" s="1662"/>
      <c r="E29" s="1662"/>
      <c r="F29" s="1662"/>
      <c r="G29" s="1591"/>
      <c r="H29" s="1591"/>
      <c r="I29" s="1591"/>
      <c r="J29" s="1593"/>
      <c r="K29" s="1594"/>
      <c r="L29" s="1593"/>
      <c r="M29" s="1593"/>
      <c r="N29" s="1595"/>
      <c r="O29" s="1662"/>
      <c r="P29" s="1662"/>
    </row>
    <row r="30" spans="1:16" ht="37.5" customHeight="1" hidden="1" outlineLevel="1">
      <c r="A30" s="1591"/>
      <c r="B30" s="1592"/>
      <c r="C30" s="1662"/>
      <c r="D30" s="1662"/>
      <c r="E30" s="1662"/>
      <c r="F30" s="1662"/>
      <c r="G30" s="1591"/>
      <c r="H30" s="1591"/>
      <c r="I30" s="1591"/>
      <c r="J30" s="1593"/>
      <c r="K30" s="1594"/>
      <c r="L30" s="1593"/>
      <c r="M30" s="1593"/>
      <c r="N30" s="1595"/>
      <c r="O30" s="1662"/>
      <c r="P30" s="1662"/>
    </row>
    <row r="31" spans="1:16" ht="37.5" customHeight="1" hidden="1" outlineLevel="1">
      <c r="A31" s="1591"/>
      <c r="B31" s="1592"/>
      <c r="C31" s="1662"/>
      <c r="D31" s="1662"/>
      <c r="E31" s="1662"/>
      <c r="F31" s="1662"/>
      <c r="G31" s="1591"/>
      <c r="H31" s="1591"/>
      <c r="I31" s="1591"/>
      <c r="J31" s="1593"/>
      <c r="K31" s="1594"/>
      <c r="L31" s="1593"/>
      <c r="M31" s="1593"/>
      <c r="N31" s="1595"/>
      <c r="O31" s="1662"/>
      <c r="P31" s="1662"/>
    </row>
    <row r="32" spans="1:16" ht="10.5" customHeight="1" hidden="1">
      <c r="A32" s="1663"/>
      <c r="B32" s="1663"/>
      <c r="C32" s="1663"/>
      <c r="D32" s="1663"/>
      <c r="E32" s="1663"/>
      <c r="F32" s="1663"/>
      <c r="G32" s="1663"/>
      <c r="H32" s="1663"/>
      <c r="I32" s="1663"/>
      <c r="J32" s="1663"/>
      <c r="K32" s="1663"/>
      <c r="L32" s="1663"/>
      <c r="M32" s="1663"/>
      <c r="N32" s="1663"/>
      <c r="O32" s="1663"/>
      <c r="P32" s="1663"/>
    </row>
    <row r="33" spans="1:16" ht="37.5" customHeight="1" hidden="1" outlineLevel="1">
      <c r="A33" s="1591"/>
      <c r="B33" s="1592"/>
      <c r="C33" s="1662"/>
      <c r="D33" s="1662"/>
      <c r="E33" s="1662"/>
      <c r="F33" s="1662"/>
      <c r="G33" s="1591"/>
      <c r="H33" s="1591"/>
      <c r="I33" s="1591"/>
      <c r="J33" s="1593"/>
      <c r="K33" s="1594"/>
      <c r="L33" s="1593"/>
      <c r="M33" s="1593"/>
      <c r="N33" s="1595"/>
      <c r="O33" s="1662"/>
      <c r="P33" s="1662"/>
    </row>
    <row r="34" spans="1:16" ht="37.5" customHeight="1" hidden="1" outlineLevel="1">
      <c r="A34" s="1591"/>
      <c r="B34" s="1592"/>
      <c r="C34" s="1592"/>
      <c r="D34" s="1592"/>
      <c r="E34" s="1592"/>
      <c r="F34" s="1592"/>
      <c r="G34" s="1591"/>
      <c r="H34" s="1591"/>
      <c r="I34" s="1591"/>
      <c r="J34" s="1593"/>
      <c r="K34" s="1594"/>
      <c r="L34" s="1593"/>
      <c r="M34" s="1596"/>
      <c r="N34" s="1595"/>
      <c r="O34" s="1662"/>
      <c r="P34" s="1662"/>
    </row>
    <row r="35" spans="1:16" ht="37.5" customHeight="1" hidden="1" outlineLevel="1">
      <c r="A35" s="1591"/>
      <c r="B35" s="1592"/>
      <c r="C35" s="1592"/>
      <c r="D35" s="1592"/>
      <c r="E35" s="1592"/>
      <c r="F35" s="1592"/>
      <c r="G35" s="1591"/>
      <c r="H35" s="1591"/>
      <c r="I35" s="1591"/>
      <c r="J35" s="1593"/>
      <c r="K35" s="1594"/>
      <c r="L35" s="1593"/>
      <c r="M35" s="1593"/>
      <c r="N35" s="1595"/>
      <c r="O35" s="1662"/>
      <c r="P35" s="1662"/>
    </row>
    <row r="36" spans="1:16" ht="37.5" customHeight="1" hidden="1" outlineLevel="1">
      <c r="A36" s="1591"/>
      <c r="B36" s="1592"/>
      <c r="C36" s="1592"/>
      <c r="D36" s="1592"/>
      <c r="E36" s="1592"/>
      <c r="F36" s="1592"/>
      <c r="G36" s="1591"/>
      <c r="H36" s="1591"/>
      <c r="I36" s="1591"/>
      <c r="J36" s="1593"/>
      <c r="K36" s="1594"/>
      <c r="L36" s="1593"/>
      <c r="M36" s="1593"/>
      <c r="N36" s="1595"/>
      <c r="O36" s="1662"/>
      <c r="P36" s="1662"/>
    </row>
    <row r="37" spans="1:16" ht="37.5" customHeight="1" hidden="1" outlineLevel="1">
      <c r="A37" s="1591"/>
      <c r="B37" s="1592"/>
      <c r="C37" s="1592"/>
      <c r="D37" s="1592"/>
      <c r="E37" s="1592"/>
      <c r="F37" s="1592"/>
      <c r="G37" s="1591"/>
      <c r="H37" s="1591"/>
      <c r="I37" s="1591"/>
      <c r="J37" s="1593"/>
      <c r="K37" s="1594"/>
      <c r="L37" s="1593"/>
      <c r="M37" s="1593"/>
      <c r="N37" s="1595"/>
      <c r="O37" s="1662"/>
      <c r="P37" s="1662"/>
    </row>
    <row r="38" spans="1:16" ht="12.75" customHeight="1" collapsed="1">
      <c r="A38" s="86"/>
      <c r="B38" s="86"/>
      <c r="C38" s="87"/>
      <c r="D38" s="1666"/>
      <c r="E38" s="1666"/>
      <c r="F38" s="1666"/>
      <c r="G38" s="1666"/>
      <c r="H38" s="88"/>
      <c r="I38" s="88"/>
      <c r="J38" s="89"/>
      <c r="K38" s="86"/>
      <c r="L38" s="89"/>
      <c r="M38" s="89"/>
      <c r="N38" s="89"/>
      <c r="O38" s="89"/>
      <c r="P38" s="31"/>
    </row>
    <row r="39" spans="1:16" ht="24.75" customHeight="1">
      <c r="A39" s="1667"/>
      <c r="B39" s="1667"/>
      <c r="C39" s="1667"/>
      <c r="D39" s="1667"/>
      <c r="E39" s="1667"/>
      <c r="F39" s="1667"/>
      <c r="G39" s="74"/>
      <c r="H39" s="74"/>
      <c r="I39" s="74"/>
      <c r="J39" s="74"/>
      <c r="K39" s="74"/>
      <c r="L39" s="74"/>
      <c r="M39" s="74"/>
      <c r="N39" s="74"/>
      <c r="O39" s="74"/>
      <c r="P39" s="74"/>
    </row>
    <row r="40" spans="1:16" ht="32.25" customHeight="1">
      <c r="A40" s="1664" t="s">
        <v>181</v>
      </c>
      <c r="B40" s="1664"/>
      <c r="C40" s="1664"/>
      <c r="D40" s="1664"/>
      <c r="E40" s="1664"/>
      <c r="F40" s="1664"/>
      <c r="G40" s="1664"/>
      <c r="H40" s="1664"/>
      <c r="I40" s="1664"/>
      <c r="J40" s="1664"/>
      <c r="K40" s="1664"/>
      <c r="L40" s="1664"/>
      <c r="M40" s="1664"/>
      <c r="N40" s="1664"/>
      <c r="O40" s="1664"/>
      <c r="P40" s="1664"/>
    </row>
    <row r="41" spans="1:16" ht="24.75" customHeight="1" thickBot="1">
      <c r="A41" s="1664"/>
      <c r="B41" s="1664"/>
      <c r="C41" s="1664"/>
      <c r="D41" s="1664"/>
      <c r="E41" s="1664"/>
      <c r="F41" s="1664"/>
      <c r="G41" s="1664"/>
      <c r="H41" s="1664"/>
      <c r="I41" s="1664"/>
      <c r="J41" s="1664"/>
      <c r="K41" s="1664"/>
      <c r="L41" s="1664"/>
      <c r="M41" s="1664"/>
      <c r="N41" s="1664"/>
      <c r="O41" s="1664"/>
      <c r="P41" s="1664"/>
    </row>
    <row r="42" spans="1:16" ht="97.5" customHeight="1" thickBot="1">
      <c r="A42" s="1665" t="s">
        <v>1226</v>
      </c>
      <c r="B42" s="1665"/>
      <c r="C42" s="1665"/>
      <c r="D42" s="1665"/>
      <c r="E42" s="1665"/>
      <c r="F42" s="1665"/>
      <c r="G42" s="1665"/>
      <c r="H42" s="1665"/>
      <c r="I42" s="1665"/>
      <c r="J42" s="1665"/>
      <c r="K42" s="1665"/>
      <c r="L42" s="1665"/>
      <c r="M42" s="1665"/>
      <c r="N42" s="1665"/>
      <c r="O42" s="1665"/>
      <c r="P42" s="1665"/>
    </row>
    <row r="43" ht="7.5" customHeight="1"/>
  </sheetData>
  <sheetProtection selectLockedCells="1" selectUnlockedCells="1"/>
  <mergeCells count="68">
    <mergeCell ref="A40:P41"/>
    <mergeCell ref="A42:P42"/>
    <mergeCell ref="O34:P34"/>
    <mergeCell ref="O35:P35"/>
    <mergeCell ref="O36:P36"/>
    <mergeCell ref="O37:P37"/>
    <mergeCell ref="D38:G38"/>
    <mergeCell ref="A39:F39"/>
    <mergeCell ref="C30:F30"/>
    <mergeCell ref="O30:P30"/>
    <mergeCell ref="C31:F31"/>
    <mergeCell ref="O31:P31"/>
    <mergeCell ref="A32:P32"/>
    <mergeCell ref="C33:F33"/>
    <mergeCell ref="O33:P33"/>
    <mergeCell ref="C27:F27"/>
    <mergeCell ref="O27:P27"/>
    <mergeCell ref="C28:F28"/>
    <mergeCell ref="O28:P28"/>
    <mergeCell ref="C29:F29"/>
    <mergeCell ref="O29:P29"/>
    <mergeCell ref="C24:F24"/>
    <mergeCell ref="O24:P24"/>
    <mergeCell ref="C25:F25"/>
    <mergeCell ref="O25:P25"/>
    <mergeCell ref="C26:F26"/>
    <mergeCell ref="O26:P26"/>
    <mergeCell ref="C21:F21"/>
    <mergeCell ref="O21:P21"/>
    <mergeCell ref="C22:F22"/>
    <mergeCell ref="O22:P22"/>
    <mergeCell ref="C23:F23"/>
    <mergeCell ref="O23:P23"/>
    <mergeCell ref="C20:F20"/>
    <mergeCell ref="O20:P20"/>
    <mergeCell ref="C16:F16"/>
    <mergeCell ref="O16:P16"/>
    <mergeCell ref="C19:F19"/>
    <mergeCell ref="O19:P19"/>
    <mergeCell ref="C18:F18"/>
    <mergeCell ref="O18:P18"/>
    <mergeCell ref="C17:F17"/>
    <mergeCell ref="O17:P17"/>
    <mergeCell ref="C13:F13"/>
    <mergeCell ref="O13:P13"/>
    <mergeCell ref="C14:F14"/>
    <mergeCell ref="O14:P14"/>
    <mergeCell ref="C15:F15"/>
    <mergeCell ref="O15:P15"/>
    <mergeCell ref="A9:P9"/>
    <mergeCell ref="A10:A11"/>
    <mergeCell ref="B10:B11"/>
    <mergeCell ref="C10:F11"/>
    <mergeCell ref="G10:G11"/>
    <mergeCell ref="H10:H11"/>
    <mergeCell ref="N10:N11"/>
    <mergeCell ref="O10:P11"/>
    <mergeCell ref="M10:M11"/>
    <mergeCell ref="Q9:Q11"/>
    <mergeCell ref="C12:F12"/>
    <mergeCell ref="O12:P12"/>
    <mergeCell ref="A1:G1"/>
    <mergeCell ref="A3:C3"/>
    <mergeCell ref="D3:G3"/>
    <mergeCell ref="D6:G6"/>
    <mergeCell ref="I10:I11"/>
    <mergeCell ref="J10:K10"/>
    <mergeCell ref="L10:L11"/>
  </mergeCells>
  <dataValidations count="4">
    <dataValidation type="list" allowBlank="1" showErrorMessage="1" sqref="H12:H31 H33:H37">
      <formula1>"Seleccionar,Sí - en el curso del programa,Sí acumuladas anualmente,No -no acumuladas,Sí -en período del RCC"</formula1>
      <formula2>0</formula2>
    </dataValidation>
    <dataValidation type="list" allowBlank="1" showErrorMessage="1" sqref="G12:G31 G33:G37">
      <formula1>"Seleccionar,Programa Nacional,Subvención actual,FM,FM y otros donantes"</formula1>
      <formula2>0</formula2>
    </dataValidation>
    <dataValidation type="list" allowBlank="1" showErrorMessage="1" sqref="I12:I31 I33:I37">
      <formula1>"Seleccionar,Sí - 10 más importantes ,Equivalentes 10 más importantes,No "</formula1>
      <formula2>0</formula2>
    </dataValidation>
    <dataValidation type="list" allowBlank="1" showErrorMessage="1" sqref="D2:I2">
      <formula1>"Select,USD,EUR"</formula1>
      <formula2>0</formula2>
    </dataValidation>
  </dataValidations>
  <printOptions horizontalCentered="1" verticalCentered="1"/>
  <pageMargins left="1.141732283464567" right="0.5511811023622047" top="0.5905511811023623" bottom="0.984251968503937" header="0.5118110236220472" footer="0.5118110236220472"/>
  <pageSetup cellComments="atEnd" fitToHeight="4" fitToWidth="1" horizontalDpi="300" verticalDpi="300" orientation="landscape" paperSize="119" scale="36" r:id="rId1"/>
  <headerFooter alignWithMargins="0">
    <oddFooter>&amp;L&amp;9&amp;F&amp;C&amp;A&amp;R&amp;9Page &amp;P of &amp;N</oddFooter>
  </headerFooter>
</worksheet>
</file>

<file path=xl/worksheets/sheet30.xml><?xml version="1.0" encoding="utf-8"?>
<worksheet xmlns="http://schemas.openxmlformats.org/spreadsheetml/2006/main" xmlns:r="http://schemas.openxmlformats.org/officeDocument/2006/relationships">
  <dimension ref="A1:U699"/>
  <sheetViews>
    <sheetView view="pageBreakPreview" zoomScaleSheetLayoutView="100" zoomScalePageLayoutView="0" workbookViewId="0" topLeftCell="A499">
      <selection activeCell="C521" sqref="C521"/>
    </sheetView>
  </sheetViews>
  <sheetFormatPr defaultColWidth="11.421875" defaultRowHeight="12.75"/>
  <cols>
    <col min="3" max="3" width="16.28125" style="0" customWidth="1"/>
    <col min="4" max="4" width="14.00390625" style="0" customWidth="1"/>
    <col min="9" max="9" width="20.00390625" style="0" customWidth="1"/>
  </cols>
  <sheetData>
    <row r="1" spans="1:20" ht="55.5" customHeight="1">
      <c r="A1" s="1489"/>
      <c r="B1" s="2061" t="s">
        <v>254</v>
      </c>
      <c r="C1" s="2061"/>
      <c r="D1" s="2061"/>
      <c r="E1" s="2061"/>
      <c r="F1" s="2061"/>
      <c r="G1" s="1489"/>
      <c r="H1" s="1489"/>
      <c r="I1" s="1360" t="s">
        <v>989</v>
      </c>
      <c r="J1" s="1360" t="s">
        <v>990</v>
      </c>
      <c r="K1" s="1360" t="s">
        <v>262</v>
      </c>
      <c r="L1" s="1361" t="s">
        <v>991</v>
      </c>
      <c r="M1" s="1362"/>
      <c r="N1" s="1490"/>
      <c r="O1" s="1490"/>
      <c r="P1" s="1490"/>
      <c r="Q1" s="1490"/>
      <c r="R1" s="1490"/>
      <c r="S1" s="1490"/>
      <c r="T1" s="1490"/>
    </row>
    <row r="2" spans="1:20" ht="13.5" thickBot="1">
      <c r="A2" s="1491"/>
      <c r="B2" s="1491"/>
      <c r="C2" s="1491"/>
      <c r="D2" s="1491"/>
      <c r="E2" s="1491"/>
      <c r="F2" s="1491"/>
      <c r="G2" s="1491"/>
      <c r="H2" s="1491"/>
      <c r="I2" s="1492"/>
      <c r="J2" s="1492"/>
      <c r="K2" s="1492"/>
      <c r="L2" s="1493"/>
      <c r="M2" s="1493"/>
      <c r="N2" s="1493"/>
      <c r="O2" s="1493"/>
      <c r="P2" s="1493"/>
      <c r="Q2" s="1493"/>
      <c r="R2" s="1493"/>
      <c r="S2" s="1493"/>
      <c r="T2" s="1490"/>
    </row>
    <row r="3" spans="1:20" ht="12.75">
      <c r="A3" s="1491"/>
      <c r="B3" s="1494">
        <v>1.1</v>
      </c>
      <c r="C3" s="1495" t="s">
        <v>584</v>
      </c>
      <c r="D3" s="1491" t="s">
        <v>314</v>
      </c>
      <c r="E3" s="1491"/>
      <c r="F3" s="1491"/>
      <c r="G3" s="1491"/>
      <c r="H3" s="1496"/>
      <c r="I3" s="1492"/>
      <c r="J3" s="1492"/>
      <c r="K3" s="1492"/>
      <c r="L3" s="1493"/>
      <c r="M3" s="1493"/>
      <c r="N3" s="1493"/>
      <c r="O3" s="1493"/>
      <c r="P3" s="1493"/>
      <c r="Q3" s="1493"/>
      <c r="R3" s="1493"/>
      <c r="S3" s="1493"/>
      <c r="T3" s="1490"/>
    </row>
    <row r="4" spans="1:20" ht="12.75">
      <c r="A4" s="1491"/>
      <c r="B4" s="1497"/>
      <c r="C4" s="1327">
        <v>7020.75</v>
      </c>
      <c r="D4" t="s">
        <v>5</v>
      </c>
      <c r="E4" s="1491"/>
      <c r="F4" s="1491"/>
      <c r="G4" s="1491"/>
      <c r="H4" s="1496"/>
      <c r="I4" s="1492"/>
      <c r="J4" s="1492"/>
      <c r="K4" s="1492"/>
      <c r="L4" s="1493"/>
      <c r="M4" s="1493"/>
      <c r="N4" s="1493"/>
      <c r="O4" s="1493"/>
      <c r="P4" s="1493"/>
      <c r="Q4" s="1493"/>
      <c r="R4" s="1493"/>
      <c r="S4" s="1493"/>
      <c r="T4" s="1490"/>
    </row>
    <row r="5" spans="1:20" ht="12.75">
      <c r="A5" s="1491"/>
      <c r="B5" s="1497"/>
      <c r="C5" s="1327">
        <v>-953.75</v>
      </c>
      <c r="D5" s="1327" t="s">
        <v>704</v>
      </c>
      <c r="E5" s="1491"/>
      <c r="F5" s="1491"/>
      <c r="G5" s="1491"/>
      <c r="H5" s="1496"/>
      <c r="I5" s="1492"/>
      <c r="J5" s="1492"/>
      <c r="K5" s="1492"/>
      <c r="L5" s="1493"/>
      <c r="M5" s="1493"/>
      <c r="N5" s="1493"/>
      <c r="O5" s="1493"/>
      <c r="P5" s="1493"/>
      <c r="Q5" s="1493"/>
      <c r="R5" s="1493"/>
      <c r="S5" s="1493"/>
      <c r="T5" s="1490"/>
    </row>
    <row r="6" spans="1:20" ht="12.75">
      <c r="A6" s="1491"/>
      <c r="B6" s="1497"/>
      <c r="C6" s="1327">
        <v>-4000</v>
      </c>
      <c r="D6" t="s">
        <v>716</v>
      </c>
      <c r="E6" s="1491"/>
      <c r="F6" s="1491"/>
      <c r="G6" s="1491"/>
      <c r="H6" s="1496"/>
      <c r="I6" s="1492"/>
      <c r="J6" s="1492"/>
      <c r="K6" s="1492">
        <f>-C6</f>
        <v>4000</v>
      </c>
      <c r="L6" s="1493"/>
      <c r="M6" s="1493"/>
      <c r="N6" s="1493"/>
      <c r="O6" s="1493"/>
      <c r="P6" s="1493"/>
      <c r="Q6" s="1493"/>
      <c r="R6" s="1493"/>
      <c r="S6" s="1493"/>
      <c r="T6" s="1490"/>
    </row>
    <row r="7" spans="1:20" ht="12.75">
      <c r="A7" s="1491"/>
      <c r="B7" s="1497"/>
      <c r="C7" s="1327">
        <v>-3035</v>
      </c>
      <c r="D7" t="s">
        <v>740</v>
      </c>
      <c r="E7" s="1491"/>
      <c r="F7" s="1491"/>
      <c r="G7" s="1491"/>
      <c r="H7" s="1491"/>
      <c r="I7" s="1492"/>
      <c r="J7" s="1492">
        <f>-C7</f>
        <v>3035</v>
      </c>
      <c r="K7" s="1492"/>
      <c r="L7" s="1493"/>
      <c r="M7" s="1493"/>
      <c r="N7" s="1493"/>
      <c r="O7" s="1493"/>
      <c r="P7" s="1493"/>
      <c r="Q7" s="1493"/>
      <c r="R7" s="1493"/>
      <c r="S7" s="1493"/>
      <c r="T7" s="1490"/>
    </row>
    <row r="8" spans="1:20" ht="12.75">
      <c r="A8" s="1491"/>
      <c r="B8" s="1497"/>
      <c r="C8" s="1327">
        <f>+SUM(C4:C7)</f>
        <v>-968</v>
      </c>
      <c r="D8" t="s">
        <v>257</v>
      </c>
      <c r="E8" s="1491"/>
      <c r="F8" s="1491"/>
      <c r="G8" s="1491"/>
      <c r="H8" s="1491"/>
      <c r="I8" s="1492"/>
      <c r="J8" s="1492"/>
      <c r="K8" s="1492"/>
      <c r="L8" s="1493"/>
      <c r="M8" s="1493"/>
      <c r="N8" s="1493"/>
      <c r="O8" s="1493"/>
      <c r="P8" s="1493"/>
      <c r="Q8" s="1493"/>
      <c r="R8" s="1493"/>
      <c r="S8" s="1493"/>
      <c r="T8" s="1490"/>
    </row>
    <row r="9" spans="1:20" ht="13.5" thickBot="1">
      <c r="A9" s="1491"/>
      <c r="B9" s="1491"/>
      <c r="C9" s="1498"/>
      <c r="D9" s="1498"/>
      <c r="E9" s="1498"/>
      <c r="F9" s="1498"/>
      <c r="G9" s="1498"/>
      <c r="H9" s="1498"/>
      <c r="I9" s="1499"/>
      <c r="J9" s="1492"/>
      <c r="K9" s="1492"/>
      <c r="L9" s="1493"/>
      <c r="M9" s="1493"/>
      <c r="N9" s="1493"/>
      <c r="O9" s="1493"/>
      <c r="P9" s="1493"/>
      <c r="Q9" s="1493"/>
      <c r="R9" s="1493"/>
      <c r="S9" s="1493"/>
      <c r="T9" s="1490"/>
    </row>
    <row r="10" spans="1:20" ht="63.75">
      <c r="A10" s="1491"/>
      <c r="B10" s="1500">
        <v>1.3</v>
      </c>
      <c r="C10" s="1501" t="s">
        <v>587</v>
      </c>
      <c r="D10" s="1364" t="s">
        <v>588</v>
      </c>
      <c r="E10" s="1491"/>
      <c r="F10" s="1491"/>
      <c r="G10" s="1491"/>
      <c r="H10" s="1491"/>
      <c r="I10" s="1492"/>
      <c r="J10" s="1492"/>
      <c r="K10" s="1492"/>
      <c r="L10" s="1493"/>
      <c r="M10" s="1493"/>
      <c r="N10" s="1493"/>
      <c r="O10" s="1493"/>
      <c r="P10" s="1493"/>
      <c r="Q10" s="1493"/>
      <c r="R10" s="1493"/>
      <c r="S10" s="1493"/>
      <c r="T10" s="1490"/>
    </row>
    <row r="11" spans="1:20" ht="12.75">
      <c r="A11" s="1491"/>
      <c r="B11" s="1500"/>
      <c r="C11" s="1501"/>
      <c r="D11" s="1491"/>
      <c r="E11" s="1491"/>
      <c r="F11" s="1491"/>
      <c r="G11" s="1491"/>
      <c r="H11" s="1491"/>
      <c r="I11" s="1493"/>
      <c r="J11" s="1493"/>
      <c r="K11" s="1493"/>
      <c r="L11" s="1493"/>
      <c r="M11" s="1493"/>
      <c r="N11" s="1493"/>
      <c r="O11" s="1493"/>
      <c r="P11" s="1493"/>
      <c r="Q11" s="1493"/>
      <c r="R11" s="1493"/>
      <c r="S11" s="1493"/>
      <c r="T11" s="1490"/>
    </row>
    <row r="12" spans="1:20" ht="12.75" customHeight="1">
      <c r="A12" s="1491"/>
      <c r="B12" s="1502"/>
      <c r="C12" s="1441">
        <v>499.61</v>
      </c>
      <c r="D12" t="s">
        <v>5</v>
      </c>
      <c r="H12" s="1491"/>
      <c r="I12" s="1493"/>
      <c r="J12" s="1493"/>
      <c r="K12" s="1493"/>
      <c r="L12" s="1493"/>
      <c r="M12" s="1493"/>
      <c r="N12" s="1493"/>
      <c r="O12" s="1493"/>
      <c r="P12" s="1493"/>
      <c r="Q12" s="1493"/>
      <c r="R12" s="1493"/>
      <c r="S12" s="1493"/>
      <c r="T12" s="1490"/>
    </row>
    <row r="13" spans="1:20" ht="12.75" customHeight="1">
      <c r="A13" s="1491"/>
      <c r="B13" s="1502"/>
      <c r="C13" s="1441">
        <v>-10001.04</v>
      </c>
      <c r="D13" t="s">
        <v>732</v>
      </c>
      <c r="H13" s="1491"/>
      <c r="I13" s="1503"/>
      <c r="J13" s="1493"/>
      <c r="K13" s="1493"/>
      <c r="L13" s="1493"/>
      <c r="M13" s="1493"/>
      <c r="N13" s="1493"/>
      <c r="O13" s="1493"/>
      <c r="P13" s="1493"/>
      <c r="Q13" s="1493"/>
      <c r="R13" s="1493"/>
      <c r="S13" s="1493"/>
      <c r="T13" s="1490"/>
    </row>
    <row r="14" spans="1:20" ht="12.75" customHeight="1">
      <c r="A14" s="1491"/>
      <c r="B14" s="1502"/>
      <c r="C14" s="1441">
        <v>-33.45</v>
      </c>
      <c r="D14" t="s">
        <v>741</v>
      </c>
      <c r="H14" s="1491"/>
      <c r="I14" s="1493"/>
      <c r="J14" s="1503"/>
      <c r="K14" s="1493"/>
      <c r="L14" s="1493"/>
      <c r="M14" s="1493"/>
      <c r="N14" s="1493"/>
      <c r="O14" s="1493"/>
      <c r="P14" s="1493"/>
      <c r="Q14" s="1493"/>
      <c r="R14" s="1493"/>
      <c r="S14" s="1493"/>
      <c r="T14" s="1490"/>
    </row>
    <row r="15" spans="1:20" ht="12.75" customHeight="1">
      <c r="A15" s="1491"/>
      <c r="B15" s="1502"/>
      <c r="C15" s="1504">
        <v>-0.11</v>
      </c>
      <c r="D15" s="1504" t="s">
        <v>710</v>
      </c>
      <c r="E15" s="1504"/>
      <c r="F15" s="1504"/>
      <c r="G15" s="1504"/>
      <c r="H15" s="1491"/>
      <c r="I15" s="1493"/>
      <c r="J15" s="1503"/>
      <c r="K15" s="1493"/>
      <c r="L15" s="1493">
        <f>-C15</f>
        <v>0.11</v>
      </c>
      <c r="M15" s="1493"/>
      <c r="N15" s="1493"/>
      <c r="O15" s="1493"/>
      <c r="P15" s="1493"/>
      <c r="Q15" s="1493"/>
      <c r="R15" s="1493"/>
      <c r="S15" s="1493"/>
      <c r="T15" s="1490"/>
    </row>
    <row r="16" spans="1:20" ht="12.75">
      <c r="A16" s="1491"/>
      <c r="B16" s="1502"/>
      <c r="C16" s="1441">
        <v>-10.54</v>
      </c>
      <c r="D16" t="s">
        <v>713</v>
      </c>
      <c r="H16" s="1491"/>
      <c r="I16" s="1493"/>
      <c r="J16" s="1493"/>
      <c r="K16" s="1493"/>
      <c r="L16" s="1493"/>
      <c r="M16" s="1503"/>
      <c r="N16" s="1493"/>
      <c r="O16" s="1493"/>
      <c r="P16" s="1493"/>
      <c r="Q16" s="1493"/>
      <c r="R16" s="1493"/>
      <c r="S16" s="1493"/>
      <c r="T16" s="1490"/>
    </row>
    <row r="17" spans="1:20" ht="12.75">
      <c r="A17" s="1491"/>
      <c r="B17" s="1502"/>
      <c r="C17" s="1441">
        <v>-7920</v>
      </c>
      <c r="D17" t="s">
        <v>716</v>
      </c>
      <c r="H17" s="1491"/>
      <c r="I17" s="1493"/>
      <c r="J17" s="1492"/>
      <c r="K17" s="1492">
        <f>-C17</f>
        <v>7920</v>
      </c>
      <c r="L17" s="1493"/>
      <c r="M17" s="1503"/>
      <c r="N17" s="1493"/>
      <c r="O17" s="1493"/>
      <c r="P17" s="1493"/>
      <c r="Q17" s="1493"/>
      <c r="R17" s="1493"/>
      <c r="S17" s="1493"/>
      <c r="T17" s="1490"/>
    </row>
    <row r="18" spans="1:20" ht="12.75">
      <c r="A18" s="1491"/>
      <c r="B18" s="1502"/>
      <c r="C18" s="1441">
        <v>-1156</v>
      </c>
      <c r="D18" t="s">
        <v>730</v>
      </c>
      <c r="H18" s="1491"/>
      <c r="I18" s="1492"/>
      <c r="J18" s="1492">
        <f>-C18</f>
        <v>1156</v>
      </c>
      <c r="K18" s="1493"/>
      <c r="L18" s="1493"/>
      <c r="M18" s="1503"/>
      <c r="N18" s="1493"/>
      <c r="O18" s="1493"/>
      <c r="P18" s="1493"/>
      <c r="Q18" s="1493"/>
      <c r="R18" s="1493"/>
      <c r="S18" s="1493"/>
      <c r="T18" s="1490"/>
    </row>
    <row r="19" spans="1:20" ht="12.75">
      <c r="A19" s="1491"/>
      <c r="B19" s="1502"/>
      <c r="C19" s="1327">
        <f>+SUM(C12:C18)</f>
        <v>-18621.530000000002</v>
      </c>
      <c r="D19" t="s">
        <v>257</v>
      </c>
      <c r="E19" s="1491"/>
      <c r="F19" s="1498"/>
      <c r="G19" s="1491"/>
      <c r="H19" s="1491"/>
      <c r="I19" s="1493"/>
      <c r="J19" s="1493"/>
      <c r="K19" s="1493"/>
      <c r="L19" s="1493"/>
      <c r="M19" s="1505"/>
      <c r="N19" s="1505"/>
      <c r="O19" s="1505"/>
      <c r="P19" s="1493"/>
      <c r="Q19" s="1493"/>
      <c r="R19" s="1493"/>
      <c r="S19" s="1493"/>
      <c r="T19" s="1490"/>
    </row>
    <row r="20" spans="1:20" ht="12.75">
      <c r="A20" s="1491"/>
      <c r="B20" s="1502"/>
      <c r="C20" s="1506"/>
      <c r="D20" s="1491"/>
      <c r="E20" s="1491"/>
      <c r="F20" s="1498"/>
      <c r="G20" s="1491"/>
      <c r="H20" s="1491"/>
      <c r="I20" s="1493"/>
      <c r="J20" s="1493"/>
      <c r="K20" s="1493"/>
      <c r="L20" s="1493"/>
      <c r="M20" s="1503"/>
      <c r="N20" s="1493"/>
      <c r="O20" s="1493"/>
      <c r="P20" s="1493"/>
      <c r="Q20" s="1493"/>
      <c r="R20" s="1493"/>
      <c r="S20" s="1493"/>
      <c r="T20" s="1490"/>
    </row>
    <row r="21" spans="1:20" ht="12.75">
      <c r="A21" s="1491"/>
      <c r="B21" s="1502"/>
      <c r="C21" s="1496"/>
      <c r="D21" s="1507"/>
      <c r="E21" s="1491"/>
      <c r="F21" s="1498"/>
      <c r="G21" s="1491"/>
      <c r="H21" s="1491"/>
      <c r="I21" s="1493"/>
      <c r="J21" s="1493"/>
      <c r="K21" s="1493"/>
      <c r="L21" s="1493"/>
      <c r="M21" s="1493"/>
      <c r="N21" s="1493"/>
      <c r="O21" s="1493"/>
      <c r="P21" s="1493"/>
      <c r="Q21" s="1493"/>
      <c r="R21" s="1493"/>
      <c r="S21" s="1493"/>
      <c r="T21" s="1490"/>
    </row>
    <row r="22" spans="1:20" ht="38.25">
      <c r="A22" s="1491"/>
      <c r="B22" s="1502"/>
      <c r="C22" s="1508" t="s">
        <v>589</v>
      </c>
      <c r="D22" s="1507"/>
      <c r="E22" s="1491"/>
      <c r="F22" s="1498"/>
      <c r="G22" s="1491"/>
      <c r="H22" s="1491"/>
      <c r="I22" s="1493"/>
      <c r="J22" s="1493"/>
      <c r="K22" s="1493"/>
      <c r="L22" s="1493"/>
      <c r="M22" s="1493"/>
      <c r="N22" s="1493"/>
      <c r="O22" s="1493"/>
      <c r="P22" s="1493"/>
      <c r="Q22" s="1493"/>
      <c r="R22" s="1493"/>
      <c r="S22" s="1493"/>
      <c r="T22" s="1490"/>
    </row>
    <row r="23" spans="1:20" ht="12.75">
      <c r="A23" s="1491"/>
      <c r="B23" s="1502"/>
      <c r="C23" s="1496"/>
      <c r="D23" s="1507"/>
      <c r="E23" s="1491"/>
      <c r="F23" s="1498"/>
      <c r="G23" s="1491"/>
      <c r="H23" s="1491"/>
      <c r="I23" s="1493"/>
      <c r="J23" s="1493"/>
      <c r="K23" s="1493"/>
      <c r="L23" s="1493"/>
      <c r="M23" s="1493"/>
      <c r="N23" s="1493"/>
      <c r="O23" s="1493"/>
      <c r="P23" s="1493"/>
      <c r="Q23" s="1493"/>
      <c r="R23" s="1493"/>
      <c r="S23" s="1493"/>
      <c r="T23" s="1490"/>
    </row>
    <row r="24" spans="1:20" ht="12.75">
      <c r="A24" s="1491"/>
      <c r="B24" s="1502"/>
      <c r="C24" s="1327">
        <v>1212.15</v>
      </c>
      <c r="D24" t="s">
        <v>5</v>
      </c>
      <c r="E24" s="1491"/>
      <c r="F24" s="1498"/>
      <c r="G24" s="1491"/>
      <c r="H24" s="1491"/>
      <c r="I24" s="1493"/>
      <c r="J24" s="1493"/>
      <c r="K24" s="1493"/>
      <c r="L24" s="1493"/>
      <c r="M24" s="1493"/>
      <c r="N24" s="1493"/>
      <c r="O24" s="1493"/>
      <c r="P24" s="1493"/>
      <c r="Q24" s="1493"/>
      <c r="R24" s="1493"/>
      <c r="S24" s="1493"/>
      <c r="T24" s="1490"/>
    </row>
    <row r="25" spans="1:20" ht="12.75">
      <c r="A25" s="1491"/>
      <c r="B25" s="1502"/>
      <c r="C25" s="1327">
        <v>14310</v>
      </c>
      <c r="D25" t="s">
        <v>706</v>
      </c>
      <c r="E25" s="1491"/>
      <c r="F25" s="1498"/>
      <c r="G25" s="1491"/>
      <c r="H25" s="1491"/>
      <c r="I25" s="1493"/>
      <c r="J25" s="1493"/>
      <c r="K25" s="1493"/>
      <c r="L25" s="1493"/>
      <c r="M25" s="1493"/>
      <c r="N25" s="1493"/>
      <c r="O25" s="1493"/>
      <c r="P25" s="1493"/>
      <c r="Q25" s="1493"/>
      <c r="R25" s="1493"/>
      <c r="S25" s="1493"/>
      <c r="T25" s="1490"/>
    </row>
    <row r="26" spans="1:20" ht="12.75" customHeight="1">
      <c r="A26" s="1491"/>
      <c r="B26" s="1502"/>
      <c r="C26">
        <v>3000</v>
      </c>
      <c r="D26" t="s">
        <v>732</v>
      </c>
      <c r="E26" s="1509"/>
      <c r="F26" s="1509"/>
      <c r="G26" s="1491"/>
      <c r="H26" s="1491"/>
      <c r="I26" s="1493"/>
      <c r="J26" s="1492"/>
      <c r="K26" s="1492"/>
      <c r="L26" s="1493"/>
      <c r="M26" s="1493"/>
      <c r="N26" s="1493"/>
      <c r="O26" s="1493"/>
      <c r="P26" s="1493"/>
      <c r="Q26" s="1493"/>
      <c r="R26" s="1493"/>
      <c r="S26" s="1493"/>
      <c r="T26" s="1490"/>
    </row>
    <row r="27" spans="1:20" ht="12.75" customHeight="1">
      <c r="A27" s="1491"/>
      <c r="B27" s="1510"/>
      <c r="C27">
        <v>-15500</v>
      </c>
      <c r="D27" t="s">
        <v>732</v>
      </c>
      <c r="E27" s="1509"/>
      <c r="F27" s="1509"/>
      <c r="G27" s="1491"/>
      <c r="H27" s="1491"/>
      <c r="I27" s="1493"/>
      <c r="J27" s="1492"/>
      <c r="K27" s="1492"/>
      <c r="L27" s="1493"/>
      <c r="M27" s="1493"/>
      <c r="N27" s="1493"/>
      <c r="O27" s="1493"/>
      <c r="P27" s="1493"/>
      <c r="Q27" s="1493"/>
      <c r="R27" s="1493"/>
      <c r="S27" s="1493"/>
      <c r="T27" s="1490"/>
    </row>
    <row r="28" spans="1:20" ht="12.75">
      <c r="A28" s="1491"/>
      <c r="B28" s="1507"/>
      <c r="C28" s="1327">
        <v>-8067.1</v>
      </c>
      <c r="D28" t="s">
        <v>741</v>
      </c>
      <c r="E28" s="1491"/>
      <c r="F28" s="1498"/>
      <c r="G28" s="1491"/>
      <c r="H28" s="1491"/>
      <c r="I28" s="1492"/>
      <c r="J28" s="1493"/>
      <c r="K28" s="1493"/>
      <c r="L28" s="1493"/>
      <c r="M28" s="1493"/>
      <c r="N28" s="1493"/>
      <c r="O28" s="1493"/>
      <c r="P28" s="1493"/>
      <c r="Q28" s="1493"/>
      <c r="R28" s="1493"/>
      <c r="S28" s="1493"/>
      <c r="T28" s="1490"/>
    </row>
    <row r="29" spans="1:20" ht="12.75">
      <c r="A29" s="1491"/>
      <c r="B29" s="1502"/>
      <c r="C29" s="1327">
        <v>-0.11</v>
      </c>
      <c r="D29" t="s">
        <v>264</v>
      </c>
      <c r="E29" s="1491"/>
      <c r="F29" s="1498"/>
      <c r="G29" s="1491"/>
      <c r="H29" s="1491"/>
      <c r="I29" s="1493"/>
      <c r="J29" s="1493"/>
      <c r="K29" s="1493"/>
      <c r="L29" s="1493"/>
      <c r="M29" s="1492"/>
      <c r="N29" s="1493"/>
      <c r="O29" s="1492"/>
      <c r="P29" s="1493"/>
      <c r="Q29" s="1493"/>
      <c r="R29" s="1493"/>
      <c r="S29" s="1493"/>
      <c r="T29" s="1490"/>
    </row>
    <row r="30" spans="1:20" ht="12.75">
      <c r="A30" s="1491"/>
      <c r="B30" s="1502"/>
      <c r="C30" s="1327">
        <v>-582.4000000000015</v>
      </c>
      <c r="D30" t="s">
        <v>704</v>
      </c>
      <c r="E30" s="1491"/>
      <c r="F30" s="1498"/>
      <c r="G30" s="1491"/>
      <c r="H30" s="1491"/>
      <c r="I30" s="1493"/>
      <c r="J30" s="1493"/>
      <c r="K30" s="1493"/>
      <c r="L30" s="1493"/>
      <c r="M30" s="1493"/>
      <c r="N30" s="1493"/>
      <c r="O30" s="1493"/>
      <c r="P30" s="1493"/>
      <c r="Q30" s="1493"/>
      <c r="R30" s="1493"/>
      <c r="S30" s="1493"/>
      <c r="T30" s="1490"/>
    </row>
    <row r="31" spans="1:20" ht="12.75">
      <c r="A31" s="1491"/>
      <c r="B31" s="1502"/>
      <c r="C31" s="1327">
        <v>8310</v>
      </c>
      <c r="D31" t="s">
        <v>742</v>
      </c>
      <c r="E31" s="1491"/>
      <c r="F31" s="1498"/>
      <c r="G31" s="1491"/>
      <c r="H31" s="1491"/>
      <c r="I31" s="1493"/>
      <c r="J31" s="1493"/>
      <c r="K31" s="1493"/>
      <c r="L31" s="1493"/>
      <c r="M31" s="1493"/>
      <c r="N31" s="1493"/>
      <c r="O31" s="1493"/>
      <c r="P31" s="1493"/>
      <c r="Q31" s="1493"/>
      <c r="R31" s="1493"/>
      <c r="S31" s="1493"/>
      <c r="T31" s="1490"/>
    </row>
    <row r="32" spans="1:20" ht="12.75">
      <c r="A32" s="1491"/>
      <c r="B32" s="1502"/>
      <c r="C32" s="1327">
        <v>-8310</v>
      </c>
      <c r="D32" s="1327" t="s">
        <v>743</v>
      </c>
      <c r="E32" s="1491"/>
      <c r="F32" s="1498"/>
      <c r="G32" s="1491"/>
      <c r="H32" s="1491"/>
      <c r="I32" s="1493"/>
      <c r="J32" s="1493"/>
      <c r="K32" s="1493"/>
      <c r="L32" s="1493"/>
      <c r="M32" s="1493"/>
      <c r="N32" s="1493"/>
      <c r="O32" s="1493"/>
      <c r="P32" s="1493"/>
      <c r="Q32" s="1493"/>
      <c r="R32" s="1493"/>
      <c r="S32" s="1493"/>
      <c r="T32" s="1490"/>
    </row>
    <row r="33" spans="1:20" ht="12.75">
      <c r="A33" s="1491"/>
      <c r="B33" s="1502"/>
      <c r="C33" s="1327">
        <v>-20000</v>
      </c>
      <c r="D33" t="s">
        <v>744</v>
      </c>
      <c r="E33" s="1491"/>
      <c r="F33" s="1498"/>
      <c r="G33" s="1491"/>
      <c r="H33" s="1491"/>
      <c r="I33" s="1493"/>
      <c r="J33" s="1493"/>
      <c r="K33" s="1493"/>
      <c r="L33" s="1493"/>
      <c r="M33" s="1493"/>
      <c r="N33" s="1493"/>
      <c r="O33" s="1493"/>
      <c r="P33" s="1493"/>
      <c r="Q33" s="1493"/>
      <c r="R33" s="1493"/>
      <c r="S33" s="1493"/>
      <c r="T33" s="1490"/>
    </row>
    <row r="34" spans="1:20" ht="12.75">
      <c r="A34" s="1491"/>
      <c r="B34" s="1500"/>
      <c r="C34" s="1327">
        <v>-11268.4</v>
      </c>
      <c r="D34" s="1327" t="s">
        <v>716</v>
      </c>
      <c r="E34" s="1491"/>
      <c r="F34" s="1491"/>
      <c r="G34" s="1496"/>
      <c r="H34" s="1496"/>
      <c r="I34" s="1493"/>
      <c r="J34" s="1493"/>
      <c r="K34" s="1511">
        <f>-C34</f>
        <v>11268.4</v>
      </c>
      <c r="L34" s="1493"/>
      <c r="M34" s="1493"/>
      <c r="N34" s="1493"/>
      <c r="O34" s="1493"/>
      <c r="P34" s="1493"/>
      <c r="Q34" s="1493"/>
      <c r="R34" s="1493"/>
      <c r="S34" s="1493"/>
      <c r="T34" s="1490"/>
    </row>
    <row r="35" spans="1:20" ht="12.75">
      <c r="A35" s="1491"/>
      <c r="B35" s="1500"/>
      <c r="C35" s="1327">
        <f>+SUM(C24:C34)</f>
        <v>-36895.86</v>
      </c>
      <c r="D35" t="s">
        <v>257</v>
      </c>
      <c r="E35" s="1491"/>
      <c r="F35" s="1491"/>
      <c r="G35" s="1491"/>
      <c r="H35" s="1491"/>
      <c r="I35" s="1493"/>
      <c r="J35" s="1493"/>
      <c r="K35" s="1493"/>
      <c r="L35" s="1493"/>
      <c r="M35" s="1493"/>
      <c r="N35" s="1493"/>
      <c r="O35" s="1493"/>
      <c r="P35" s="1493"/>
      <c r="Q35" s="1493"/>
      <c r="R35" s="1493"/>
      <c r="S35" s="1493"/>
      <c r="T35" s="1490"/>
    </row>
    <row r="36" spans="1:20" ht="12.75">
      <c r="A36" s="1491"/>
      <c r="B36" s="1500"/>
      <c r="C36" s="1327"/>
      <c r="D36" s="1491"/>
      <c r="E36" s="1491"/>
      <c r="F36" s="1491"/>
      <c r="G36" s="1491"/>
      <c r="H36" s="1491"/>
      <c r="I36" s="1493"/>
      <c r="J36" s="1493"/>
      <c r="K36" s="1493"/>
      <c r="L36" s="1493"/>
      <c r="M36" s="1493"/>
      <c r="N36" s="1493"/>
      <c r="O36" s="1493"/>
      <c r="P36" s="1493"/>
      <c r="Q36" s="1493"/>
      <c r="R36" s="1493"/>
      <c r="S36" s="1493"/>
      <c r="T36" s="1490"/>
    </row>
    <row r="37" spans="1:20" ht="12.75">
      <c r="A37" s="1491"/>
      <c r="B37" s="1500"/>
      <c r="C37" s="1327"/>
      <c r="D37" s="1491"/>
      <c r="E37" s="1491"/>
      <c r="F37" s="1491"/>
      <c r="G37" s="1491"/>
      <c r="H37" s="1491"/>
      <c r="I37" s="1493"/>
      <c r="J37" s="1493"/>
      <c r="K37" s="1493"/>
      <c r="L37" s="1493"/>
      <c r="M37" s="1493"/>
      <c r="N37" s="1493"/>
      <c r="O37" s="1493"/>
      <c r="P37" s="1493"/>
      <c r="Q37" s="1493"/>
      <c r="R37" s="1493"/>
      <c r="S37" s="1493"/>
      <c r="T37" s="1490"/>
    </row>
    <row r="38" spans="1:20" ht="25.5">
      <c r="A38" s="1491"/>
      <c r="B38" s="1500">
        <v>1.4</v>
      </c>
      <c r="C38" s="1501" t="s">
        <v>587</v>
      </c>
      <c r="D38" s="1491" t="s">
        <v>317</v>
      </c>
      <c r="E38" s="1491"/>
      <c r="F38" s="1491"/>
      <c r="G38" s="1491"/>
      <c r="H38" s="1491"/>
      <c r="I38" s="1493"/>
      <c r="J38" s="1493"/>
      <c r="K38" s="1493"/>
      <c r="L38" s="1493"/>
      <c r="M38" s="1493"/>
      <c r="N38" s="1493"/>
      <c r="O38" s="1493"/>
      <c r="P38" s="1493"/>
      <c r="Q38" s="1493"/>
      <c r="R38" s="1493"/>
      <c r="S38" s="1493"/>
      <c r="T38" s="1490"/>
    </row>
    <row r="39" spans="1:20" ht="12.75">
      <c r="A39" s="1491"/>
      <c r="B39" s="1491"/>
      <c r="C39" s="1441">
        <v>9529.17</v>
      </c>
      <c r="D39" t="s">
        <v>5</v>
      </c>
      <c r="E39" s="1491"/>
      <c r="F39" s="1491"/>
      <c r="G39" s="1491"/>
      <c r="H39" s="1491"/>
      <c r="I39" s="1492"/>
      <c r="J39" s="1493"/>
      <c r="K39" s="1493"/>
      <c r="L39" s="1493"/>
      <c r="M39" s="1493"/>
      <c r="N39" s="1493"/>
      <c r="O39" s="1493"/>
      <c r="P39" s="1493"/>
      <c r="Q39" s="1493"/>
      <c r="R39" s="1493"/>
      <c r="S39" s="1493"/>
      <c r="T39" s="1490"/>
    </row>
    <row r="40" spans="1:20" ht="12.75">
      <c r="A40" s="1491"/>
      <c r="B40" s="1491"/>
      <c r="C40" s="1441">
        <v>11690.8</v>
      </c>
      <c r="D40" t="s">
        <v>706</v>
      </c>
      <c r="E40" s="1491"/>
      <c r="F40" s="1491"/>
      <c r="G40" s="1491"/>
      <c r="H40" s="1491"/>
      <c r="I40" s="1493"/>
      <c r="J40" s="1493"/>
      <c r="K40" s="1492"/>
      <c r="L40" s="1493"/>
      <c r="M40" s="1493"/>
      <c r="N40" s="1493"/>
      <c r="O40" s="1493"/>
      <c r="P40" s="1493"/>
      <c r="Q40" s="1493"/>
      <c r="R40" s="1493"/>
      <c r="S40" s="1493"/>
      <c r="T40" s="1490"/>
    </row>
    <row r="41" spans="1:20" ht="12.75">
      <c r="A41" s="1491"/>
      <c r="B41" s="1491"/>
      <c r="C41" s="1441">
        <v>1200.14</v>
      </c>
      <c r="D41" t="s">
        <v>18</v>
      </c>
      <c r="E41" s="1491"/>
      <c r="F41" s="1491"/>
      <c r="G41" s="1491"/>
      <c r="H41" s="1491"/>
      <c r="I41" s="1493"/>
      <c r="J41" s="1492"/>
      <c r="K41" s="1493"/>
      <c r="L41" s="1493"/>
      <c r="M41" s="1493"/>
      <c r="N41" s="1493"/>
      <c r="O41" s="1493"/>
      <c r="P41" s="1493"/>
      <c r="Q41" s="1493"/>
      <c r="R41" s="1493"/>
      <c r="S41" s="1493"/>
      <c r="T41" s="1490"/>
    </row>
    <row r="42" spans="1:20" ht="12.75">
      <c r="A42" s="1491"/>
      <c r="B42" s="1491"/>
      <c r="C42" s="1441">
        <v>16198</v>
      </c>
      <c r="D42" t="s">
        <v>745</v>
      </c>
      <c r="E42" s="1491"/>
      <c r="F42" s="1491"/>
      <c r="G42" s="1491"/>
      <c r="H42" s="1491"/>
      <c r="I42" s="1493"/>
      <c r="J42" s="1492"/>
      <c r="K42" s="1493"/>
      <c r="L42" s="1493"/>
      <c r="M42" s="1493"/>
      <c r="N42" s="1493"/>
      <c r="O42" s="1493"/>
      <c r="P42" s="1493"/>
      <c r="Q42" s="1493"/>
      <c r="R42" s="1493"/>
      <c r="S42" s="1493"/>
      <c r="T42" s="1490"/>
    </row>
    <row r="43" spans="1:20" ht="12.75">
      <c r="A43" s="1491"/>
      <c r="B43" s="1491"/>
      <c r="C43" s="1441">
        <v>-150</v>
      </c>
      <c r="D43" t="s">
        <v>745</v>
      </c>
      <c r="E43" s="1491"/>
      <c r="F43" s="1491"/>
      <c r="G43" s="1491"/>
      <c r="H43" s="1491"/>
      <c r="I43" s="1493"/>
      <c r="J43" s="1492"/>
      <c r="K43" s="1493"/>
      <c r="L43" s="1493"/>
      <c r="M43" s="1493"/>
      <c r="N43" s="1493"/>
      <c r="O43" s="1493"/>
      <c r="P43" s="1493"/>
      <c r="Q43" s="1493"/>
      <c r="R43" s="1493"/>
      <c r="S43" s="1493"/>
      <c r="T43" s="1490"/>
    </row>
    <row r="44" spans="1:20" ht="12.75">
      <c r="A44" s="1491"/>
      <c r="B44" s="1491"/>
      <c r="C44" s="1441">
        <v>1100</v>
      </c>
      <c r="D44" t="s">
        <v>722</v>
      </c>
      <c r="E44" s="1491"/>
      <c r="F44" s="1491"/>
      <c r="G44" s="1491"/>
      <c r="H44" s="1491"/>
      <c r="I44" s="1493"/>
      <c r="J44" s="1493"/>
      <c r="K44" s="1493"/>
      <c r="L44" s="1493"/>
      <c r="M44" s="1493"/>
      <c r="N44" s="1493"/>
      <c r="O44" s="1493"/>
      <c r="P44" s="1493"/>
      <c r="Q44" s="1493"/>
      <c r="R44" s="1493"/>
      <c r="S44" s="1493"/>
      <c r="T44" s="1490"/>
    </row>
    <row r="45" spans="1:20" ht="12.75">
      <c r="A45" s="1491"/>
      <c r="B45" s="1491"/>
      <c r="C45" s="1441">
        <v>-3592</v>
      </c>
      <c r="D45" t="s">
        <v>722</v>
      </c>
      <c r="E45" s="1491"/>
      <c r="F45" s="1491"/>
      <c r="G45" s="1491"/>
      <c r="H45" s="1491"/>
      <c r="I45" s="1493"/>
      <c r="J45" s="1493"/>
      <c r="K45" s="1493"/>
      <c r="L45" s="1493"/>
      <c r="M45" s="1493"/>
      <c r="N45" s="1493"/>
      <c r="O45" s="1493"/>
      <c r="P45" s="1493"/>
      <c r="Q45" s="1493"/>
      <c r="R45" s="1493"/>
      <c r="S45" s="1493"/>
      <c r="T45" s="1490"/>
    </row>
    <row r="46" spans="1:20" ht="12.75">
      <c r="A46" s="1491"/>
      <c r="B46" s="1491"/>
      <c r="C46" s="1441">
        <v>-14717.73</v>
      </c>
      <c r="D46" t="s">
        <v>741</v>
      </c>
      <c r="E46" s="1491"/>
      <c r="F46" s="1491"/>
      <c r="G46" s="1491"/>
      <c r="H46" s="1491"/>
      <c r="I46" s="1493"/>
      <c r="J46" s="1493"/>
      <c r="K46" s="1493"/>
      <c r="L46" s="1493"/>
      <c r="M46" s="1492"/>
      <c r="N46" s="1492"/>
      <c r="O46" s="1492"/>
      <c r="P46" s="1493"/>
      <c r="Q46" s="1493"/>
      <c r="R46" s="1493"/>
      <c r="S46" s="1493"/>
      <c r="T46" s="1490"/>
    </row>
    <row r="47" spans="1:20" ht="12.75">
      <c r="A47" s="1491"/>
      <c r="B47" s="1491"/>
      <c r="C47" s="1441">
        <v>-29930.55</v>
      </c>
      <c r="D47" t="s">
        <v>704</v>
      </c>
      <c r="E47" s="1491"/>
      <c r="F47" s="1491"/>
      <c r="G47" s="1491"/>
      <c r="H47" s="1491"/>
      <c r="I47" s="1492"/>
      <c r="J47" s="1493"/>
      <c r="K47" s="1493"/>
      <c r="L47" s="1493"/>
      <c r="M47" s="1493"/>
      <c r="N47" s="1493"/>
      <c r="O47" s="1493"/>
      <c r="P47" s="1493"/>
      <c r="Q47" s="1493"/>
      <c r="R47" s="1493"/>
      <c r="S47" s="1493"/>
      <c r="T47" s="1490"/>
    </row>
    <row r="48" spans="1:20" ht="12.75">
      <c r="A48" s="1491"/>
      <c r="B48" s="1491"/>
      <c r="C48" s="1441">
        <v>-10819</v>
      </c>
      <c r="D48" t="s">
        <v>746</v>
      </c>
      <c r="E48" s="1491"/>
      <c r="F48" s="1491"/>
      <c r="G48" s="1491"/>
      <c r="H48" s="1491"/>
      <c r="I48" s="1493"/>
      <c r="J48" s="1493"/>
      <c r="K48" s="1492">
        <f>-C48</f>
        <v>10819</v>
      </c>
      <c r="L48" s="1493"/>
      <c r="M48" s="1493"/>
      <c r="N48" s="1493"/>
      <c r="O48" s="1493"/>
      <c r="P48" s="1493"/>
      <c r="Q48" s="1493"/>
      <c r="R48" s="1493"/>
      <c r="S48" s="1493"/>
      <c r="T48" s="1490"/>
    </row>
    <row r="49" spans="1:20" ht="12.75">
      <c r="A49" s="1491"/>
      <c r="B49" s="1491"/>
      <c r="C49" s="1441">
        <v>-2650</v>
      </c>
      <c r="D49" t="s">
        <v>740</v>
      </c>
      <c r="E49" s="1491"/>
      <c r="F49" s="1491"/>
      <c r="G49" s="1491"/>
      <c r="H49" s="1491"/>
      <c r="I49" s="1493"/>
      <c r="J49" s="1492">
        <f>-C49</f>
        <v>2650</v>
      </c>
      <c r="K49" s="1493"/>
      <c r="L49" s="1493"/>
      <c r="M49" s="1493"/>
      <c r="N49" s="1493"/>
      <c r="O49" s="1493"/>
      <c r="P49" s="1493"/>
      <c r="Q49" s="1493"/>
      <c r="R49" s="1493"/>
      <c r="S49" s="1493"/>
      <c r="T49" s="1490"/>
    </row>
    <row r="50" spans="1:20" ht="12.75">
      <c r="A50" s="1491"/>
      <c r="B50" s="1491"/>
      <c r="C50" s="1441">
        <v>-5128.57</v>
      </c>
      <c r="D50" t="s">
        <v>728</v>
      </c>
      <c r="E50" s="1491"/>
      <c r="F50" s="1491"/>
      <c r="G50" s="1491"/>
      <c r="H50" s="1491"/>
      <c r="I50" s="1493"/>
      <c r="J50" s="1493"/>
      <c r="K50" s="1493"/>
      <c r="L50" s="1492">
        <f>-C50</f>
        <v>5128.57</v>
      </c>
      <c r="M50" s="1493"/>
      <c r="N50" s="1493"/>
      <c r="O50" s="1493"/>
      <c r="P50" s="1493"/>
      <c r="Q50" s="1493"/>
      <c r="R50" s="1493"/>
      <c r="S50" s="1493"/>
      <c r="T50" s="1490"/>
    </row>
    <row r="51" spans="1:20" ht="12.75">
      <c r="A51" s="1491"/>
      <c r="B51" s="1491"/>
      <c r="C51" s="1441">
        <f>+SUM(C39:C50)</f>
        <v>-27269.739999999998</v>
      </c>
      <c r="D51" t="s">
        <v>17</v>
      </c>
      <c r="E51" s="1491"/>
      <c r="F51" s="1491"/>
      <c r="G51" s="1491"/>
      <c r="H51" s="1491"/>
      <c r="I51" s="1493"/>
      <c r="J51" s="1493"/>
      <c r="K51" s="1493"/>
      <c r="L51" s="1493"/>
      <c r="M51" s="1493"/>
      <c r="N51" s="1493"/>
      <c r="O51" s="1493"/>
      <c r="P51" s="1493"/>
      <c r="Q51" s="1493"/>
      <c r="R51" s="1493"/>
      <c r="S51" s="1493"/>
      <c r="T51" s="1490"/>
    </row>
    <row r="52" spans="1:20" ht="12.75">
      <c r="A52" s="1491"/>
      <c r="B52" s="1491"/>
      <c r="C52" s="1496"/>
      <c r="D52" s="1491"/>
      <c r="E52" s="1491"/>
      <c r="F52" s="1491"/>
      <c r="G52" s="1491"/>
      <c r="H52" s="1491"/>
      <c r="I52" s="1493"/>
      <c r="J52" s="1493"/>
      <c r="K52" s="1493"/>
      <c r="L52" s="1493"/>
      <c r="M52" s="1493"/>
      <c r="N52" s="1493"/>
      <c r="O52" s="1493"/>
      <c r="P52" s="1493"/>
      <c r="Q52" s="1493"/>
      <c r="R52" s="1493"/>
      <c r="S52" s="1493"/>
      <c r="T52" s="1490"/>
    </row>
    <row r="53" spans="1:20" ht="25.5">
      <c r="A53" s="1491"/>
      <c r="B53" s="1500">
        <v>1.4</v>
      </c>
      <c r="C53" s="1501" t="s">
        <v>587</v>
      </c>
      <c r="D53" s="1367" t="s">
        <v>592</v>
      </c>
      <c r="E53" s="1491"/>
      <c r="F53" s="1491"/>
      <c r="G53" s="1491"/>
      <c r="H53" s="1491"/>
      <c r="I53" s="1492"/>
      <c r="J53" s="1493"/>
      <c r="K53" s="1493"/>
      <c r="L53" s="1493"/>
      <c r="M53" s="1493"/>
      <c r="N53" s="1493"/>
      <c r="O53" s="1493"/>
      <c r="P53" s="1493"/>
      <c r="Q53" s="1493"/>
      <c r="R53" s="1493"/>
      <c r="S53" s="1493"/>
      <c r="T53" s="1490"/>
    </row>
    <row r="54" spans="1:20" ht="12.75">
      <c r="A54" s="1491"/>
      <c r="B54" s="1510"/>
      <c r="C54" s="1512"/>
      <c r="D54" s="1491"/>
      <c r="E54" s="1491"/>
      <c r="F54" s="1491"/>
      <c r="G54" s="1491"/>
      <c r="H54" s="1491"/>
      <c r="I54" s="1492"/>
      <c r="J54" s="1493"/>
      <c r="K54" s="1493"/>
      <c r="L54" s="1493"/>
      <c r="M54" s="1493"/>
      <c r="N54" s="1493"/>
      <c r="O54" s="1493"/>
      <c r="P54" s="1493"/>
      <c r="Q54" s="1493"/>
      <c r="R54" s="1493"/>
      <c r="S54" s="1493"/>
      <c r="T54" s="1490"/>
    </row>
    <row r="55" spans="1:20" ht="12.75">
      <c r="A55" s="1491"/>
      <c r="B55" s="1510"/>
      <c r="C55" s="1327">
        <v>14769.4</v>
      </c>
      <c r="D55" t="s">
        <v>5</v>
      </c>
      <c r="E55" s="1513"/>
      <c r="F55" s="1491"/>
      <c r="G55" s="1491"/>
      <c r="H55" s="1491"/>
      <c r="I55" s="1492"/>
      <c r="J55" s="1493"/>
      <c r="K55" s="1493"/>
      <c r="L55" s="1493"/>
      <c r="M55" s="1493"/>
      <c r="N55" s="1493"/>
      <c r="O55" s="1493"/>
      <c r="P55" s="1493"/>
      <c r="Q55" s="1493"/>
      <c r="R55" s="1493"/>
      <c r="S55" s="1493"/>
      <c r="T55" s="1490"/>
    </row>
    <row r="56" spans="1:20" ht="12.75">
      <c r="A56" s="1491"/>
      <c r="B56" s="1510"/>
      <c r="C56" s="1327">
        <v>10961.04</v>
      </c>
      <c r="D56" t="s">
        <v>706</v>
      </c>
      <c r="E56" s="1513"/>
      <c r="F56" s="1491"/>
      <c r="G56" s="1491"/>
      <c r="H56" s="1491"/>
      <c r="I56" s="1492"/>
      <c r="J56" s="1493"/>
      <c r="K56" s="1503"/>
      <c r="L56" s="1493"/>
      <c r="M56" s="1493"/>
      <c r="N56" s="1493"/>
      <c r="O56" s="1493"/>
      <c r="P56" s="1493"/>
      <c r="Q56" s="1493"/>
      <c r="R56" s="1493"/>
      <c r="S56" s="1493"/>
      <c r="T56" s="1490"/>
    </row>
    <row r="57" spans="1:20" ht="12.75">
      <c r="A57" s="1491"/>
      <c r="B57" s="1510"/>
      <c r="C57" s="1441">
        <v>10794.2</v>
      </c>
      <c r="D57" t="s">
        <v>721</v>
      </c>
      <c r="E57" s="1513"/>
      <c r="F57" s="1491"/>
      <c r="G57" s="1491"/>
      <c r="H57" s="1491"/>
      <c r="I57" s="1492"/>
      <c r="J57" s="1503"/>
      <c r="K57" s="1493"/>
      <c r="L57" s="1493"/>
      <c r="M57" s="1493"/>
      <c r="N57" s="1493"/>
      <c r="O57" s="1493"/>
      <c r="P57" s="1493"/>
      <c r="Q57" s="1493"/>
      <c r="R57" s="1493"/>
      <c r="S57" s="1493"/>
      <c r="T57" s="1490"/>
    </row>
    <row r="58" spans="1:20" ht="12.75">
      <c r="A58" s="1491"/>
      <c r="B58" s="1510"/>
      <c r="C58" s="1441">
        <v>-18132.7</v>
      </c>
      <c r="D58" t="s">
        <v>721</v>
      </c>
      <c r="E58" s="1513"/>
      <c r="F58" s="1491"/>
      <c r="G58" s="1491"/>
      <c r="H58" s="1491"/>
      <c r="I58" s="1492"/>
      <c r="J58" s="1503"/>
      <c r="K58" s="1493"/>
      <c r="L58" s="1493"/>
      <c r="M58" s="1493"/>
      <c r="N58" s="1493"/>
      <c r="O58" s="1493"/>
      <c r="P58" s="1493"/>
      <c r="Q58" s="1493"/>
      <c r="R58" s="1493"/>
      <c r="S58" s="1493"/>
      <c r="T58" s="1490"/>
    </row>
    <row r="59" spans="1:20" ht="12.75">
      <c r="A59" s="1491"/>
      <c r="B59" s="1510"/>
      <c r="C59" s="1327">
        <v>-477.48</v>
      </c>
      <c r="D59" t="s">
        <v>741</v>
      </c>
      <c r="E59" s="1496"/>
      <c r="F59" s="1491"/>
      <c r="G59" s="1491"/>
      <c r="H59" s="1491"/>
      <c r="I59" s="1492"/>
      <c r="J59" s="1492"/>
      <c r="K59" s="1492"/>
      <c r="L59" s="1492"/>
      <c r="M59" s="1492"/>
      <c r="N59" s="1492"/>
      <c r="O59" s="1493"/>
      <c r="P59" s="1493"/>
      <c r="Q59" s="1493"/>
      <c r="R59" s="1493"/>
      <c r="S59" s="1493"/>
      <c r="T59" s="1490"/>
    </row>
    <row r="60" spans="1:20" ht="12.75">
      <c r="A60" s="1491"/>
      <c r="B60" s="1510"/>
      <c r="C60" s="1327">
        <v>-49645.01</v>
      </c>
      <c r="D60" t="s">
        <v>704</v>
      </c>
      <c r="E60" s="1496"/>
      <c r="F60" s="1491"/>
      <c r="G60" s="1491"/>
      <c r="H60" s="1491"/>
      <c r="I60" s="1492"/>
      <c r="J60" s="1492"/>
      <c r="K60" s="1492"/>
      <c r="L60" s="1492"/>
      <c r="M60" s="1492"/>
      <c r="N60" s="1492"/>
      <c r="O60" s="1493"/>
      <c r="P60" s="1493"/>
      <c r="Q60" s="1493"/>
      <c r="R60" s="1493"/>
      <c r="S60" s="1493"/>
      <c r="T60" s="1490"/>
    </row>
    <row r="61" spans="1:20" ht="12.75">
      <c r="A61" s="1491"/>
      <c r="B61" s="1510"/>
      <c r="C61" s="1441">
        <v>-2285</v>
      </c>
      <c r="D61" t="s">
        <v>722</v>
      </c>
      <c r="E61" s="1491"/>
      <c r="F61" s="1491"/>
      <c r="G61" s="1491"/>
      <c r="H61" s="1491"/>
      <c r="I61" s="1492"/>
      <c r="J61" s="1492"/>
      <c r="K61" s="1492"/>
      <c r="L61" s="1492"/>
      <c r="M61" s="1492"/>
      <c r="N61" s="1492"/>
      <c r="O61" s="1493"/>
      <c r="P61" s="1493"/>
      <c r="Q61" s="1493"/>
      <c r="R61" s="1493"/>
      <c r="S61" s="1493"/>
      <c r="T61" s="1490"/>
    </row>
    <row r="62" spans="1:20" ht="12.75">
      <c r="A62" s="1491"/>
      <c r="B62" s="1510"/>
      <c r="C62" s="1441">
        <v>-3994.3</v>
      </c>
      <c r="D62" t="s">
        <v>725</v>
      </c>
      <c r="E62" s="1496"/>
      <c r="F62" s="1491"/>
      <c r="G62" s="1491"/>
      <c r="H62" s="1491"/>
      <c r="I62" s="1492"/>
      <c r="J62" s="1492">
        <v>0</v>
      </c>
      <c r="K62" s="1492">
        <f>-C62</f>
        <v>3994.3</v>
      </c>
      <c r="L62" s="1492"/>
      <c r="M62" s="1492"/>
      <c r="N62" s="1492"/>
      <c r="O62" s="1493"/>
      <c r="P62" s="1493"/>
      <c r="Q62" s="1493"/>
      <c r="R62" s="1493"/>
      <c r="S62" s="1493"/>
      <c r="T62" s="1490"/>
    </row>
    <row r="63" spans="1:20" ht="12.75">
      <c r="A63" s="1491"/>
      <c r="B63" s="1510"/>
      <c r="C63" s="1327">
        <v>-4111.7</v>
      </c>
      <c r="D63" t="s">
        <v>740</v>
      </c>
      <c r="E63" s="1491"/>
      <c r="F63" s="1491"/>
      <c r="G63" s="1491"/>
      <c r="H63" s="1491"/>
      <c r="I63" s="1492"/>
      <c r="J63" s="1492">
        <f>-C63</f>
        <v>4111.7</v>
      </c>
      <c r="K63" s="1492">
        <v>0</v>
      </c>
      <c r="L63" s="1492"/>
      <c r="M63" s="1492"/>
      <c r="N63" s="1492"/>
      <c r="O63" s="1493"/>
      <c r="P63" s="1493"/>
      <c r="Q63" s="1493"/>
      <c r="R63" s="1493"/>
      <c r="S63" s="1493"/>
      <c r="T63" s="1490"/>
    </row>
    <row r="64" spans="1:20" ht="12.75">
      <c r="A64" s="1491"/>
      <c r="B64" s="1510"/>
      <c r="C64" s="1327">
        <v>-0.28</v>
      </c>
      <c r="D64" t="s">
        <v>264</v>
      </c>
      <c r="E64" s="1491"/>
      <c r="F64" s="1491"/>
      <c r="G64" s="1491"/>
      <c r="H64" s="1491"/>
      <c r="I64" s="1492"/>
      <c r="J64" s="1492"/>
      <c r="K64" s="1492"/>
      <c r="L64" s="1492"/>
      <c r="M64" s="1514"/>
      <c r="N64" s="1492"/>
      <c r="O64" s="1514"/>
      <c r="P64" s="1493"/>
      <c r="Q64" s="1493"/>
      <c r="R64" s="1493"/>
      <c r="S64" s="1493"/>
      <c r="T64" s="1490"/>
    </row>
    <row r="65" spans="1:20" ht="12.75">
      <c r="A65" s="1491"/>
      <c r="B65" s="1510"/>
      <c r="C65" s="1327">
        <f>+SUM(C55:C64)</f>
        <v>-42121.83</v>
      </c>
      <c r="D65" t="s">
        <v>257</v>
      </c>
      <c r="E65" s="1491"/>
      <c r="F65" s="1491"/>
      <c r="G65" s="1491"/>
      <c r="H65" s="1491"/>
      <c r="I65" s="1492"/>
      <c r="J65" s="1492"/>
      <c r="K65" s="1492"/>
      <c r="L65" s="1492"/>
      <c r="M65" s="1492"/>
      <c r="N65" s="1492"/>
      <c r="O65" s="1493"/>
      <c r="P65" s="1493"/>
      <c r="Q65" s="1493"/>
      <c r="R65" s="1493"/>
      <c r="S65" s="1493"/>
      <c r="T65" s="1490"/>
    </row>
    <row r="66" spans="1:20" ht="12.75">
      <c r="A66" s="1491"/>
      <c r="B66" s="1510"/>
      <c r="C66" s="1496"/>
      <c r="D66" s="1491"/>
      <c r="E66" s="1491"/>
      <c r="F66" s="1491"/>
      <c r="G66" s="1491"/>
      <c r="H66" s="1491"/>
      <c r="I66" s="1493"/>
      <c r="J66" s="1493"/>
      <c r="K66" s="1493"/>
      <c r="L66" s="1493"/>
      <c r="M66" s="1493"/>
      <c r="N66" s="1493"/>
      <c r="O66" s="1493"/>
      <c r="P66" s="1493"/>
      <c r="Q66" s="1493"/>
      <c r="R66" s="1493"/>
      <c r="S66" s="1493"/>
      <c r="T66" s="1490"/>
    </row>
    <row r="67" spans="1:20" ht="12.75">
      <c r="A67" s="1491"/>
      <c r="B67" s="1491"/>
      <c r="C67" s="1515"/>
      <c r="D67" s="1507"/>
      <c r="E67" s="1491"/>
      <c r="F67" s="1491"/>
      <c r="G67" s="1496"/>
      <c r="H67" s="1491"/>
      <c r="I67" s="1493"/>
      <c r="J67" s="1493"/>
      <c r="K67" s="1493"/>
      <c r="L67" s="1493"/>
      <c r="M67" s="1493"/>
      <c r="N67" s="1493"/>
      <c r="O67" s="1493"/>
      <c r="P67" s="1493"/>
      <c r="Q67" s="1493"/>
      <c r="R67" s="1493"/>
      <c r="S67" s="1493"/>
      <c r="T67" s="1490"/>
    </row>
    <row r="68" spans="1:20" ht="25.5">
      <c r="A68" s="1491"/>
      <c r="B68" s="1500">
        <v>2.1</v>
      </c>
      <c r="C68" s="1501" t="s">
        <v>584</v>
      </c>
      <c r="D68" s="1516" t="s">
        <v>594</v>
      </c>
      <c r="E68" s="1507"/>
      <c r="F68" s="1491"/>
      <c r="G68" s="1491"/>
      <c r="H68" s="1491"/>
      <c r="I68" s="1493"/>
      <c r="J68" s="1493"/>
      <c r="K68" s="1493"/>
      <c r="L68" s="1493"/>
      <c r="M68" s="1493"/>
      <c r="N68" s="1493"/>
      <c r="O68" s="1493"/>
      <c r="P68" s="1493"/>
      <c r="Q68" s="1493"/>
      <c r="R68" s="1493"/>
      <c r="S68" s="1493"/>
      <c r="T68" s="1490"/>
    </row>
    <row r="69" spans="1:20" ht="12.75">
      <c r="A69" s="1491"/>
      <c r="B69" s="1491"/>
      <c r="C69" s="1515"/>
      <c r="D69" s="1491"/>
      <c r="E69" s="1491"/>
      <c r="F69" s="1491"/>
      <c r="G69" s="1491"/>
      <c r="H69" s="1491"/>
      <c r="I69" s="1493"/>
      <c r="J69" s="1493"/>
      <c r="K69" s="1493"/>
      <c r="L69" s="1493"/>
      <c r="M69" s="1493"/>
      <c r="N69" s="1493"/>
      <c r="O69" s="1493"/>
      <c r="P69" s="1493"/>
      <c r="Q69" s="1493"/>
      <c r="R69" s="1493"/>
      <c r="S69" s="1493"/>
      <c r="T69" s="1490"/>
    </row>
    <row r="70" spans="1:20" ht="12.75">
      <c r="A70" s="1491"/>
      <c r="B70" s="1491"/>
      <c r="C70" s="1327">
        <v>10383.89</v>
      </c>
      <c r="D70" t="s">
        <v>5</v>
      </c>
      <c r="E70" s="1491"/>
      <c r="F70" s="1491"/>
      <c r="G70" s="1491"/>
      <c r="H70" s="1491"/>
      <c r="I70" s="1493"/>
      <c r="J70" s="1493"/>
      <c r="K70" s="1493"/>
      <c r="L70" s="1493"/>
      <c r="M70" s="1493"/>
      <c r="N70" s="1493"/>
      <c r="O70" s="1493"/>
      <c r="P70" s="1493"/>
      <c r="Q70" s="1493"/>
      <c r="R70" s="1493"/>
      <c r="S70" s="1493"/>
      <c r="T70" s="1490"/>
    </row>
    <row r="71" spans="1:20" ht="12.75">
      <c r="A71" s="1491"/>
      <c r="B71" s="1491"/>
      <c r="C71" s="1327">
        <v>9592.4</v>
      </c>
      <c r="D71" t="s">
        <v>706</v>
      </c>
      <c r="E71" s="1491"/>
      <c r="F71" s="1491"/>
      <c r="G71" s="1491"/>
      <c r="H71" s="1491"/>
      <c r="I71" s="1492"/>
      <c r="J71" s="1493"/>
      <c r="K71" s="1493"/>
      <c r="L71" s="1493"/>
      <c r="M71" s="1493"/>
      <c r="N71" s="1493"/>
      <c r="O71" s="1493"/>
      <c r="P71" s="1493"/>
      <c r="Q71" s="1493"/>
      <c r="R71" s="1493"/>
      <c r="S71" s="1493"/>
      <c r="T71" s="1490"/>
    </row>
    <row r="72" spans="1:20" ht="12.75">
      <c r="A72" s="1491"/>
      <c r="B72" s="1491"/>
      <c r="C72" s="1441">
        <v>9913.04</v>
      </c>
      <c r="D72" t="s">
        <v>721</v>
      </c>
      <c r="E72" s="1491"/>
      <c r="F72" s="1491"/>
      <c r="G72" s="1491"/>
      <c r="H72" s="1491"/>
      <c r="I72" s="1493"/>
      <c r="J72" s="1492"/>
      <c r="K72" s="1492"/>
      <c r="L72" s="1493"/>
      <c r="M72" s="1493"/>
      <c r="N72" s="1493"/>
      <c r="O72" s="1493"/>
      <c r="P72" s="1493"/>
      <c r="Q72" s="1493"/>
      <c r="R72" s="1493"/>
      <c r="S72" s="1493"/>
      <c r="T72" s="1490"/>
    </row>
    <row r="73" spans="1:20" ht="12.75">
      <c r="A73" s="1491"/>
      <c r="B73" s="1491"/>
      <c r="C73" s="1327">
        <v>-12.16</v>
      </c>
      <c r="D73" t="s">
        <v>741</v>
      </c>
      <c r="E73" s="1491"/>
      <c r="F73" s="1491"/>
      <c r="G73" s="1491"/>
      <c r="H73" s="1491"/>
      <c r="I73" s="1493"/>
      <c r="J73" s="1492"/>
      <c r="K73" s="1492"/>
      <c r="L73" s="1493"/>
      <c r="M73" s="1493"/>
      <c r="N73" s="1493"/>
      <c r="O73" s="1493"/>
      <c r="P73" s="1493"/>
      <c r="Q73" s="1493"/>
      <c r="R73" s="1493"/>
      <c r="S73" s="1493"/>
      <c r="T73" s="1490"/>
    </row>
    <row r="74" spans="1:20" ht="12.75">
      <c r="A74" s="1491"/>
      <c r="B74" s="1491"/>
      <c r="C74" s="1327">
        <v>-39566.65</v>
      </c>
      <c r="D74" t="s">
        <v>704</v>
      </c>
      <c r="E74" s="1491"/>
      <c r="F74" s="1491"/>
      <c r="G74" s="1491"/>
      <c r="H74" s="1491"/>
      <c r="I74" s="1492"/>
      <c r="J74" s="1492"/>
      <c r="K74" s="1492"/>
      <c r="L74" s="1493"/>
      <c r="M74" s="1493"/>
      <c r="N74" s="1493"/>
      <c r="O74" s="1493"/>
      <c r="P74" s="1493"/>
      <c r="Q74" s="1493"/>
      <c r="R74" s="1493"/>
      <c r="S74" s="1493"/>
      <c r="T74" s="1490"/>
    </row>
    <row r="75" spans="1:20" ht="12.75">
      <c r="A75" s="1491"/>
      <c r="B75" s="1517"/>
      <c r="C75" s="1441">
        <v>-1100</v>
      </c>
      <c r="D75" t="s">
        <v>722</v>
      </c>
      <c r="E75" s="1491"/>
      <c r="F75" s="1491"/>
      <c r="G75" s="1517"/>
      <c r="H75" s="1517"/>
      <c r="I75" s="1518"/>
      <c r="J75" s="1518"/>
      <c r="K75" s="1518"/>
      <c r="L75" s="1493"/>
      <c r="M75" s="1493"/>
      <c r="N75" s="1493"/>
      <c r="O75" s="1493"/>
      <c r="P75" s="1493"/>
      <c r="Q75" s="1493"/>
      <c r="R75" s="1493"/>
      <c r="S75" s="1493"/>
      <c r="T75" s="1490"/>
    </row>
    <row r="76" spans="1:20" ht="12.75">
      <c r="A76" s="1491"/>
      <c r="B76" s="1517"/>
      <c r="C76" s="1441">
        <v>-6500</v>
      </c>
      <c r="D76" t="s">
        <v>725</v>
      </c>
      <c r="E76" s="1491"/>
      <c r="F76" s="1491"/>
      <c r="G76" s="1517"/>
      <c r="H76" s="1517"/>
      <c r="I76" s="1518"/>
      <c r="J76" s="1518"/>
      <c r="K76" s="1519">
        <f>-C76</f>
        <v>6500</v>
      </c>
      <c r="L76" s="1493"/>
      <c r="M76" s="1493"/>
      <c r="N76" s="1493"/>
      <c r="O76" s="1493"/>
      <c r="P76" s="1493"/>
      <c r="Q76" s="1493"/>
      <c r="R76" s="1493"/>
      <c r="S76" s="1493"/>
      <c r="T76" s="1490"/>
    </row>
    <row r="77" spans="1:20" ht="12.75">
      <c r="A77" s="1491"/>
      <c r="B77" s="1491"/>
      <c r="C77" s="1327">
        <v>-4740.3</v>
      </c>
      <c r="D77" t="s">
        <v>740</v>
      </c>
      <c r="E77" s="1491"/>
      <c r="F77" s="1491"/>
      <c r="G77" s="1491"/>
      <c r="H77" s="1491"/>
      <c r="I77" s="1493"/>
      <c r="J77" s="1511">
        <f>-C77</f>
        <v>4740.3</v>
      </c>
      <c r="K77" s="1493"/>
      <c r="L77" s="1493"/>
      <c r="M77" s="1493"/>
      <c r="N77" s="1493"/>
      <c r="O77" s="1493"/>
      <c r="P77" s="1493"/>
      <c r="Q77" s="1493"/>
      <c r="R77" s="1493"/>
      <c r="S77" s="1493"/>
      <c r="T77" s="1490"/>
    </row>
    <row r="78" spans="1:20" ht="12.75">
      <c r="A78" s="1491"/>
      <c r="B78" s="1491"/>
      <c r="C78" s="1327">
        <v>-65.5</v>
      </c>
      <c r="D78" t="s">
        <v>728</v>
      </c>
      <c r="E78" s="1491"/>
      <c r="F78" s="1491"/>
      <c r="G78" s="1491"/>
      <c r="H78" s="1491"/>
      <c r="I78" s="1493"/>
      <c r="J78" s="1493"/>
      <c r="K78" s="1493"/>
      <c r="L78" s="1511">
        <f>-C78</f>
        <v>65.5</v>
      </c>
      <c r="M78" s="1493"/>
      <c r="N78" s="1493"/>
      <c r="O78" s="1493"/>
      <c r="P78" s="1493"/>
      <c r="Q78" s="1493"/>
      <c r="R78" s="1493"/>
      <c r="S78" s="1493"/>
      <c r="T78" s="1490"/>
    </row>
    <row r="79" spans="1:20" ht="12.75">
      <c r="A79" s="1491"/>
      <c r="B79" s="1491"/>
      <c r="C79" s="1327">
        <v>-0.02</v>
      </c>
      <c r="D79" t="s">
        <v>264</v>
      </c>
      <c r="E79" s="1491"/>
      <c r="F79" s="1491"/>
      <c r="G79" s="1491"/>
      <c r="H79" s="1491"/>
      <c r="I79" s="1493"/>
      <c r="J79" s="1493"/>
      <c r="K79" s="1493"/>
      <c r="L79" s="1493"/>
      <c r="M79" s="1492"/>
      <c r="N79" s="1493"/>
      <c r="O79" s="1492"/>
      <c r="P79" s="1493"/>
      <c r="Q79" s="1493"/>
      <c r="R79" s="1493"/>
      <c r="S79" s="1493"/>
      <c r="T79" s="1490"/>
    </row>
    <row r="80" spans="1:20" ht="12.75">
      <c r="A80" s="1491"/>
      <c r="B80" s="1491"/>
      <c r="C80" s="1515">
        <f>+SUM(C70:C79)</f>
        <v>-22095.3</v>
      </c>
      <c r="D80" s="1491" t="s">
        <v>260</v>
      </c>
      <c r="E80" s="1491"/>
      <c r="F80" s="1491"/>
      <c r="G80" s="1491"/>
      <c r="H80" s="1491"/>
      <c r="I80" s="1493"/>
      <c r="J80" s="1493"/>
      <c r="K80" s="1493"/>
      <c r="L80" s="1493"/>
      <c r="M80" s="1493"/>
      <c r="N80" s="1493"/>
      <c r="O80" s="1493"/>
      <c r="P80" s="1493"/>
      <c r="Q80" s="1493"/>
      <c r="R80" s="1493"/>
      <c r="S80" s="1493"/>
      <c r="T80" s="1490"/>
    </row>
    <row r="81" spans="1:20" ht="12.75">
      <c r="A81" s="1491"/>
      <c r="B81" s="1491"/>
      <c r="C81" s="1491"/>
      <c r="D81" s="1491"/>
      <c r="E81" s="1491"/>
      <c r="F81" s="1491"/>
      <c r="G81" s="1491"/>
      <c r="H81" s="1515"/>
      <c r="I81" s="1493"/>
      <c r="J81" s="1493"/>
      <c r="K81" s="1493"/>
      <c r="L81" s="1493"/>
      <c r="M81" s="1493"/>
      <c r="N81" s="1493"/>
      <c r="O81" s="1493"/>
      <c r="P81" s="1493"/>
      <c r="Q81" s="1493"/>
      <c r="R81" s="1493"/>
      <c r="S81" s="1493"/>
      <c r="T81" s="1490"/>
    </row>
    <row r="82" spans="1:20" ht="12.75">
      <c r="A82" s="1491"/>
      <c r="B82" s="1491"/>
      <c r="C82" s="1491"/>
      <c r="D82" s="1491"/>
      <c r="E82" s="1491"/>
      <c r="F82" s="1491"/>
      <c r="G82" s="1491"/>
      <c r="H82" s="1491"/>
      <c r="I82" s="1493"/>
      <c r="J82" s="1493"/>
      <c r="K82" s="1493"/>
      <c r="L82" s="1493"/>
      <c r="M82" s="1493"/>
      <c r="N82" s="1493"/>
      <c r="O82" s="1493"/>
      <c r="P82" s="1493"/>
      <c r="Q82" s="1493"/>
      <c r="R82" s="1493"/>
      <c r="S82" s="1493"/>
      <c r="T82" s="1490"/>
    </row>
    <row r="83" spans="1:20" ht="25.5">
      <c r="A83" s="1491"/>
      <c r="B83" s="1500">
        <v>3.1</v>
      </c>
      <c r="C83" s="1501" t="s">
        <v>584</v>
      </c>
      <c r="D83" s="1516" t="s">
        <v>595</v>
      </c>
      <c r="E83" s="1507"/>
      <c r="F83" s="1491"/>
      <c r="G83" s="1491"/>
      <c r="H83" s="1491"/>
      <c r="I83" s="1493"/>
      <c r="J83" s="1493"/>
      <c r="K83" s="1493"/>
      <c r="L83" s="1493"/>
      <c r="M83" s="1493"/>
      <c r="N83" s="1493"/>
      <c r="O83" s="1493"/>
      <c r="P83" s="1493"/>
      <c r="Q83" s="1493"/>
      <c r="R83" s="1493"/>
      <c r="S83" s="1493"/>
      <c r="T83" s="1490"/>
    </row>
    <row r="84" spans="1:20" ht="12.75">
      <c r="A84" s="1491"/>
      <c r="B84" s="1491"/>
      <c r="C84" s="1515"/>
      <c r="D84" s="1491"/>
      <c r="E84" s="1491"/>
      <c r="F84" s="1491"/>
      <c r="G84" s="1491"/>
      <c r="H84" s="1491"/>
      <c r="I84" s="1503"/>
      <c r="J84" s="1493"/>
      <c r="K84" s="1493"/>
      <c r="L84" s="1493"/>
      <c r="M84" s="1493"/>
      <c r="N84" s="1493"/>
      <c r="O84" s="1493"/>
      <c r="P84" s="1493"/>
      <c r="Q84" s="1493"/>
      <c r="R84" s="1493"/>
      <c r="S84" s="1493"/>
      <c r="T84" s="1490"/>
    </row>
    <row r="85" spans="1:20" ht="12.75">
      <c r="A85" s="1491"/>
      <c r="B85" s="1491"/>
      <c r="C85" s="1441">
        <v>3168.89</v>
      </c>
      <c r="D85" t="s">
        <v>5</v>
      </c>
      <c r="E85" s="1491"/>
      <c r="F85" s="1491"/>
      <c r="G85" s="1491"/>
      <c r="H85" s="1491"/>
      <c r="I85" s="1503"/>
      <c r="J85" s="1493"/>
      <c r="K85" s="1493"/>
      <c r="L85" s="1493"/>
      <c r="M85" s="1493"/>
      <c r="N85" s="1493"/>
      <c r="O85" s="1493"/>
      <c r="P85" s="1493"/>
      <c r="Q85" s="1493"/>
      <c r="R85" s="1493"/>
      <c r="S85" s="1493"/>
      <c r="T85" s="1490"/>
    </row>
    <row r="86" spans="1:20" ht="12.75">
      <c r="A86" s="1491"/>
      <c r="B86" s="1491"/>
      <c r="C86" s="1441">
        <v>4905.12</v>
      </c>
      <c r="D86" t="s">
        <v>706</v>
      </c>
      <c r="E86" s="1491"/>
      <c r="F86" s="1491"/>
      <c r="G86" s="1491"/>
      <c r="H86" s="1491"/>
      <c r="I86" s="1503"/>
      <c r="J86" s="1493"/>
      <c r="K86" s="1493"/>
      <c r="L86" s="1493"/>
      <c r="M86" s="1493"/>
      <c r="N86" s="1493"/>
      <c r="O86" s="1493"/>
      <c r="P86" s="1493"/>
      <c r="Q86" s="1493"/>
      <c r="R86" s="1493"/>
      <c r="S86" s="1493"/>
      <c r="T86" s="1490"/>
    </row>
    <row r="87" spans="1:20" ht="12.75">
      <c r="A87" s="1491"/>
      <c r="B87" s="1491"/>
      <c r="C87" s="1441">
        <v>10534.8</v>
      </c>
      <c r="D87" t="s">
        <v>745</v>
      </c>
      <c r="E87" s="1491"/>
      <c r="F87" s="1491"/>
      <c r="G87" s="1491"/>
      <c r="H87" s="1491"/>
      <c r="I87" s="1503"/>
      <c r="J87" s="1493"/>
      <c r="K87" s="1503"/>
      <c r="L87" s="1493"/>
      <c r="M87" s="1493"/>
      <c r="N87" s="1493"/>
      <c r="O87" s="1493"/>
      <c r="P87" s="1493"/>
      <c r="Q87" s="1493"/>
      <c r="R87" s="1493"/>
      <c r="S87" s="1493"/>
      <c r="T87" s="1490"/>
    </row>
    <row r="88" spans="1:20" ht="12.75">
      <c r="A88" s="1491"/>
      <c r="B88" s="1491"/>
      <c r="C88" s="1441">
        <v>-95071.5</v>
      </c>
      <c r="D88" t="s">
        <v>741</v>
      </c>
      <c r="E88" s="1491"/>
      <c r="F88" s="1491"/>
      <c r="G88" s="1491"/>
      <c r="H88" s="1491"/>
      <c r="I88" s="1503"/>
      <c r="J88" s="1503"/>
      <c r="K88" s="1493"/>
      <c r="L88" s="1493"/>
      <c r="M88" s="1493"/>
      <c r="N88" s="1493"/>
      <c r="O88" s="1493"/>
      <c r="P88" s="1493"/>
      <c r="Q88" s="1493"/>
      <c r="R88" s="1493"/>
      <c r="S88" s="1493"/>
      <c r="T88" s="1490"/>
    </row>
    <row r="89" spans="1:20" ht="12.75">
      <c r="A89" s="1491"/>
      <c r="B89" s="1491"/>
      <c r="C89" s="1441">
        <v>-9528.81</v>
      </c>
      <c r="D89" t="s">
        <v>704</v>
      </c>
      <c r="E89" s="1496"/>
      <c r="F89" s="1491"/>
      <c r="G89" s="1491"/>
      <c r="H89" s="1491"/>
      <c r="I89" s="1503"/>
      <c r="J89" s="1493"/>
      <c r="K89" s="1493"/>
      <c r="L89" s="1503"/>
      <c r="M89" s="1493"/>
      <c r="N89" s="1493"/>
      <c r="O89" s="1493"/>
      <c r="P89" s="1493"/>
      <c r="Q89" s="1493"/>
      <c r="R89" s="1493"/>
      <c r="S89" s="1493"/>
      <c r="T89" s="1490"/>
    </row>
    <row r="90" spans="1:20" ht="12.75">
      <c r="A90" s="1491"/>
      <c r="B90" s="1491"/>
      <c r="C90" s="1441">
        <v>-1155</v>
      </c>
      <c r="D90" t="s">
        <v>746</v>
      </c>
      <c r="E90" s="1491"/>
      <c r="F90" s="1491"/>
      <c r="G90" s="1491"/>
      <c r="H90" s="1491"/>
      <c r="I90" s="1493"/>
      <c r="J90" s="1493"/>
      <c r="K90" s="1492">
        <f>-C90</f>
        <v>1155</v>
      </c>
      <c r="L90" s="1493"/>
      <c r="M90" s="1493"/>
      <c r="N90" s="1493"/>
      <c r="O90" s="1493"/>
      <c r="P90" s="1493"/>
      <c r="Q90" s="1493"/>
      <c r="R90" s="1493"/>
      <c r="S90" s="1493"/>
      <c r="T90" s="1490"/>
    </row>
    <row r="91" spans="1:20" ht="12.75">
      <c r="A91" s="1491"/>
      <c r="B91" s="1491"/>
      <c r="C91" s="1441">
        <v>-0.01</v>
      </c>
      <c r="D91" t="s">
        <v>264</v>
      </c>
      <c r="E91" s="1491"/>
      <c r="F91" s="1491"/>
      <c r="G91" s="1491"/>
      <c r="H91" s="1491"/>
      <c r="I91" s="1493"/>
      <c r="J91" s="1492"/>
      <c r="K91" s="1493"/>
      <c r="L91" s="1493"/>
      <c r="M91" s="1493"/>
      <c r="N91" s="1493"/>
      <c r="O91" s="1493"/>
      <c r="P91" s="1493"/>
      <c r="Q91" s="1493"/>
      <c r="R91" s="1493"/>
      <c r="S91" s="1493"/>
      <c r="T91" s="1490"/>
    </row>
    <row r="92" spans="1:20" ht="12.75">
      <c r="A92" s="1491"/>
      <c r="B92" s="1491"/>
      <c r="C92" s="1520">
        <f>+SUM(C85:C91)</f>
        <v>-87146.51</v>
      </c>
      <c r="D92" s="1507" t="s">
        <v>257</v>
      </c>
      <c r="E92" s="1491"/>
      <c r="F92" s="1491"/>
      <c r="G92" s="1491"/>
      <c r="H92" s="1491"/>
      <c r="I92" s="1493"/>
      <c r="J92" s="1492"/>
      <c r="K92" s="1493"/>
      <c r="L92" s="1493"/>
      <c r="M92" s="1493"/>
      <c r="N92" s="1493"/>
      <c r="O92" s="1493"/>
      <c r="P92" s="1493"/>
      <c r="Q92" s="1493"/>
      <c r="R92" s="1493"/>
      <c r="S92" s="1493"/>
      <c r="T92" s="1490"/>
    </row>
    <row r="93" spans="1:20" ht="12.75">
      <c r="A93" s="1491"/>
      <c r="B93" s="1491"/>
      <c r="C93" s="1496"/>
      <c r="D93" s="1491"/>
      <c r="E93" s="1491"/>
      <c r="F93" s="1491"/>
      <c r="G93" s="1491"/>
      <c r="H93" s="1491"/>
      <c r="I93" s="1493"/>
      <c r="J93" s="1493"/>
      <c r="K93" s="1493"/>
      <c r="L93" s="1493"/>
      <c r="M93" s="1493"/>
      <c r="N93" s="1493"/>
      <c r="O93" s="1493"/>
      <c r="P93" s="1493"/>
      <c r="Q93" s="1493"/>
      <c r="R93" s="1493"/>
      <c r="S93" s="1493"/>
      <c r="T93" s="1490"/>
    </row>
    <row r="94" spans="1:20" ht="12.75">
      <c r="A94" s="1491"/>
      <c r="B94" s="1491"/>
      <c r="C94" s="1515"/>
      <c r="D94" s="1491"/>
      <c r="E94" s="1491"/>
      <c r="F94" s="1491"/>
      <c r="G94" s="1491"/>
      <c r="H94" s="1491"/>
      <c r="I94" s="1493"/>
      <c r="J94" s="1493"/>
      <c r="K94" s="1493"/>
      <c r="L94" s="1493"/>
      <c r="M94" s="1493"/>
      <c r="N94" s="1493"/>
      <c r="O94" s="1493"/>
      <c r="P94" s="1493"/>
      <c r="Q94" s="1493"/>
      <c r="R94" s="1493"/>
      <c r="S94" s="1493"/>
      <c r="T94" s="1490"/>
    </row>
    <row r="95" spans="1:20" ht="38.25">
      <c r="A95" s="1491"/>
      <c r="B95" s="1500">
        <v>3.3</v>
      </c>
      <c r="C95" s="1501" t="s">
        <v>596</v>
      </c>
      <c r="D95" s="1491"/>
      <c r="E95" s="1491"/>
      <c r="F95" s="1491"/>
      <c r="G95" s="1491"/>
      <c r="H95" s="1491"/>
      <c r="I95" s="1493"/>
      <c r="J95" s="1493"/>
      <c r="K95" s="1493"/>
      <c r="L95" s="1493"/>
      <c r="M95" s="1493"/>
      <c r="N95" s="1493"/>
      <c r="O95" s="1493"/>
      <c r="P95" s="1493"/>
      <c r="Q95" s="1493"/>
      <c r="R95" s="1493"/>
      <c r="S95" s="1493"/>
      <c r="T95" s="1490"/>
    </row>
    <row r="96" spans="1:20" ht="12.75">
      <c r="A96" s="1491"/>
      <c r="B96" s="1491"/>
      <c r="C96" s="1506"/>
      <c r="D96" s="1491"/>
      <c r="E96" s="1491"/>
      <c r="F96" s="1491"/>
      <c r="G96" s="1491"/>
      <c r="H96" s="1491"/>
      <c r="I96" s="1492">
        <v>0</v>
      </c>
      <c r="J96" s="1493"/>
      <c r="K96" s="1493"/>
      <c r="L96" s="1493"/>
      <c r="M96" s="1493"/>
      <c r="N96" s="1493"/>
      <c r="O96" s="1493"/>
      <c r="P96" s="1493"/>
      <c r="Q96" s="1493"/>
      <c r="R96" s="1493"/>
      <c r="S96" s="1493"/>
      <c r="T96" s="1490"/>
    </row>
    <row r="97" spans="1:20" ht="12.75">
      <c r="A97" s="1491"/>
      <c r="B97" s="1491"/>
      <c r="C97" s="1520">
        <v>1387.9</v>
      </c>
      <c r="D97" t="s">
        <v>5</v>
      </c>
      <c r="E97" s="1491"/>
      <c r="F97" s="1491"/>
      <c r="G97" s="1491"/>
      <c r="H97" s="1491"/>
      <c r="I97" s="1493"/>
      <c r="J97" s="1492"/>
      <c r="K97" s="1493"/>
      <c r="L97" s="1493"/>
      <c r="M97" s="1493"/>
      <c r="N97" s="1493"/>
      <c r="O97" s="1493"/>
      <c r="P97" s="1493"/>
      <c r="Q97" s="1493"/>
      <c r="R97" s="1493"/>
      <c r="S97" s="1493"/>
      <c r="T97" s="1490"/>
    </row>
    <row r="98" spans="1:20" ht="12.75">
      <c r="A98" s="1491"/>
      <c r="B98" s="1491"/>
      <c r="C98" s="1520">
        <v>-420</v>
      </c>
      <c r="D98" t="s">
        <v>722</v>
      </c>
      <c r="E98" s="1491"/>
      <c r="F98" s="1491"/>
      <c r="G98" s="1491"/>
      <c r="H98" s="1491"/>
      <c r="I98" s="1493"/>
      <c r="J98" s="1493"/>
      <c r="K98" s="1493"/>
      <c r="L98" s="1493"/>
      <c r="M98" s="1493"/>
      <c r="N98" s="1493"/>
      <c r="O98" s="1493"/>
      <c r="P98" s="1493"/>
      <c r="Q98" s="1493"/>
      <c r="R98" s="1493"/>
      <c r="S98" s="1493"/>
      <c r="T98" s="1490"/>
    </row>
    <row r="99" spans="1:20" ht="12.75">
      <c r="A99" s="1491"/>
      <c r="B99" s="1491"/>
      <c r="C99" s="1520">
        <v>-209</v>
      </c>
      <c r="D99" t="s">
        <v>704</v>
      </c>
      <c r="E99" s="1491"/>
      <c r="F99" s="1491"/>
      <c r="G99" s="1491"/>
      <c r="H99" s="1491"/>
      <c r="I99" s="1493"/>
      <c r="J99" s="1493"/>
      <c r="K99" s="1493"/>
      <c r="L99" s="1493"/>
      <c r="M99" s="1493"/>
      <c r="N99" s="1493"/>
      <c r="O99" s="1493"/>
      <c r="P99" s="1493"/>
      <c r="Q99" s="1493"/>
      <c r="R99" s="1493"/>
      <c r="S99" s="1493"/>
      <c r="T99" s="1490"/>
    </row>
    <row r="100" spans="1:20" ht="12.75">
      <c r="A100" s="1491"/>
      <c r="B100" s="1491"/>
      <c r="C100" s="1506">
        <f>+SUM(C97:C99)</f>
        <v>758.9000000000001</v>
      </c>
      <c r="D100" s="1507" t="s">
        <v>257</v>
      </c>
      <c r="E100" s="1491"/>
      <c r="F100" s="1491"/>
      <c r="G100" s="1491"/>
      <c r="H100" s="1491"/>
      <c r="I100" s="1492"/>
      <c r="J100" s="1493"/>
      <c r="K100" s="1493"/>
      <c r="L100" s="1493"/>
      <c r="M100" s="1493"/>
      <c r="N100" s="1493"/>
      <c r="O100" s="1493"/>
      <c r="P100" s="1493"/>
      <c r="Q100" s="1493"/>
      <c r="R100" s="1493"/>
      <c r="S100" s="1493"/>
      <c r="T100" s="1490"/>
    </row>
    <row r="101" spans="1:20" ht="12.75">
      <c r="A101" s="1491"/>
      <c r="B101" s="1491"/>
      <c r="C101" s="1506"/>
      <c r="D101" s="1491"/>
      <c r="E101" s="1491"/>
      <c r="F101" s="1491"/>
      <c r="G101" s="1491"/>
      <c r="H101" s="1506"/>
      <c r="I101" s="1492"/>
      <c r="J101" s="1493"/>
      <c r="K101" s="1493"/>
      <c r="L101" s="1493"/>
      <c r="M101" s="1493"/>
      <c r="N101" s="1493"/>
      <c r="O101" s="1493"/>
      <c r="P101" s="1493"/>
      <c r="Q101" s="1493"/>
      <c r="R101" s="1493"/>
      <c r="S101" s="1493"/>
      <c r="T101" s="1490"/>
    </row>
    <row r="102" spans="1:20" ht="25.5">
      <c r="A102" s="1491"/>
      <c r="B102" s="1500">
        <v>3.4</v>
      </c>
      <c r="C102" s="1501" t="s">
        <v>587</v>
      </c>
      <c r="D102" s="1501" t="s">
        <v>597</v>
      </c>
      <c r="E102" s="1491"/>
      <c r="F102" s="1491"/>
      <c r="G102" s="1491"/>
      <c r="H102" s="1491"/>
      <c r="I102" s="1492"/>
      <c r="J102" s="1493"/>
      <c r="K102" s="1493"/>
      <c r="L102" s="1493"/>
      <c r="M102" s="1493"/>
      <c r="N102" s="1493"/>
      <c r="O102" s="1493"/>
      <c r="P102" s="1493"/>
      <c r="Q102" s="1493"/>
      <c r="R102" s="1493"/>
      <c r="S102" s="1493"/>
      <c r="T102" s="1490"/>
    </row>
    <row r="103" spans="1:20" ht="12.75">
      <c r="A103" s="1491"/>
      <c r="B103" s="1510"/>
      <c r="C103" s="1512"/>
      <c r="D103" s="1512"/>
      <c r="E103" s="1491"/>
      <c r="F103" s="1491"/>
      <c r="G103" s="1491"/>
      <c r="H103" s="1491"/>
      <c r="I103" s="1492"/>
      <c r="J103" s="1493"/>
      <c r="K103" s="1493"/>
      <c r="L103" s="1493"/>
      <c r="M103" s="1493"/>
      <c r="N103" s="1493"/>
      <c r="O103" s="1493"/>
      <c r="P103" s="1493"/>
      <c r="Q103" s="1493"/>
      <c r="R103" s="1493"/>
      <c r="S103" s="1493"/>
      <c r="T103" s="1490"/>
    </row>
    <row r="104" spans="1:20" ht="12.75">
      <c r="A104" s="1491"/>
      <c r="B104" s="1510"/>
      <c r="C104" s="1512">
        <v>922.2</v>
      </c>
      <c r="D104" t="s">
        <v>5</v>
      </c>
      <c r="E104" s="1491"/>
      <c r="F104" s="1491"/>
      <c r="G104" s="1491"/>
      <c r="H104" s="1491"/>
      <c r="I104" s="1492"/>
      <c r="J104" s="1493"/>
      <c r="K104" s="1493"/>
      <c r="L104" s="1493"/>
      <c r="M104" s="1493"/>
      <c r="N104" s="1493"/>
      <c r="O104" s="1493"/>
      <c r="P104" s="1493"/>
      <c r="Q104" s="1493"/>
      <c r="R104" s="1493"/>
      <c r="S104" s="1493"/>
      <c r="T104" s="1490"/>
    </row>
    <row r="105" spans="1:20" ht="12.75">
      <c r="A105" s="1491"/>
      <c r="B105" s="1510"/>
      <c r="C105" s="1512">
        <v>1050</v>
      </c>
      <c r="D105" t="s">
        <v>722</v>
      </c>
      <c r="E105" s="1491"/>
      <c r="F105" s="1491"/>
      <c r="G105" s="1491"/>
      <c r="H105" s="1491"/>
      <c r="I105" s="1492"/>
      <c r="J105" s="1493"/>
      <c r="K105" s="1493"/>
      <c r="L105" s="1493"/>
      <c r="M105" s="1493"/>
      <c r="N105" s="1493"/>
      <c r="O105" s="1493"/>
      <c r="P105" s="1493"/>
      <c r="Q105" s="1493"/>
      <c r="R105" s="1493"/>
      <c r="S105" s="1493"/>
      <c r="T105" s="1490"/>
    </row>
    <row r="106" spans="1:20" ht="12.75">
      <c r="A106" s="1491"/>
      <c r="B106" s="1510"/>
      <c r="C106" s="1512">
        <v>-2309.7</v>
      </c>
      <c r="D106" t="s">
        <v>725</v>
      </c>
      <c r="E106" s="1491"/>
      <c r="F106" s="1491"/>
      <c r="G106" s="1491"/>
      <c r="H106" s="1491"/>
      <c r="I106" s="1492"/>
      <c r="J106" s="1493"/>
      <c r="K106" s="1493">
        <f>-C106</f>
        <v>2309.7</v>
      </c>
      <c r="L106" s="1493"/>
      <c r="M106" s="1493"/>
      <c r="N106" s="1493"/>
      <c r="O106" s="1493"/>
      <c r="P106" s="1493"/>
      <c r="Q106" s="1493"/>
      <c r="R106" s="1493"/>
      <c r="S106" s="1493"/>
      <c r="T106" s="1490"/>
    </row>
    <row r="107" spans="1:20" ht="12.75">
      <c r="A107" s="1491"/>
      <c r="B107" s="1510"/>
      <c r="C107" s="1512">
        <f>+SUM(C104:C106)</f>
        <v>-337.4999999999998</v>
      </c>
      <c r="D107" s="1507" t="s">
        <v>257</v>
      </c>
      <c r="E107" s="1491"/>
      <c r="F107" s="1491"/>
      <c r="G107" s="1491"/>
      <c r="H107" s="1491"/>
      <c r="I107" s="1492"/>
      <c r="J107" s="1493"/>
      <c r="K107" s="1493"/>
      <c r="L107" s="1493"/>
      <c r="M107" s="1493"/>
      <c r="N107" s="1493"/>
      <c r="O107" s="1493"/>
      <c r="P107" s="1493"/>
      <c r="Q107" s="1493"/>
      <c r="R107" s="1493"/>
      <c r="S107" s="1493"/>
      <c r="T107" s="1490"/>
    </row>
    <row r="108" spans="1:20" ht="12.75">
      <c r="A108" s="1491"/>
      <c r="B108" s="1510"/>
      <c r="C108" s="1512"/>
      <c r="E108" s="1491"/>
      <c r="F108" s="1491"/>
      <c r="G108" s="1491"/>
      <c r="H108" s="1491"/>
      <c r="I108" s="1492"/>
      <c r="J108" s="1493"/>
      <c r="K108" s="1493"/>
      <c r="L108" s="1493"/>
      <c r="M108" s="1493"/>
      <c r="N108" s="1493"/>
      <c r="O108" s="1493"/>
      <c r="P108" s="1493"/>
      <c r="Q108" s="1493"/>
      <c r="R108" s="1493"/>
      <c r="S108" s="1493"/>
      <c r="T108" s="1490"/>
    </row>
    <row r="109" spans="1:20" ht="12.75">
      <c r="A109" s="1491"/>
      <c r="B109" s="1491"/>
      <c r="C109" s="1512"/>
      <c r="D109" s="1521" t="s">
        <v>598</v>
      </c>
      <c r="E109" s="1491"/>
      <c r="F109" s="1491"/>
      <c r="G109" s="1491"/>
      <c r="H109" s="1491"/>
      <c r="I109" s="1492"/>
      <c r="J109" s="1493"/>
      <c r="K109" s="1493"/>
      <c r="L109" s="1493"/>
      <c r="M109" s="1493"/>
      <c r="N109" s="1493"/>
      <c r="O109" s="1493"/>
      <c r="P109" s="1493"/>
      <c r="Q109" s="1493"/>
      <c r="R109" s="1493"/>
      <c r="S109" s="1493"/>
      <c r="T109" s="1490"/>
    </row>
    <row r="110" spans="1:20" ht="12.75">
      <c r="A110" s="1491"/>
      <c r="B110" s="1491"/>
      <c r="C110" s="1512"/>
      <c r="D110" s="1491"/>
      <c r="E110" s="1491"/>
      <c r="F110" s="1491"/>
      <c r="G110" s="1491"/>
      <c r="H110" s="1491"/>
      <c r="I110" s="1492"/>
      <c r="J110" s="1493"/>
      <c r="K110" s="1493"/>
      <c r="L110" s="1493"/>
      <c r="M110" s="1493"/>
      <c r="N110" s="1493"/>
      <c r="O110" s="1493"/>
      <c r="P110" s="1493"/>
      <c r="Q110" s="1493"/>
      <c r="R110" s="1493"/>
      <c r="S110" s="1493"/>
      <c r="T110" s="1490"/>
    </row>
    <row r="111" spans="1:20" ht="12.75">
      <c r="A111" s="1491"/>
      <c r="B111" s="1491"/>
      <c r="C111" s="1520">
        <v>461</v>
      </c>
      <c r="D111" t="s">
        <v>5</v>
      </c>
      <c r="E111" s="1491"/>
      <c r="F111" s="1491"/>
      <c r="G111" s="1491"/>
      <c r="H111" s="1491"/>
      <c r="I111" s="1492"/>
      <c r="J111" s="1493"/>
      <c r="K111" s="1493"/>
      <c r="L111" s="1493"/>
      <c r="M111" s="1493"/>
      <c r="N111" s="1493"/>
      <c r="O111" s="1493"/>
      <c r="P111" s="1493"/>
      <c r="Q111" s="1493"/>
      <c r="R111" s="1493"/>
      <c r="S111" s="1493"/>
      <c r="T111" s="1490"/>
    </row>
    <row r="112" spans="1:20" ht="12.75">
      <c r="A112" s="1491"/>
      <c r="B112" s="1491"/>
      <c r="C112" s="1520">
        <v>3072.91</v>
      </c>
      <c r="D112" s="1491" t="s">
        <v>706</v>
      </c>
      <c r="E112" s="1491"/>
      <c r="F112" s="1491"/>
      <c r="G112" s="1491"/>
      <c r="H112" s="1491"/>
      <c r="I112" s="1492"/>
      <c r="J112" s="1493"/>
      <c r="K112" s="1492"/>
      <c r="L112" s="1493"/>
      <c r="M112" s="1493"/>
      <c r="N112" s="1493"/>
      <c r="O112" s="1493"/>
      <c r="P112" s="1493"/>
      <c r="Q112" s="1493"/>
      <c r="R112" s="1493"/>
      <c r="S112" s="1493"/>
      <c r="T112" s="1490"/>
    </row>
    <row r="113" spans="1:20" ht="12.75">
      <c r="A113" s="1491"/>
      <c r="B113" s="1491"/>
      <c r="C113" s="1520">
        <v>-8535.91</v>
      </c>
      <c r="D113" s="1491" t="s">
        <v>704</v>
      </c>
      <c r="E113" s="1491"/>
      <c r="F113" s="1491"/>
      <c r="G113" s="1491"/>
      <c r="H113" s="1491"/>
      <c r="I113" s="1492"/>
      <c r="J113" s="1493"/>
      <c r="K113" s="1493"/>
      <c r="L113" s="1493"/>
      <c r="M113" s="1493"/>
      <c r="N113" s="1493"/>
      <c r="O113" s="1493"/>
      <c r="P113" s="1493"/>
      <c r="Q113" s="1493"/>
      <c r="R113" s="1493"/>
      <c r="S113" s="1493"/>
      <c r="T113" s="1490"/>
    </row>
    <row r="114" spans="1:20" ht="12.75">
      <c r="A114" s="1491"/>
      <c r="B114" s="1491"/>
      <c r="C114" s="1520">
        <v>-630</v>
      </c>
      <c r="D114" s="1491" t="s">
        <v>747</v>
      </c>
      <c r="E114" s="1491"/>
      <c r="F114" s="1491"/>
      <c r="G114" s="1491"/>
      <c r="H114" s="1491"/>
      <c r="I114" s="1492"/>
      <c r="J114" s="1493"/>
      <c r="K114" s="1493"/>
      <c r="L114" s="1493"/>
      <c r="M114" s="1493"/>
      <c r="N114" s="1493"/>
      <c r="O114" s="1493"/>
      <c r="P114" s="1493"/>
      <c r="Q114" s="1493"/>
      <c r="R114" s="1493"/>
      <c r="S114" s="1493"/>
      <c r="T114" s="1490"/>
    </row>
    <row r="115" spans="1:20" ht="12.75">
      <c r="A115" s="1491"/>
      <c r="B115" s="1491"/>
      <c r="C115" s="1520">
        <v>-630</v>
      </c>
      <c r="D115" s="1491" t="s">
        <v>725</v>
      </c>
      <c r="E115" s="1491"/>
      <c r="F115" s="1491"/>
      <c r="G115" s="1491"/>
      <c r="H115" s="1491"/>
      <c r="I115" s="1492"/>
      <c r="J115" s="1492"/>
      <c r="K115" s="1492">
        <f>-C115</f>
        <v>630</v>
      </c>
      <c r="L115" s="1493"/>
      <c r="M115" s="1493"/>
      <c r="N115" s="1493"/>
      <c r="O115" s="1493"/>
      <c r="P115" s="1493"/>
      <c r="Q115" s="1493"/>
      <c r="R115" s="1493"/>
      <c r="S115" s="1493"/>
      <c r="T115" s="1490"/>
    </row>
    <row r="116" spans="1:20" ht="12.75">
      <c r="A116" s="1491"/>
      <c r="B116" s="1491"/>
      <c r="C116" s="1520">
        <v>0.1</v>
      </c>
      <c r="D116" s="1491" t="s">
        <v>264</v>
      </c>
      <c r="E116" s="1491"/>
      <c r="F116" s="1491"/>
      <c r="G116" s="1491"/>
      <c r="H116" s="1491"/>
      <c r="I116" s="1492"/>
      <c r="J116" s="1492"/>
      <c r="K116" s="1492"/>
      <c r="L116" s="1493"/>
      <c r="M116" s="1493"/>
      <c r="N116" s="1493"/>
      <c r="O116" s="1493"/>
      <c r="P116" s="1493"/>
      <c r="Q116" s="1493"/>
      <c r="R116" s="1493"/>
      <c r="S116" s="1493"/>
      <c r="T116" s="1490"/>
    </row>
    <row r="117" spans="1:20" ht="12.75">
      <c r="A117" s="1491"/>
      <c r="B117" s="1491"/>
      <c r="C117" s="1520">
        <f>+SUM(C111:C116)</f>
        <v>-6261.9</v>
      </c>
      <c r="D117" s="1507" t="s">
        <v>257</v>
      </c>
      <c r="E117" s="1491"/>
      <c r="F117" s="1491"/>
      <c r="G117" s="1491"/>
      <c r="H117" s="1491"/>
      <c r="I117" s="1492"/>
      <c r="J117" s="1493"/>
      <c r="K117" s="1493"/>
      <c r="L117" s="1493"/>
      <c r="M117" s="1493"/>
      <c r="N117" s="1493"/>
      <c r="O117" s="1493"/>
      <c r="P117" s="1493"/>
      <c r="Q117" s="1493"/>
      <c r="R117" s="1493"/>
      <c r="S117" s="1493"/>
      <c r="T117" s="1490"/>
    </row>
    <row r="118" spans="1:20" ht="12.75">
      <c r="A118" s="1491"/>
      <c r="B118" s="1491"/>
      <c r="C118" s="1520"/>
      <c r="D118" s="1491"/>
      <c r="E118" s="1491"/>
      <c r="F118" s="1491"/>
      <c r="G118" s="1491"/>
      <c r="H118" s="1491"/>
      <c r="I118" s="1492"/>
      <c r="J118" s="1493"/>
      <c r="K118" s="1493"/>
      <c r="L118" s="1493"/>
      <c r="M118" s="1493"/>
      <c r="N118" s="1493"/>
      <c r="O118" s="1493"/>
      <c r="P118" s="1493"/>
      <c r="Q118" s="1493"/>
      <c r="R118" s="1493"/>
      <c r="S118" s="1493"/>
      <c r="T118" s="1490"/>
    </row>
    <row r="119" spans="1:20" ht="63.75">
      <c r="A119" s="1491"/>
      <c r="B119" s="1491"/>
      <c r="C119" s="1496"/>
      <c r="D119" s="1522" t="s">
        <v>600</v>
      </c>
      <c r="E119" s="1491"/>
      <c r="F119" s="1491"/>
      <c r="G119" s="1491"/>
      <c r="H119" s="1491"/>
      <c r="I119" s="1492"/>
      <c r="J119" s="1493"/>
      <c r="K119" s="1493"/>
      <c r="L119" s="1493"/>
      <c r="M119" s="1493"/>
      <c r="N119" s="1493"/>
      <c r="O119" s="1493"/>
      <c r="P119" s="1493"/>
      <c r="Q119" s="1493"/>
      <c r="R119" s="1493"/>
      <c r="S119" s="1493"/>
      <c r="T119" s="1490"/>
    </row>
    <row r="120" spans="1:20" ht="12.75">
      <c r="A120" s="1491"/>
      <c r="B120" s="1491"/>
      <c r="C120" s="1496"/>
      <c r="D120" s="1491"/>
      <c r="E120" s="1491"/>
      <c r="F120" s="1491"/>
      <c r="G120" s="1491"/>
      <c r="H120" s="1491"/>
      <c r="I120" s="1492"/>
      <c r="J120" s="1493"/>
      <c r="K120" s="1493"/>
      <c r="L120" s="1493"/>
      <c r="M120" s="1493"/>
      <c r="N120" s="1493"/>
      <c r="O120" s="1493"/>
      <c r="P120" s="1493"/>
      <c r="Q120" s="1493"/>
      <c r="R120" s="1493"/>
      <c r="S120" s="1493"/>
      <c r="T120" s="1490"/>
    </row>
    <row r="121" spans="1:20" ht="12.75">
      <c r="A121" s="1491"/>
      <c r="B121" s="1491"/>
      <c r="C121" s="1496">
        <v>38370</v>
      </c>
      <c r="D121" s="1507" t="s">
        <v>31</v>
      </c>
      <c r="E121" s="1491"/>
      <c r="F121" s="1491"/>
      <c r="G121" s="1491"/>
      <c r="H121" s="1491"/>
      <c r="I121" s="1492"/>
      <c r="J121" s="1493"/>
      <c r="K121" s="1493"/>
      <c r="L121" s="1493"/>
      <c r="M121" s="1514"/>
      <c r="N121" s="1493"/>
      <c r="O121" s="1514"/>
      <c r="P121" s="1493"/>
      <c r="Q121" s="1493"/>
      <c r="R121" s="1493"/>
      <c r="S121" s="1493"/>
      <c r="T121" s="1490"/>
    </row>
    <row r="122" spans="1:20" ht="12.75">
      <c r="A122" s="1491"/>
      <c r="B122" s="1491"/>
      <c r="C122" s="1496"/>
      <c r="D122" s="1491"/>
      <c r="E122" s="1491"/>
      <c r="F122" s="1491"/>
      <c r="G122" s="1491"/>
      <c r="H122" s="1491"/>
      <c r="I122" s="1492"/>
      <c r="J122" s="1493"/>
      <c r="K122" s="1493"/>
      <c r="L122" s="1493"/>
      <c r="M122" s="1493"/>
      <c r="N122" s="1493"/>
      <c r="O122" s="1493"/>
      <c r="P122" s="1493"/>
      <c r="Q122" s="1493"/>
      <c r="R122" s="1493"/>
      <c r="S122" s="1493"/>
      <c r="T122" s="1490"/>
    </row>
    <row r="123" spans="1:20" ht="64.5" thickBot="1">
      <c r="A123" s="1491"/>
      <c r="B123" s="1491" t="s">
        <v>601</v>
      </c>
      <c r="C123" s="1523" t="s">
        <v>602</v>
      </c>
      <c r="D123" s="1491"/>
      <c r="E123" s="1491"/>
      <c r="F123" s="1491"/>
      <c r="G123" s="1491"/>
      <c r="H123" s="1491"/>
      <c r="I123" s="1493"/>
      <c r="J123" s="1493"/>
      <c r="K123" s="1493"/>
      <c r="L123" s="1493"/>
      <c r="M123" s="1493"/>
      <c r="N123" s="1493"/>
      <c r="O123" s="1493"/>
      <c r="P123" s="1493"/>
      <c r="Q123" s="1493"/>
      <c r="R123" s="1493"/>
      <c r="S123" s="1493"/>
      <c r="T123" s="1490"/>
    </row>
    <row r="124" spans="1:20" ht="12.75">
      <c r="A124" s="1491"/>
      <c r="B124" s="1491"/>
      <c r="C124" s="1498"/>
      <c r="D124" s="1498"/>
      <c r="E124" s="1491"/>
      <c r="F124" s="1491"/>
      <c r="G124" s="1491"/>
      <c r="H124" s="1491"/>
      <c r="I124" s="1493"/>
      <c r="J124" s="1493"/>
      <c r="K124" s="1493"/>
      <c r="L124" s="1493"/>
      <c r="M124" s="1493"/>
      <c r="N124" s="1493"/>
      <c r="O124" s="1493"/>
      <c r="P124" s="1493"/>
      <c r="Q124" s="1493"/>
      <c r="R124" s="1493"/>
      <c r="S124" s="1493"/>
      <c r="T124" s="1490"/>
    </row>
    <row r="125" spans="1:20" ht="12.75">
      <c r="A125" s="1491"/>
      <c r="B125" s="1491"/>
      <c r="C125" s="1441">
        <v>34107.45</v>
      </c>
      <c r="D125" t="s">
        <v>5</v>
      </c>
      <c r="E125" s="1491"/>
      <c r="F125" s="1491"/>
      <c r="G125" s="1491"/>
      <c r="H125" s="1491"/>
      <c r="I125" s="1493"/>
      <c r="J125" s="1493"/>
      <c r="K125" s="1493"/>
      <c r="L125" s="1493"/>
      <c r="M125" s="1493"/>
      <c r="N125" s="1493"/>
      <c r="O125" s="1493"/>
      <c r="P125" s="1493"/>
      <c r="Q125" s="1493"/>
      <c r="R125" s="1493"/>
      <c r="S125" s="1493"/>
      <c r="T125" s="1490"/>
    </row>
    <row r="126" spans="1:20" ht="12.75">
      <c r="A126" s="1491"/>
      <c r="B126" s="1491"/>
      <c r="C126" s="1441">
        <v>12237.689999999999</v>
      </c>
      <c r="D126" t="s">
        <v>706</v>
      </c>
      <c r="E126" s="1491"/>
      <c r="F126" s="1491"/>
      <c r="G126" s="1491"/>
      <c r="H126" s="1491"/>
      <c r="I126" s="1493"/>
      <c r="J126" s="1493"/>
      <c r="K126" s="1492"/>
      <c r="L126" s="1493"/>
      <c r="M126" s="1493"/>
      <c r="N126" s="1493"/>
      <c r="O126" s="1493"/>
      <c r="P126" s="1493"/>
      <c r="Q126" s="1493"/>
      <c r="R126" s="1493"/>
      <c r="S126" s="1493"/>
      <c r="T126" s="1490"/>
    </row>
    <row r="127" spans="1:20" ht="12.75">
      <c r="A127" s="1491"/>
      <c r="B127" s="1491"/>
      <c r="C127" s="1441">
        <v>974.35</v>
      </c>
      <c r="D127" t="s">
        <v>18</v>
      </c>
      <c r="E127" s="1491"/>
      <c r="F127" s="1491"/>
      <c r="G127" s="1491"/>
      <c r="H127" s="1491"/>
      <c r="I127" s="1493"/>
      <c r="J127" s="1492"/>
      <c r="K127" s="1493"/>
      <c r="L127" s="1493"/>
      <c r="M127" s="1493"/>
      <c r="N127" s="1493"/>
      <c r="O127" s="1493"/>
      <c r="P127" s="1493"/>
      <c r="Q127" s="1493"/>
      <c r="R127" s="1493"/>
      <c r="S127" s="1493"/>
      <c r="T127" s="1490"/>
    </row>
    <row r="128" spans="1:20" ht="12.75">
      <c r="A128" s="1491"/>
      <c r="B128" s="1491"/>
      <c r="C128" s="1441">
        <v>5542.7</v>
      </c>
      <c r="D128" t="s">
        <v>745</v>
      </c>
      <c r="E128" s="1491"/>
      <c r="F128" s="1491"/>
      <c r="G128" s="1491"/>
      <c r="H128" s="1491"/>
      <c r="I128" s="1493"/>
      <c r="J128" s="1493"/>
      <c r="K128" s="1493"/>
      <c r="L128" s="1492"/>
      <c r="M128" s="1492"/>
      <c r="N128" s="1493"/>
      <c r="O128" s="1493"/>
      <c r="P128" s="1493"/>
      <c r="Q128" s="1493"/>
      <c r="R128" s="1493"/>
      <c r="S128" s="1493"/>
      <c r="T128" s="1490"/>
    </row>
    <row r="129" spans="1:20" ht="12.75">
      <c r="A129" s="1491"/>
      <c r="B129" s="1491"/>
      <c r="C129" s="1441">
        <v>-1664.2</v>
      </c>
      <c r="D129" t="s">
        <v>745</v>
      </c>
      <c r="E129" s="1491"/>
      <c r="F129" s="1491"/>
      <c r="G129" s="1491"/>
      <c r="H129" s="1491"/>
      <c r="I129" s="1493"/>
      <c r="J129" s="1493"/>
      <c r="K129" s="1493"/>
      <c r="L129" s="1493"/>
      <c r="M129" s="1493"/>
      <c r="N129" s="1493"/>
      <c r="O129" s="1493"/>
      <c r="P129" s="1493"/>
      <c r="Q129" s="1493"/>
      <c r="R129" s="1493"/>
      <c r="S129" s="1493"/>
      <c r="T129" s="1490"/>
    </row>
    <row r="130" spans="1:20" ht="12.75">
      <c r="A130" s="1491"/>
      <c r="B130" s="1517"/>
      <c r="C130" s="1441">
        <v>25877</v>
      </c>
      <c r="D130" t="s">
        <v>722</v>
      </c>
      <c r="E130" s="1491"/>
      <c r="F130" s="1491"/>
      <c r="G130" s="1491"/>
      <c r="H130" s="1491"/>
      <c r="I130" s="1493"/>
      <c r="J130" s="1493"/>
      <c r="K130" s="1493"/>
      <c r="L130" s="1493"/>
      <c r="M130" s="1493"/>
      <c r="N130" s="1493"/>
      <c r="O130" s="1493"/>
      <c r="P130" s="1493"/>
      <c r="Q130" s="1493"/>
      <c r="R130" s="1493"/>
      <c r="S130" s="1493"/>
      <c r="T130" s="1490"/>
    </row>
    <row r="131" spans="1:20" ht="12.75">
      <c r="A131" s="1491"/>
      <c r="B131" s="1517"/>
      <c r="C131" s="1441">
        <v>-60963.4</v>
      </c>
      <c r="D131" t="s">
        <v>741</v>
      </c>
      <c r="E131" s="1491"/>
      <c r="F131" s="1491"/>
      <c r="G131" s="1491"/>
      <c r="H131" s="1491"/>
      <c r="I131" s="1493"/>
      <c r="J131" s="1493"/>
      <c r="K131" s="1493"/>
      <c r="L131" s="1493"/>
      <c r="M131" s="1493"/>
      <c r="N131" s="1493"/>
      <c r="O131" s="1493"/>
      <c r="P131" s="1493"/>
      <c r="Q131" s="1493"/>
      <c r="R131" s="1493"/>
      <c r="S131" s="1493"/>
      <c r="T131" s="1490"/>
    </row>
    <row r="132" spans="1:20" ht="12.75">
      <c r="A132" s="1491"/>
      <c r="B132" s="1517"/>
      <c r="C132" s="1441">
        <v>-10971.26</v>
      </c>
      <c r="D132" t="s">
        <v>704</v>
      </c>
      <c r="E132" s="1491"/>
      <c r="F132" s="1491"/>
      <c r="G132" s="1491"/>
      <c r="H132" s="1491"/>
      <c r="I132" s="1493"/>
      <c r="J132" s="1493"/>
      <c r="K132" s="1493"/>
      <c r="L132" s="1493"/>
      <c r="M132" s="1493"/>
      <c r="N132" s="1493"/>
      <c r="O132" s="1493"/>
      <c r="P132" s="1493"/>
      <c r="Q132" s="1493"/>
      <c r="R132" s="1493"/>
      <c r="S132" s="1493"/>
      <c r="T132" s="1490"/>
    </row>
    <row r="133" spans="1:20" ht="12.75">
      <c r="A133" s="1491"/>
      <c r="B133" s="1517"/>
      <c r="C133" s="1441">
        <v>-14278.32</v>
      </c>
      <c r="D133" t="s">
        <v>748</v>
      </c>
      <c r="E133" s="1491"/>
      <c r="F133" s="1491"/>
      <c r="G133" s="1491"/>
      <c r="H133" s="1491"/>
      <c r="I133" s="1492">
        <f>-C133</f>
        <v>14278.32</v>
      </c>
      <c r="J133" s="1493"/>
      <c r="K133" s="1493"/>
      <c r="L133" s="1493"/>
      <c r="M133" s="1493"/>
      <c r="N133" s="1493"/>
      <c r="O133" s="1493"/>
      <c r="P133" s="1493"/>
      <c r="Q133" s="1493"/>
      <c r="R133" s="1493"/>
      <c r="S133" s="1493"/>
      <c r="T133" s="1490"/>
    </row>
    <row r="134" spans="1:20" ht="12.75">
      <c r="A134" s="1491"/>
      <c r="B134" s="1517"/>
      <c r="C134" s="1441">
        <v>-56095.63</v>
      </c>
      <c r="D134" t="s">
        <v>746</v>
      </c>
      <c r="E134" s="1491"/>
      <c r="F134" s="1491"/>
      <c r="G134" s="1491"/>
      <c r="H134" s="1491"/>
      <c r="I134" s="1493"/>
      <c r="J134" s="1493"/>
      <c r="K134" s="1492">
        <f>-C134</f>
        <v>56095.63</v>
      </c>
      <c r="L134" s="1493"/>
      <c r="M134" s="1493"/>
      <c r="N134" s="1493"/>
      <c r="O134" s="1493"/>
      <c r="P134" s="1493"/>
      <c r="Q134" s="1493"/>
      <c r="R134" s="1493"/>
      <c r="S134" s="1493"/>
      <c r="T134" s="1490"/>
    </row>
    <row r="135" spans="1:20" ht="12.75">
      <c r="A135" s="1491"/>
      <c r="B135" s="1517"/>
      <c r="C135" s="1441">
        <v>-3256.4</v>
      </c>
      <c r="D135" t="s">
        <v>730</v>
      </c>
      <c r="E135" s="1491"/>
      <c r="F135" s="1491"/>
      <c r="G135" s="1491"/>
      <c r="H135" s="1491"/>
      <c r="I135" s="1493"/>
      <c r="J135" s="1492">
        <f>-C135</f>
        <v>3256.4</v>
      </c>
      <c r="K135" s="1493"/>
      <c r="L135" s="1493"/>
      <c r="M135" s="1493"/>
      <c r="N135" s="1493"/>
      <c r="O135" s="1493"/>
      <c r="P135" s="1493"/>
      <c r="Q135" s="1493"/>
      <c r="R135" s="1493"/>
      <c r="S135" s="1493"/>
      <c r="T135" s="1490"/>
    </row>
    <row r="136" spans="1:20" ht="12.75">
      <c r="A136" s="1491"/>
      <c r="B136" s="1517"/>
      <c r="C136" s="1441">
        <v>-3.03</v>
      </c>
      <c r="D136" t="s">
        <v>264</v>
      </c>
      <c r="E136" s="1491"/>
      <c r="F136" s="1491"/>
      <c r="G136" s="1491"/>
      <c r="H136" s="1491"/>
      <c r="I136" s="1493"/>
      <c r="J136" s="1493"/>
      <c r="K136" s="1493"/>
      <c r="L136" s="1493"/>
      <c r="M136" s="1493"/>
      <c r="N136" s="1493"/>
      <c r="O136" s="1493"/>
      <c r="P136" s="1493"/>
      <c r="Q136" s="1493"/>
      <c r="R136" s="1493"/>
      <c r="S136" s="1493"/>
      <c r="T136" s="1490"/>
    </row>
    <row r="137" spans="1:20" ht="12.75">
      <c r="A137" s="1491"/>
      <c r="B137" s="1517"/>
      <c r="C137" s="1520">
        <f>+SUM(C125:C136)</f>
        <v>-68493.05</v>
      </c>
      <c r="D137" s="1491" t="s">
        <v>309</v>
      </c>
      <c r="E137" s="1491"/>
      <c r="F137" s="1491"/>
      <c r="G137" s="1491"/>
      <c r="H137" s="1491"/>
      <c r="I137" s="1493"/>
      <c r="J137" s="1493"/>
      <c r="K137" s="1493"/>
      <c r="L137" s="1493"/>
      <c r="M137" s="1493"/>
      <c r="N137" s="1493"/>
      <c r="O137" s="1493"/>
      <c r="P137" s="1493"/>
      <c r="Q137" s="1493"/>
      <c r="R137" s="1493"/>
      <c r="S137" s="1493"/>
      <c r="T137" s="1490"/>
    </row>
    <row r="138" spans="1:20" ht="12.75">
      <c r="A138" s="1491"/>
      <c r="B138" s="1517"/>
      <c r="C138" s="1520"/>
      <c r="D138" s="1491"/>
      <c r="E138" s="1491"/>
      <c r="F138" s="1491"/>
      <c r="G138" s="1491"/>
      <c r="H138" s="1491"/>
      <c r="I138" s="1493"/>
      <c r="J138" s="1493"/>
      <c r="K138" s="1493"/>
      <c r="L138" s="1493"/>
      <c r="M138" s="1493"/>
      <c r="N138" s="1493"/>
      <c r="O138" s="1493"/>
      <c r="P138" s="1493"/>
      <c r="Q138" s="1493"/>
      <c r="R138" s="1493"/>
      <c r="S138" s="1493"/>
      <c r="T138" s="1490"/>
    </row>
    <row r="139" spans="1:20" ht="12.75">
      <c r="A139" s="1491"/>
      <c r="B139" s="1491"/>
      <c r="C139" s="1506"/>
      <c r="D139" s="1491"/>
      <c r="E139" s="1491"/>
      <c r="F139" s="1491"/>
      <c r="G139" s="1491"/>
      <c r="H139" s="1491"/>
      <c r="I139" s="1493"/>
      <c r="J139" s="1493"/>
      <c r="K139" s="1493"/>
      <c r="L139" s="1493"/>
      <c r="M139" s="1493"/>
      <c r="N139" s="1493"/>
      <c r="O139" s="1493"/>
      <c r="P139" s="1493"/>
      <c r="Q139" s="1493"/>
      <c r="R139" s="1493"/>
      <c r="S139" s="1493"/>
      <c r="T139" s="1490"/>
    </row>
    <row r="140" spans="1:20" ht="12.75">
      <c r="A140" s="1491"/>
      <c r="B140" s="1491"/>
      <c r="C140" s="1491"/>
      <c r="D140" s="1491"/>
      <c r="E140" s="1491"/>
      <c r="F140" s="1491"/>
      <c r="G140" s="1491"/>
      <c r="H140" s="1496"/>
      <c r="I140" s="1492">
        <f>+SUM(I2:I139)</f>
        <v>14278.32</v>
      </c>
      <c r="J140" s="1492">
        <f>+SUM(J2:J139)</f>
        <v>18949.4</v>
      </c>
      <c r="K140" s="1492">
        <f>+SUM(K2:K139)</f>
        <v>104692.03</v>
      </c>
      <c r="L140" s="1492">
        <f>+SUM(L2:L139)</f>
        <v>5194.179999999999</v>
      </c>
      <c r="M140" s="1492">
        <f>+SUM(M2:M139)</f>
        <v>0</v>
      </c>
      <c r="N140" s="1492">
        <v>0</v>
      </c>
      <c r="O140" s="1492">
        <v>0</v>
      </c>
      <c r="P140" s="1492">
        <v>0</v>
      </c>
      <c r="Q140" s="1493"/>
      <c r="R140" s="1493"/>
      <c r="S140" s="1493"/>
      <c r="T140" s="1490"/>
    </row>
    <row r="141" spans="1:20" ht="12.75">
      <c r="A141" s="1491"/>
      <c r="B141" s="1491"/>
      <c r="C141" s="1491"/>
      <c r="D141" s="1491"/>
      <c r="E141" s="1491"/>
      <c r="F141" s="1491"/>
      <c r="G141" s="1491"/>
      <c r="H141" s="1496"/>
      <c r="I141" s="1493"/>
      <c r="J141" s="1493"/>
      <c r="K141" s="1493"/>
      <c r="L141" s="1493"/>
      <c r="M141" s="1493"/>
      <c r="N141" s="1493"/>
      <c r="O141" s="1493"/>
      <c r="P141" s="1493"/>
      <c r="Q141" s="1493"/>
      <c r="R141" s="1493"/>
      <c r="S141" s="1493"/>
      <c r="T141" s="1490"/>
    </row>
    <row r="142" spans="1:20" ht="12.75">
      <c r="A142" s="1491"/>
      <c r="B142" s="1491"/>
      <c r="C142" s="1491"/>
      <c r="D142" s="1491"/>
      <c r="E142" s="1491"/>
      <c r="F142" s="1491"/>
      <c r="G142" s="1491"/>
      <c r="H142" s="1496"/>
      <c r="I142" s="1492"/>
      <c r="J142" s="1492"/>
      <c r="K142" s="1492"/>
      <c r="L142" s="1493"/>
      <c r="M142" s="1493"/>
      <c r="N142" s="1493"/>
      <c r="O142" s="1493"/>
      <c r="P142" s="1493"/>
      <c r="Q142" s="1493"/>
      <c r="R142" s="1493"/>
      <c r="S142" s="1493"/>
      <c r="T142" s="1490"/>
    </row>
    <row r="143" spans="1:20" ht="12.75">
      <c r="A143" s="1491"/>
      <c r="B143" s="1491"/>
      <c r="C143" s="1491"/>
      <c r="D143" s="1491"/>
      <c r="E143" s="1491"/>
      <c r="F143" s="1491"/>
      <c r="G143" s="1491"/>
      <c r="H143" s="1496"/>
      <c r="I143" s="1492"/>
      <c r="J143" s="1493"/>
      <c r="K143" s="1493"/>
      <c r="L143" s="1493"/>
      <c r="M143" s="1493"/>
      <c r="N143" s="1493"/>
      <c r="O143" s="1493"/>
      <c r="P143" s="1493"/>
      <c r="Q143" s="1493"/>
      <c r="R143" s="1493"/>
      <c r="S143" s="1493"/>
      <c r="T143" s="1490"/>
    </row>
    <row r="144" spans="1:20" ht="12.75">
      <c r="A144" s="1491"/>
      <c r="B144" s="1491"/>
      <c r="C144" s="1491"/>
      <c r="D144" s="1491"/>
      <c r="E144" s="1491"/>
      <c r="F144" s="1491"/>
      <c r="G144" s="1491"/>
      <c r="H144" s="1496"/>
      <c r="I144" s="1493"/>
      <c r="J144" s="1493"/>
      <c r="K144" s="1493"/>
      <c r="L144" s="1493"/>
      <c r="M144" s="1493"/>
      <c r="N144" s="1493"/>
      <c r="O144" s="1493"/>
      <c r="P144" s="1493"/>
      <c r="Q144" s="1493"/>
      <c r="R144" s="1493"/>
      <c r="S144" s="1493"/>
      <c r="T144" s="1490"/>
    </row>
    <row r="145" spans="1:20" ht="12.75">
      <c r="A145" s="1491"/>
      <c r="B145" s="1491"/>
      <c r="C145" s="1491"/>
      <c r="D145" s="1491"/>
      <c r="E145" s="1491"/>
      <c r="F145" s="1491"/>
      <c r="G145" s="1491"/>
      <c r="H145" s="1496"/>
      <c r="I145" s="1493"/>
      <c r="J145" s="1493"/>
      <c r="K145" s="1493"/>
      <c r="L145" s="1493"/>
      <c r="M145" s="1493"/>
      <c r="N145" s="1493"/>
      <c r="O145" s="1493"/>
      <c r="P145" s="1493"/>
      <c r="Q145" s="1493"/>
      <c r="R145" s="1493"/>
      <c r="S145" s="1493"/>
      <c r="T145" s="1490"/>
    </row>
    <row r="146" spans="1:21" ht="22.5">
      <c r="A146" s="1491"/>
      <c r="B146" s="1491" t="s">
        <v>269</v>
      </c>
      <c r="C146" s="1491"/>
      <c r="D146" s="1491"/>
      <c r="E146" s="1491"/>
      <c r="F146" s="1491"/>
      <c r="G146" s="1491"/>
      <c r="H146" s="1496"/>
      <c r="I146" s="1362" t="s">
        <v>989</v>
      </c>
      <c r="J146" s="1362" t="s">
        <v>990</v>
      </c>
      <c r="K146" s="1362" t="s">
        <v>262</v>
      </c>
      <c r="L146" s="1370" t="s">
        <v>1000</v>
      </c>
      <c r="M146" s="1362" t="s">
        <v>2</v>
      </c>
      <c r="N146" s="1362" t="s">
        <v>342</v>
      </c>
      <c r="O146" s="1362" t="s">
        <v>344</v>
      </c>
      <c r="P146" s="1362" t="s">
        <v>360</v>
      </c>
      <c r="Q146" s="1362" t="s">
        <v>1001</v>
      </c>
      <c r="R146" s="1362" t="s">
        <v>19</v>
      </c>
      <c r="S146" s="1362" t="s">
        <v>32</v>
      </c>
      <c r="T146" s="1362" t="s">
        <v>713</v>
      </c>
      <c r="U146" s="1362" t="s">
        <v>710</v>
      </c>
    </row>
    <row r="147" spans="1:20" ht="13.5" thickBot="1">
      <c r="A147" s="1491"/>
      <c r="B147" s="1491"/>
      <c r="C147" s="1491"/>
      <c r="D147" s="1491"/>
      <c r="E147" s="1491"/>
      <c r="F147" s="1491"/>
      <c r="G147" s="1491"/>
      <c r="H147" s="1496"/>
      <c r="I147" s="1493"/>
      <c r="J147" s="1493"/>
      <c r="K147" s="1493"/>
      <c r="L147" s="1493"/>
      <c r="M147" s="1493"/>
      <c r="N147" s="1493"/>
      <c r="O147" s="1493"/>
      <c r="P147" s="1493"/>
      <c r="Q147" s="1493"/>
      <c r="R147" s="1493"/>
      <c r="S147" s="1493"/>
      <c r="T147" s="1490"/>
    </row>
    <row r="148" spans="1:20" ht="12.75">
      <c r="A148" s="1491"/>
      <c r="B148" s="1494">
        <v>1.1</v>
      </c>
      <c r="C148" s="1495" t="s">
        <v>584</v>
      </c>
      <c r="D148" s="1491" t="s">
        <v>314</v>
      </c>
      <c r="E148" s="1491"/>
      <c r="F148" s="1491"/>
      <c r="G148" s="1491"/>
      <c r="H148" s="1496"/>
      <c r="I148" s="1493"/>
      <c r="J148" s="1493"/>
      <c r="K148" s="1493"/>
      <c r="L148" s="1493"/>
      <c r="M148" s="1493"/>
      <c r="N148" s="1493"/>
      <c r="O148" s="1493"/>
      <c r="P148" s="1493"/>
      <c r="Q148" s="1493"/>
      <c r="R148" s="1493"/>
      <c r="S148" s="1493"/>
      <c r="T148" s="1490"/>
    </row>
    <row r="149" spans="1:20" ht="12.75">
      <c r="A149" s="1491"/>
      <c r="B149" s="1497"/>
      <c r="C149" s="1512"/>
      <c r="D149" s="1491"/>
      <c r="E149" s="1491"/>
      <c r="F149" s="1491"/>
      <c r="G149" s="1491"/>
      <c r="H149" s="1496"/>
      <c r="I149" s="1493"/>
      <c r="J149" s="1493"/>
      <c r="K149" s="1493"/>
      <c r="L149" s="1493"/>
      <c r="M149" s="1493"/>
      <c r="N149" s="1493"/>
      <c r="O149" s="1493"/>
      <c r="P149" s="1493"/>
      <c r="Q149" s="1493"/>
      <c r="R149" s="1493"/>
      <c r="S149" s="1493"/>
      <c r="T149" s="1490"/>
    </row>
    <row r="150" spans="1:20" ht="12.75">
      <c r="A150" s="1491"/>
      <c r="B150" s="1491"/>
      <c r="C150" s="1491"/>
      <c r="D150" s="1491"/>
      <c r="E150" s="1491"/>
      <c r="F150" s="1491"/>
      <c r="G150" s="1491"/>
      <c r="H150" s="1496"/>
      <c r="I150" s="1493"/>
      <c r="J150" s="1503"/>
      <c r="K150" s="1493"/>
      <c r="L150" s="1493"/>
      <c r="M150" s="1493"/>
      <c r="N150" s="1493"/>
      <c r="O150" s="1493"/>
      <c r="P150" s="1493"/>
      <c r="Q150" s="1493"/>
      <c r="R150" s="1493"/>
      <c r="S150" s="1493"/>
      <c r="T150" s="1490"/>
    </row>
    <row r="151" spans="1:20" ht="12.75">
      <c r="A151" s="1491"/>
      <c r="B151" s="1491"/>
      <c r="C151" s="1524"/>
      <c r="D151" s="1491"/>
      <c r="E151" s="1498"/>
      <c r="F151" s="1498"/>
      <c r="G151" s="1498"/>
      <c r="H151" s="1496"/>
      <c r="I151" s="1493"/>
      <c r="J151" s="1493"/>
      <c r="K151" s="1493"/>
      <c r="L151" s="1493"/>
      <c r="M151" s="1493"/>
      <c r="N151" s="1493"/>
      <c r="O151" s="1493"/>
      <c r="P151" s="1493"/>
      <c r="Q151" s="1493"/>
      <c r="R151" s="1493"/>
      <c r="S151" s="1493"/>
      <c r="T151" s="1490"/>
    </row>
    <row r="152" spans="1:20" ht="12.75">
      <c r="A152" s="1491"/>
      <c r="B152" s="1491"/>
      <c r="C152" s="1524">
        <v>-291</v>
      </c>
      <c r="D152" s="1491" t="s">
        <v>274</v>
      </c>
      <c r="E152" s="1498"/>
      <c r="F152" s="1498"/>
      <c r="G152" s="1498"/>
      <c r="H152" s="1496"/>
      <c r="I152" s="1493"/>
      <c r="J152" s="1493"/>
      <c r="K152" s="1493"/>
      <c r="L152" s="1493"/>
      <c r="M152" s="1493"/>
      <c r="N152" s="1493"/>
      <c r="O152" s="1493"/>
      <c r="P152" s="1511">
        <v>291</v>
      </c>
      <c r="Q152" s="1493"/>
      <c r="R152" s="1493"/>
      <c r="S152" s="1493"/>
      <c r="T152" s="1490"/>
    </row>
    <row r="153" spans="1:20" ht="12.75">
      <c r="A153" s="1491"/>
      <c r="B153" s="1491"/>
      <c r="C153" s="1524">
        <v>-107.04</v>
      </c>
      <c r="D153" s="1507" t="s">
        <v>307</v>
      </c>
      <c r="E153" s="1498"/>
      <c r="F153" s="1498"/>
      <c r="G153" s="1498"/>
      <c r="H153" s="1498"/>
      <c r="I153" s="1493"/>
      <c r="J153" s="1493"/>
      <c r="K153" s="1493"/>
      <c r="L153" s="1493"/>
      <c r="M153" s="1493"/>
      <c r="N153" s="1493"/>
      <c r="O153" s="1493"/>
      <c r="P153" s="1493"/>
      <c r="Q153" s="1493"/>
      <c r="R153" s="1493"/>
      <c r="S153" s="1493"/>
      <c r="T153" s="1490"/>
    </row>
    <row r="154" spans="1:20" ht="12.75">
      <c r="A154" s="1491"/>
      <c r="B154" s="1491"/>
      <c r="C154" s="1506">
        <v>586.44</v>
      </c>
      <c r="D154" s="1491" t="s">
        <v>3</v>
      </c>
      <c r="E154" s="1491"/>
      <c r="F154" s="1491"/>
      <c r="G154" s="1491"/>
      <c r="H154" s="1498"/>
      <c r="I154" s="1493"/>
      <c r="J154" s="1493"/>
      <c r="K154" s="1493"/>
      <c r="L154" s="1493"/>
      <c r="M154" s="1493"/>
      <c r="N154" s="1493"/>
      <c r="O154" s="1493"/>
      <c r="P154" s="1493"/>
      <c r="Q154" s="1493"/>
      <c r="R154" s="1493"/>
      <c r="S154" s="1493"/>
      <c r="T154" s="1490"/>
    </row>
    <row r="155" spans="1:20" ht="12.75">
      <c r="A155" s="1491"/>
      <c r="B155" s="1491"/>
      <c r="C155" s="1506">
        <v>-1444.7</v>
      </c>
      <c r="D155" s="1491" t="s">
        <v>1031</v>
      </c>
      <c r="E155" s="1498"/>
      <c r="F155" s="1498"/>
      <c r="G155" s="1498"/>
      <c r="H155" s="1498"/>
      <c r="I155" s="1493"/>
      <c r="J155" s="1493"/>
      <c r="K155" s="1505"/>
      <c r="L155" s="1493"/>
      <c r="M155" s="1493"/>
      <c r="N155" s="1493"/>
      <c r="O155" s="1493"/>
      <c r="P155" s="1493"/>
      <c r="Q155" s="1493"/>
      <c r="R155" s="1493"/>
      <c r="S155" s="1493"/>
      <c r="T155" s="1490"/>
    </row>
    <row r="156" spans="1:20" ht="12.75">
      <c r="A156" s="1491"/>
      <c r="B156" s="1491"/>
      <c r="C156" s="1506">
        <v>-23.91</v>
      </c>
      <c r="D156" s="1491" t="s">
        <v>315</v>
      </c>
      <c r="E156" s="1491"/>
      <c r="F156" s="1498"/>
      <c r="G156" s="1498"/>
      <c r="H156" s="1498"/>
      <c r="I156" s="1493"/>
      <c r="J156" s="1493"/>
      <c r="K156" s="1493"/>
      <c r="L156" s="1493"/>
      <c r="M156" s="1493"/>
      <c r="N156" s="1493"/>
      <c r="O156" s="1493"/>
      <c r="P156" s="1493"/>
      <c r="Q156" s="1493"/>
      <c r="R156" s="1493"/>
      <c r="S156" s="1493"/>
      <c r="T156" s="1490"/>
    </row>
    <row r="157" spans="1:20" ht="12.75">
      <c r="A157" s="1491"/>
      <c r="B157" s="1491"/>
      <c r="C157" s="1506">
        <v>-347.7</v>
      </c>
      <c r="D157" s="1491" t="s">
        <v>6</v>
      </c>
      <c r="E157" s="1491"/>
      <c r="F157" s="1498"/>
      <c r="G157" s="1498"/>
      <c r="H157" s="1498"/>
      <c r="I157" s="1493"/>
      <c r="J157" s="1493"/>
      <c r="K157" s="1493"/>
      <c r="L157" s="1493"/>
      <c r="M157" s="1493"/>
      <c r="N157" s="1493"/>
      <c r="O157" s="1493"/>
      <c r="P157" s="1493"/>
      <c r="Q157" s="1493"/>
      <c r="R157" s="1493"/>
      <c r="S157" s="1493"/>
      <c r="T157" s="1490"/>
    </row>
    <row r="158" spans="1:20" ht="12.75">
      <c r="A158" s="1491"/>
      <c r="B158" s="1491"/>
      <c r="C158" s="1506">
        <v>1552.5</v>
      </c>
      <c r="D158" s="1491" t="s">
        <v>7</v>
      </c>
      <c r="E158" s="1491"/>
      <c r="F158" s="1498"/>
      <c r="G158" s="1498"/>
      <c r="H158" s="1498"/>
      <c r="I158" s="1493"/>
      <c r="J158" s="1493"/>
      <c r="K158" s="1493"/>
      <c r="L158" s="1493"/>
      <c r="M158" s="1493"/>
      <c r="N158" s="1493"/>
      <c r="O158" s="1493"/>
      <c r="P158" s="1493"/>
      <c r="Q158" s="1493"/>
      <c r="R158" s="1493"/>
      <c r="S158" s="1493"/>
      <c r="T158" s="1490"/>
    </row>
    <row r="159" spans="1:20" ht="12.75">
      <c r="A159" s="1491"/>
      <c r="B159" s="1491"/>
      <c r="C159" s="1506">
        <v>-79.83</v>
      </c>
      <c r="D159" s="1491" t="s">
        <v>4</v>
      </c>
      <c r="E159" s="1491"/>
      <c r="F159" s="1491"/>
      <c r="G159" s="1491"/>
      <c r="H159" s="1498"/>
      <c r="I159" s="1493"/>
      <c r="J159" s="1492"/>
      <c r="K159" s="1493"/>
      <c r="L159" s="1493"/>
      <c r="M159" s="1493"/>
      <c r="N159" s="1493"/>
      <c r="O159" s="1493"/>
      <c r="P159" s="1493"/>
      <c r="Q159" s="1493"/>
      <c r="R159" s="1493"/>
      <c r="S159" s="1493"/>
      <c r="T159" s="1490"/>
    </row>
    <row r="160" spans="1:20" ht="12.75">
      <c r="A160" s="1491"/>
      <c r="B160" s="1491"/>
      <c r="C160" s="1525">
        <v>-1.68</v>
      </c>
      <c r="D160" s="1491" t="s">
        <v>308</v>
      </c>
      <c r="E160" s="1496"/>
      <c r="F160" s="1498"/>
      <c r="G160" s="1498"/>
      <c r="H160" s="1498"/>
      <c r="I160" s="1493"/>
      <c r="J160" s="1493"/>
      <c r="K160" s="1493"/>
      <c r="L160" s="1493"/>
      <c r="M160" s="1493"/>
      <c r="N160" s="1493"/>
      <c r="O160" s="1493"/>
      <c r="P160" s="1493"/>
      <c r="Q160" s="1493"/>
      <c r="R160" s="1493"/>
      <c r="S160" s="1493"/>
      <c r="T160" s="1490"/>
    </row>
    <row r="161" spans="1:20" ht="12.75">
      <c r="A161" s="1491"/>
      <c r="B161" s="1491"/>
      <c r="C161" s="1327">
        <v>-953.75</v>
      </c>
      <c r="D161" s="1327" t="s">
        <v>704</v>
      </c>
      <c r="E161" s="1491"/>
      <c r="F161" s="1498"/>
      <c r="G161" s="1498"/>
      <c r="H161" s="1498"/>
      <c r="I161" s="1493"/>
      <c r="J161" s="1493"/>
      <c r="K161" s="1493"/>
      <c r="L161" s="1493"/>
      <c r="M161" s="1493"/>
      <c r="N161" s="1493"/>
      <c r="O161" s="1493"/>
      <c r="P161" s="1493"/>
      <c r="Q161" s="1493"/>
      <c r="R161" s="1493"/>
      <c r="S161" s="1493"/>
      <c r="T161" s="1526">
        <f>-C161</f>
        <v>953.75</v>
      </c>
    </row>
    <row r="162" spans="1:20" ht="12.75">
      <c r="A162" s="1491"/>
      <c r="B162" s="1491"/>
      <c r="C162" s="1327">
        <v>-4000</v>
      </c>
      <c r="D162" t="s">
        <v>716</v>
      </c>
      <c r="E162" s="1491"/>
      <c r="F162" s="1498"/>
      <c r="G162" s="1498"/>
      <c r="H162" s="1498"/>
      <c r="I162" s="1493"/>
      <c r="J162" s="1493"/>
      <c r="K162" s="1511">
        <f>-C162</f>
        <v>4000</v>
      </c>
      <c r="L162" s="1493"/>
      <c r="M162" s="1493"/>
      <c r="N162" s="1493"/>
      <c r="O162" s="1493"/>
      <c r="P162" s="1493"/>
      <c r="Q162" s="1493"/>
      <c r="R162" s="1493"/>
      <c r="S162" s="1493"/>
      <c r="T162" s="1490"/>
    </row>
    <row r="163" spans="1:20" ht="12.75">
      <c r="A163" s="1491"/>
      <c r="B163" s="1491"/>
      <c r="C163" s="1327">
        <v>-3035</v>
      </c>
      <c r="D163" t="s">
        <v>740</v>
      </c>
      <c r="E163" s="1491"/>
      <c r="F163" s="1498"/>
      <c r="G163" s="1498"/>
      <c r="H163" s="1498"/>
      <c r="I163" s="1493"/>
      <c r="J163" s="1511">
        <f>-C163</f>
        <v>3035</v>
      </c>
      <c r="K163" s="1493"/>
      <c r="L163" s="1493"/>
      <c r="M163" s="1493"/>
      <c r="N163" s="1493"/>
      <c r="O163" s="1493"/>
      <c r="P163" s="1493"/>
      <c r="Q163" s="1493"/>
      <c r="R163" s="1493"/>
      <c r="S163" s="1493"/>
      <c r="T163" s="1490"/>
    </row>
    <row r="164" spans="1:20" ht="12.75">
      <c r="A164" s="1491"/>
      <c r="B164" s="1491"/>
      <c r="C164" s="1515">
        <f>+SUM(C152:C163)</f>
        <v>-8145.67</v>
      </c>
      <c r="D164" s="1507" t="s">
        <v>257</v>
      </c>
      <c r="E164" s="1498"/>
      <c r="F164" s="1498"/>
      <c r="G164" s="1498"/>
      <c r="H164" s="1527"/>
      <c r="I164" s="1493"/>
      <c r="J164" s="1493"/>
      <c r="K164" s="1493"/>
      <c r="L164" s="1493"/>
      <c r="M164" s="1493"/>
      <c r="N164" s="1493"/>
      <c r="O164" s="1493"/>
      <c r="P164" s="1493"/>
      <c r="Q164" s="1493"/>
      <c r="R164" s="1493"/>
      <c r="S164" s="1493"/>
      <c r="T164" s="1490"/>
    </row>
    <row r="165" spans="1:20" ht="12.75">
      <c r="A165" s="1491"/>
      <c r="B165" s="1491"/>
      <c r="C165" s="1515"/>
      <c r="D165" s="1507"/>
      <c r="E165" s="1498"/>
      <c r="F165" s="1498"/>
      <c r="G165" s="1498"/>
      <c r="H165" s="1527"/>
      <c r="I165" s="1493"/>
      <c r="J165" s="1493"/>
      <c r="K165" s="1493"/>
      <c r="L165" s="1493"/>
      <c r="M165" s="1493"/>
      <c r="N165" s="1493"/>
      <c r="O165" s="1493"/>
      <c r="P165" s="1493"/>
      <c r="Q165" s="1493"/>
      <c r="R165" s="1493"/>
      <c r="S165" s="1493"/>
      <c r="T165" s="1490"/>
    </row>
    <row r="166" spans="1:20" ht="12.75">
      <c r="A166" s="1491"/>
      <c r="B166" s="1491"/>
      <c r="C166" s="1515"/>
      <c r="D166" s="1507"/>
      <c r="E166" s="1498"/>
      <c r="F166" s="1524"/>
      <c r="G166" s="1498"/>
      <c r="H166" s="1527"/>
      <c r="I166" s="1493"/>
      <c r="J166" s="1493"/>
      <c r="K166" s="1493"/>
      <c r="L166" s="1493"/>
      <c r="M166" s="1493"/>
      <c r="N166" s="1493"/>
      <c r="O166" s="1493"/>
      <c r="P166" s="1493"/>
      <c r="Q166" s="1493"/>
      <c r="R166" s="1493"/>
      <c r="S166" s="1493"/>
      <c r="T166" s="1490"/>
    </row>
    <row r="167" spans="1:20" ht="13.5" thickBot="1">
      <c r="A167" s="1491"/>
      <c r="B167" s="1491"/>
      <c r="C167" s="1498"/>
      <c r="D167" s="1498"/>
      <c r="E167" s="1498"/>
      <c r="F167" s="1498"/>
      <c r="G167" s="1498"/>
      <c r="H167" s="1498"/>
      <c r="I167" s="1493"/>
      <c r="J167" s="1493"/>
      <c r="K167" s="1493"/>
      <c r="L167" s="1493"/>
      <c r="M167" s="1493"/>
      <c r="N167" s="1493"/>
      <c r="O167" s="1493"/>
      <c r="P167" s="1493"/>
      <c r="Q167" s="1493"/>
      <c r="R167" s="1493"/>
      <c r="S167" s="1493"/>
      <c r="T167" s="1490"/>
    </row>
    <row r="168" spans="1:20" ht="63.75">
      <c r="A168" s="1491"/>
      <c r="B168" s="1500">
        <v>1.3</v>
      </c>
      <c r="C168" s="1501" t="s">
        <v>587</v>
      </c>
      <c r="D168" s="1364" t="s">
        <v>588</v>
      </c>
      <c r="E168" s="1498"/>
      <c r="F168" s="1498"/>
      <c r="G168" s="1498"/>
      <c r="H168" s="1498"/>
      <c r="I168" s="1493"/>
      <c r="J168" s="1493"/>
      <c r="K168" s="1493"/>
      <c r="L168" s="1493"/>
      <c r="M168" s="1493"/>
      <c r="N168" s="1493"/>
      <c r="O168" s="1493"/>
      <c r="P168" s="1493"/>
      <c r="Q168" s="1493"/>
      <c r="R168" s="1493"/>
      <c r="S168" s="1493"/>
      <c r="T168" s="1490"/>
    </row>
    <row r="169" spans="1:20" ht="12.75">
      <c r="A169" s="1491"/>
      <c r="B169" s="1491"/>
      <c r="C169" s="1498"/>
      <c r="D169" s="1498"/>
      <c r="E169" s="1498"/>
      <c r="F169" s="1498"/>
      <c r="G169" s="1498"/>
      <c r="H169" s="1498"/>
      <c r="I169" s="1493"/>
      <c r="J169" s="1493"/>
      <c r="K169" s="1493"/>
      <c r="L169" s="1493"/>
      <c r="M169" s="1493"/>
      <c r="N169" s="1493"/>
      <c r="O169" s="1493"/>
      <c r="P169" s="1493"/>
      <c r="Q169" s="1493"/>
      <c r="R169" s="1493"/>
      <c r="S169" s="1493"/>
      <c r="T169" s="1490"/>
    </row>
    <row r="170" spans="1:20" ht="12.75">
      <c r="A170" s="1491"/>
      <c r="B170" s="1491"/>
      <c r="C170" s="1496">
        <v>-61.4499999999998</v>
      </c>
      <c r="D170" s="1491" t="s">
        <v>322</v>
      </c>
      <c r="E170" s="1491"/>
      <c r="F170" s="1498"/>
      <c r="G170" s="1498"/>
      <c r="H170" s="1498"/>
      <c r="I170" s="1493"/>
      <c r="J170" s="1493"/>
      <c r="K170" s="1493"/>
      <c r="L170" s="1493"/>
      <c r="M170" s="1493"/>
      <c r="N170" s="1493"/>
      <c r="O170" s="1493"/>
      <c r="P170" s="1493"/>
      <c r="Q170" s="1503">
        <v>61.4499999999998</v>
      </c>
      <c r="R170" s="1493"/>
      <c r="S170" s="1493"/>
      <c r="T170" s="1490"/>
    </row>
    <row r="171" spans="1:20" ht="12.75">
      <c r="A171" s="1528"/>
      <c r="B171" s="1491"/>
      <c r="C171" s="1496">
        <v>-8.64</v>
      </c>
      <c r="D171" s="1491" t="s">
        <v>1032</v>
      </c>
      <c r="E171" s="1491"/>
      <c r="F171" s="1498"/>
      <c r="G171" s="1498"/>
      <c r="H171" s="1498"/>
      <c r="I171" s="1493"/>
      <c r="J171" s="1503"/>
      <c r="K171" s="1493"/>
      <c r="L171" s="1493"/>
      <c r="M171" s="1493"/>
      <c r="N171" s="1493"/>
      <c r="O171" s="1493"/>
      <c r="P171" s="1493"/>
      <c r="Q171" s="1493"/>
      <c r="R171" s="1493"/>
      <c r="S171" s="1493"/>
      <c r="T171" s="1490"/>
    </row>
    <row r="172" spans="1:20" ht="12.75">
      <c r="A172" s="1528"/>
      <c r="B172" s="1491"/>
      <c r="C172" s="1520">
        <v>-185.04</v>
      </c>
      <c r="D172" s="2059" t="s">
        <v>9</v>
      </c>
      <c r="E172" s="2059"/>
      <c r="F172" s="2059"/>
      <c r="G172" s="2059"/>
      <c r="H172" s="1498"/>
      <c r="I172" s="1493"/>
      <c r="J172" s="1493"/>
      <c r="K172" s="1493"/>
      <c r="L172" s="1493"/>
      <c r="M172" s="1503"/>
      <c r="N172" s="1493"/>
      <c r="O172" s="1493"/>
      <c r="P172" s="1493"/>
      <c r="Q172" s="1493"/>
      <c r="R172" s="1493"/>
      <c r="S172" s="1493"/>
      <c r="T172" s="1490"/>
    </row>
    <row r="173" spans="1:20" ht="12.75">
      <c r="A173" s="1528"/>
      <c r="B173" s="1491"/>
      <c r="C173" s="1491">
        <v>-1350</v>
      </c>
      <c r="D173" s="1491" t="s">
        <v>10</v>
      </c>
      <c r="E173" s="1491"/>
      <c r="F173" s="1498"/>
      <c r="G173" s="1498"/>
      <c r="H173" s="1498"/>
      <c r="I173" s="1493"/>
      <c r="J173" s="1493"/>
      <c r="K173" s="1493"/>
      <c r="L173" s="1493"/>
      <c r="M173" s="1503"/>
      <c r="N173" s="1493"/>
      <c r="O173" s="1493"/>
      <c r="P173" s="1493"/>
      <c r="Q173" s="1493"/>
      <c r="R173" s="1493"/>
      <c r="S173" s="1493"/>
      <c r="T173" s="1490"/>
    </row>
    <row r="174" spans="1:20" ht="12.75">
      <c r="A174" s="1528"/>
      <c r="B174" s="1491"/>
      <c r="C174" s="1506">
        <v>-4.5</v>
      </c>
      <c r="D174" s="1491" t="s">
        <v>11</v>
      </c>
      <c r="E174" s="1491"/>
      <c r="F174" s="1498"/>
      <c r="G174" s="1498"/>
      <c r="H174" s="1498"/>
      <c r="I174" s="1493"/>
      <c r="J174" s="1492"/>
      <c r="K174" s="1492"/>
      <c r="L174" s="1493"/>
      <c r="M174" s="1503"/>
      <c r="N174" s="1493"/>
      <c r="O174" s="1493"/>
      <c r="P174" s="1493"/>
      <c r="Q174" s="1493"/>
      <c r="R174" s="1493"/>
      <c r="S174" s="1493"/>
      <c r="T174" s="1490"/>
    </row>
    <row r="175" spans="1:20" ht="12.75">
      <c r="A175" s="1528"/>
      <c r="B175" s="1491"/>
      <c r="C175" s="1525">
        <v>0.4</v>
      </c>
      <c r="D175" s="1491" t="s">
        <v>264</v>
      </c>
      <c r="E175" s="1491"/>
      <c r="F175" s="1498"/>
      <c r="G175" s="1498"/>
      <c r="H175" s="1498"/>
      <c r="I175" s="1493"/>
      <c r="J175" s="1493"/>
      <c r="K175" s="1493"/>
      <c r="L175" s="1493"/>
      <c r="M175" s="1503"/>
      <c r="N175" s="1493"/>
      <c r="O175" s="1493"/>
      <c r="P175" s="1493"/>
      <c r="Q175" s="1493"/>
      <c r="R175" s="1493"/>
      <c r="S175" s="1493"/>
      <c r="T175" s="1490"/>
    </row>
    <row r="176" spans="1:20" ht="12.75">
      <c r="A176" s="1528"/>
      <c r="B176" s="1491"/>
      <c r="C176" s="1441">
        <v>-10001.04</v>
      </c>
      <c r="D176" t="s">
        <v>732</v>
      </c>
      <c r="F176" s="1498"/>
      <c r="G176" s="1498"/>
      <c r="H176" s="1498"/>
      <c r="I176" s="1493"/>
      <c r="J176" s="1493"/>
      <c r="K176" s="1493"/>
      <c r="L176" s="1493"/>
      <c r="M176" s="1503"/>
      <c r="N176" s="1493"/>
      <c r="O176" s="1493"/>
      <c r="P176" s="1493"/>
      <c r="Q176" s="1493"/>
      <c r="R176" s="1493"/>
      <c r="S176" s="1493"/>
      <c r="T176" s="1490"/>
    </row>
    <row r="177" spans="1:20" ht="12.75">
      <c r="A177" s="1528"/>
      <c r="B177" s="1491"/>
      <c r="C177" s="1441">
        <v>-10.54</v>
      </c>
      <c r="D177" t="s">
        <v>713</v>
      </c>
      <c r="E177" s="1491"/>
      <c r="F177" s="1498"/>
      <c r="G177" s="1498"/>
      <c r="H177" s="1498"/>
      <c r="I177" s="1493"/>
      <c r="J177" s="1493"/>
      <c r="K177" s="1493"/>
      <c r="L177" s="1493"/>
      <c r="M177" s="1503"/>
      <c r="N177" s="1493"/>
      <c r="O177" s="1493"/>
      <c r="P177" s="1493"/>
      <c r="Q177" s="1493"/>
      <c r="R177" s="1493"/>
      <c r="S177" s="1493"/>
      <c r="T177" s="1529">
        <f>-C177</f>
        <v>10.54</v>
      </c>
    </row>
    <row r="178" spans="1:21" ht="12.75">
      <c r="A178" s="1528"/>
      <c r="B178" s="1491"/>
      <c r="C178" s="1504">
        <v>-0.11</v>
      </c>
      <c r="D178" s="1504" t="s">
        <v>710</v>
      </c>
      <c r="E178" s="1491"/>
      <c r="F178" s="1498"/>
      <c r="G178" s="1498"/>
      <c r="H178" s="1498"/>
      <c r="I178" s="1493"/>
      <c r="J178" s="1493"/>
      <c r="K178" s="1493"/>
      <c r="L178" s="1493"/>
      <c r="M178" s="1503"/>
      <c r="N178" s="1493"/>
      <c r="O178" s="1493"/>
      <c r="P178" s="1493"/>
      <c r="Q178" s="1493"/>
      <c r="R178" s="1493"/>
      <c r="S178" s="1493"/>
      <c r="T178" s="1490"/>
      <c r="U178">
        <f>-C178</f>
        <v>0.11</v>
      </c>
    </row>
    <row r="179" spans="1:20" ht="12.75">
      <c r="A179" s="1528"/>
      <c r="B179" s="1491"/>
      <c r="C179" s="1441">
        <v>-7920</v>
      </c>
      <c r="D179" t="s">
        <v>716</v>
      </c>
      <c r="E179" s="1491"/>
      <c r="F179" s="1498"/>
      <c r="G179" s="1498"/>
      <c r="H179" s="1498"/>
      <c r="I179" s="1493"/>
      <c r="J179" s="1493"/>
      <c r="K179" s="1492">
        <f>-C179</f>
        <v>7920</v>
      </c>
      <c r="L179" s="1493"/>
      <c r="M179" s="1503"/>
      <c r="N179" s="1493"/>
      <c r="O179" s="1493"/>
      <c r="P179" s="1493"/>
      <c r="Q179" s="1493"/>
      <c r="R179" s="1493"/>
      <c r="S179" s="1493"/>
      <c r="T179" s="1490"/>
    </row>
    <row r="180" spans="1:20" ht="12.75">
      <c r="A180" s="1528"/>
      <c r="B180" s="1491"/>
      <c r="C180" s="1441">
        <v>-1156</v>
      </c>
      <c r="D180" t="s">
        <v>730</v>
      </c>
      <c r="E180" s="1491"/>
      <c r="F180" s="1498"/>
      <c r="G180" s="1498"/>
      <c r="H180" s="1498"/>
      <c r="I180" s="1493"/>
      <c r="J180" s="1492">
        <f>-C180</f>
        <v>1156</v>
      </c>
      <c r="K180" s="1493"/>
      <c r="L180" s="1493"/>
      <c r="M180" s="1503"/>
      <c r="N180" s="1493"/>
      <c r="O180" s="1493"/>
      <c r="P180" s="1493"/>
      <c r="Q180" s="1493"/>
      <c r="R180" s="1493"/>
      <c r="S180" s="1493"/>
      <c r="T180" s="1490"/>
    </row>
    <row r="181" spans="1:20" ht="12.75">
      <c r="A181" s="1528"/>
      <c r="B181" s="1491"/>
      <c r="C181" s="1496">
        <f>+SUM(C170:C180)</f>
        <v>-20696.920000000002</v>
      </c>
      <c r="D181" s="1507" t="s">
        <v>260</v>
      </c>
      <c r="E181" s="1491"/>
      <c r="F181" s="1498"/>
      <c r="G181" s="1498"/>
      <c r="H181" s="1498"/>
      <c r="I181" s="1493"/>
      <c r="J181" s="1493"/>
      <c r="K181" s="1493"/>
      <c r="L181" s="1493"/>
      <c r="M181" s="1493"/>
      <c r="N181" s="1493"/>
      <c r="O181" s="1493"/>
      <c r="P181" s="1493"/>
      <c r="Q181" s="1493"/>
      <c r="R181" s="1493"/>
      <c r="S181" s="1493"/>
      <c r="T181" s="1490"/>
    </row>
    <row r="182" spans="1:20" ht="12.75">
      <c r="A182" s="1491"/>
      <c r="B182" s="1491"/>
      <c r="C182" s="1498"/>
      <c r="D182" s="1498"/>
      <c r="E182" s="1498"/>
      <c r="F182" s="1498"/>
      <c r="G182" s="1498"/>
      <c r="H182" s="1498"/>
      <c r="I182" s="1493"/>
      <c r="J182" s="1493"/>
      <c r="K182" s="1493"/>
      <c r="L182" s="1493"/>
      <c r="M182" s="1493"/>
      <c r="N182" s="1493"/>
      <c r="O182" s="1493"/>
      <c r="P182" s="1493"/>
      <c r="Q182" s="1493"/>
      <c r="R182" s="1493"/>
      <c r="S182" s="1493"/>
      <c r="T182" s="1490"/>
    </row>
    <row r="183" spans="1:20" ht="12.75">
      <c r="A183" s="1491"/>
      <c r="B183" s="1491"/>
      <c r="C183" s="1498"/>
      <c r="D183" s="1498"/>
      <c r="E183" s="1498"/>
      <c r="F183" s="1498"/>
      <c r="G183" s="1498"/>
      <c r="H183" s="1498"/>
      <c r="I183" s="1493"/>
      <c r="J183" s="1493"/>
      <c r="K183" s="1493"/>
      <c r="L183" s="1493"/>
      <c r="M183" s="1493"/>
      <c r="N183" s="1493"/>
      <c r="O183" s="1493"/>
      <c r="P183" s="1493"/>
      <c r="Q183" s="1493"/>
      <c r="R183" s="1493"/>
      <c r="S183" s="1493"/>
      <c r="T183" s="1490"/>
    </row>
    <row r="184" spans="1:20" ht="38.25">
      <c r="A184" s="1491"/>
      <c r="B184" s="1500">
        <v>1.3</v>
      </c>
      <c r="C184" s="1501" t="s">
        <v>587</v>
      </c>
      <c r="D184" s="1521" t="s">
        <v>589</v>
      </c>
      <c r="E184" s="1491"/>
      <c r="F184" s="1491"/>
      <c r="G184" s="1491"/>
      <c r="H184" s="1491"/>
      <c r="I184" s="1493"/>
      <c r="J184" s="1493"/>
      <c r="K184" s="1493"/>
      <c r="L184" s="1493"/>
      <c r="M184" s="1493"/>
      <c r="N184" s="1493"/>
      <c r="O184" s="1493"/>
      <c r="P184" s="1493"/>
      <c r="Q184" s="1493"/>
      <c r="R184" s="1493"/>
      <c r="S184" s="1493"/>
      <c r="T184" s="1490"/>
    </row>
    <row r="185" spans="1:20" ht="12.75">
      <c r="A185" s="1491"/>
      <c r="B185" s="1491"/>
      <c r="C185" s="1491"/>
      <c r="D185" s="1491"/>
      <c r="E185" s="1491"/>
      <c r="F185" s="1491"/>
      <c r="G185" s="1491"/>
      <c r="H185" s="1491"/>
      <c r="I185" s="1503"/>
      <c r="J185" s="1493"/>
      <c r="K185" s="1493"/>
      <c r="L185" s="1493"/>
      <c r="M185" s="1493"/>
      <c r="N185" s="1493"/>
      <c r="O185" s="1493"/>
      <c r="P185" s="1493"/>
      <c r="Q185" s="1493"/>
      <c r="R185" s="1493"/>
      <c r="S185" s="1493"/>
      <c r="T185" s="1490"/>
    </row>
    <row r="186" spans="1:20" ht="12.75">
      <c r="A186" s="1491"/>
      <c r="B186" s="1491"/>
      <c r="C186" s="1515">
        <v>-23575.31</v>
      </c>
      <c r="D186" s="1491" t="s">
        <v>277</v>
      </c>
      <c r="E186" s="1491"/>
      <c r="F186" s="1498"/>
      <c r="G186" s="1491"/>
      <c r="H186" s="1491"/>
      <c r="I186" s="1503"/>
      <c r="J186" s="1493"/>
      <c r="K186" s="1493"/>
      <c r="L186" s="1493"/>
      <c r="M186" s="1493"/>
      <c r="N186" s="1493"/>
      <c r="O186" s="1493"/>
      <c r="P186" s="1493"/>
      <c r="Q186" s="1493"/>
      <c r="R186" s="1493"/>
      <c r="S186" s="1493"/>
      <c r="T186" s="1490"/>
    </row>
    <row r="187" spans="1:20" ht="12.75">
      <c r="A187" s="1491"/>
      <c r="B187" s="1491"/>
      <c r="C187" s="1515">
        <v>-64.87</v>
      </c>
      <c r="D187" s="1491" t="s">
        <v>284</v>
      </c>
      <c r="E187" s="1491"/>
      <c r="F187" s="1498"/>
      <c r="G187" s="1491"/>
      <c r="H187" s="1491"/>
      <c r="I187" s="1503"/>
      <c r="J187" s="1493"/>
      <c r="K187" s="1493"/>
      <c r="L187" s="1493"/>
      <c r="M187" s="1493"/>
      <c r="N187" s="1511">
        <v>64.87</v>
      </c>
      <c r="O187" s="1493"/>
      <c r="P187" s="1493"/>
      <c r="Q187" s="1493"/>
      <c r="R187" s="1493"/>
      <c r="S187" s="1493"/>
      <c r="T187" s="1490"/>
    </row>
    <row r="188" spans="1:20" ht="12.75">
      <c r="A188" s="1491"/>
      <c r="B188" s="1491"/>
      <c r="C188" s="1515">
        <v>-203.35</v>
      </c>
      <c r="D188" s="1491" t="s">
        <v>274</v>
      </c>
      <c r="E188" s="1491"/>
      <c r="F188" s="1498"/>
      <c r="G188" s="1491"/>
      <c r="H188" s="1491"/>
      <c r="I188" s="1503"/>
      <c r="J188" s="1493"/>
      <c r="K188" s="1493"/>
      <c r="L188" s="1493"/>
      <c r="M188" s="1493"/>
      <c r="N188" s="1493"/>
      <c r="O188" s="1493"/>
      <c r="P188" s="1511">
        <v>203.35</v>
      </c>
      <c r="Q188" s="1493"/>
      <c r="R188" s="1493"/>
      <c r="S188" s="1493"/>
      <c r="T188" s="1490"/>
    </row>
    <row r="189" spans="1:20" ht="12.75">
      <c r="A189" s="1491"/>
      <c r="B189" s="1491"/>
      <c r="C189" s="1515">
        <v>-2030.78</v>
      </c>
      <c r="D189" s="1491" t="s">
        <v>33</v>
      </c>
      <c r="E189" s="1491"/>
      <c r="F189" s="1498"/>
      <c r="G189" s="1491"/>
      <c r="H189" s="1491"/>
      <c r="I189" s="1503"/>
      <c r="J189" s="1493"/>
      <c r="K189" s="1493"/>
      <c r="L189" s="1493"/>
      <c r="M189" s="1493"/>
      <c r="N189" s="1493"/>
      <c r="O189" s="1493"/>
      <c r="P189" s="1493"/>
      <c r="Q189" s="1493"/>
      <c r="R189" s="1493"/>
      <c r="S189" s="1493"/>
      <c r="T189" s="1490"/>
    </row>
    <row r="190" spans="1:20" ht="12.75">
      <c r="A190" s="1491"/>
      <c r="B190" s="1520"/>
      <c r="C190" s="1515">
        <v>-17333.55</v>
      </c>
      <c r="D190" s="1491" t="s">
        <v>34</v>
      </c>
      <c r="E190" s="1491"/>
      <c r="F190" s="1498"/>
      <c r="G190" s="1491"/>
      <c r="H190" s="1491"/>
      <c r="I190" s="1503"/>
      <c r="J190" s="1493"/>
      <c r="K190" s="1492"/>
      <c r="L190" s="1493"/>
      <c r="M190" s="1493"/>
      <c r="N190" s="1493"/>
      <c r="O190" s="1493"/>
      <c r="P190" s="1493"/>
      <c r="Q190" s="1493"/>
      <c r="R190" s="1493"/>
      <c r="S190" s="1493"/>
      <c r="T190" s="1490"/>
    </row>
    <row r="191" spans="1:20" ht="12.75">
      <c r="A191" s="1491"/>
      <c r="B191" s="1491"/>
      <c r="C191" s="1515">
        <v>-8211.5</v>
      </c>
      <c r="D191" s="1491" t="s">
        <v>331</v>
      </c>
      <c r="E191" s="1491"/>
      <c r="F191" s="1498"/>
      <c r="G191" s="1491"/>
      <c r="H191" s="1491"/>
      <c r="I191" s="1503"/>
      <c r="J191" s="1492"/>
      <c r="K191" s="1493"/>
      <c r="L191" s="1493"/>
      <c r="M191" s="1493"/>
      <c r="N191" s="1493"/>
      <c r="O191" s="1493"/>
      <c r="P191" s="1493"/>
      <c r="Q191" s="1493"/>
      <c r="R191" s="1493"/>
      <c r="S191" s="1493"/>
      <c r="T191" s="1490"/>
    </row>
    <row r="192" spans="1:20" ht="12.75">
      <c r="A192" s="1491"/>
      <c r="B192" s="1520"/>
      <c r="C192" s="1515">
        <v>2069</v>
      </c>
      <c r="D192" s="1491" t="s">
        <v>34</v>
      </c>
      <c r="E192" s="1491"/>
      <c r="F192" s="1498"/>
      <c r="G192" s="1491"/>
      <c r="H192" s="1491"/>
      <c r="I192" s="1503"/>
      <c r="J192" s="1493"/>
      <c r="K192" s="1493"/>
      <c r="L192" s="1493"/>
      <c r="M192" s="1493"/>
      <c r="N192" s="1493"/>
      <c r="O192" s="1493"/>
      <c r="P192" s="1493"/>
      <c r="Q192" s="1493"/>
      <c r="R192" s="1493"/>
      <c r="S192" s="1493"/>
      <c r="T192" s="1490"/>
    </row>
    <row r="193" spans="1:20" ht="12.75">
      <c r="A193" s="1491"/>
      <c r="B193" s="1491"/>
      <c r="C193" s="1515">
        <v>27218.32</v>
      </c>
      <c r="D193" s="1491" t="s">
        <v>302</v>
      </c>
      <c r="E193" s="1491"/>
      <c r="F193" s="1498"/>
      <c r="G193" s="1491"/>
      <c r="H193" s="1491"/>
      <c r="I193" s="1503"/>
      <c r="J193" s="1493"/>
      <c r="K193" s="1493"/>
      <c r="L193" s="1493"/>
      <c r="M193" s="1493"/>
      <c r="N193" s="1493"/>
      <c r="O193" s="1493"/>
      <c r="P193" s="1493"/>
      <c r="Q193" s="1493"/>
      <c r="R193" s="1493"/>
      <c r="S193" s="1493"/>
      <c r="T193" s="1490"/>
    </row>
    <row r="194" spans="1:20" ht="12.75">
      <c r="A194" s="1506"/>
      <c r="B194" s="1491"/>
      <c r="C194" s="1515">
        <v>36</v>
      </c>
      <c r="D194" s="1491" t="s">
        <v>1056</v>
      </c>
      <c r="E194" s="1491"/>
      <c r="F194" s="1498"/>
      <c r="G194" s="1491"/>
      <c r="H194" s="1491"/>
      <c r="I194" s="1503"/>
      <c r="J194" s="1493"/>
      <c r="K194" s="1493"/>
      <c r="L194" s="1493"/>
      <c r="M194" s="1493"/>
      <c r="N194" s="1493"/>
      <c r="O194" s="1493"/>
      <c r="P194" s="1493"/>
      <c r="Q194" s="1493"/>
      <c r="R194" s="1493"/>
      <c r="S194" s="1493"/>
      <c r="T194" s="1490"/>
    </row>
    <row r="195" spans="1:20" ht="12.75">
      <c r="A195" s="1491"/>
      <c r="B195" s="1491"/>
      <c r="C195" s="1515">
        <v>2489.82</v>
      </c>
      <c r="D195" s="1491" t="s">
        <v>1057</v>
      </c>
      <c r="E195" s="1491"/>
      <c r="F195" s="1498"/>
      <c r="G195" s="1491"/>
      <c r="H195" s="1491"/>
      <c r="I195" s="1503"/>
      <c r="J195" s="1493"/>
      <c r="K195" s="1493"/>
      <c r="L195" s="1493"/>
      <c r="M195" s="1493"/>
      <c r="N195" s="1493"/>
      <c r="O195" s="1493"/>
      <c r="P195" s="1493"/>
      <c r="Q195" s="1493"/>
      <c r="R195" s="1493"/>
      <c r="S195" s="1493"/>
      <c r="T195" s="1490"/>
    </row>
    <row r="196" spans="1:20" ht="12.75">
      <c r="A196" s="1491"/>
      <c r="B196" s="1491"/>
      <c r="C196" s="1515">
        <v>0.63</v>
      </c>
      <c r="D196" s="1491" t="s">
        <v>530</v>
      </c>
      <c r="E196" s="1491"/>
      <c r="F196" s="1498"/>
      <c r="G196" s="1491"/>
      <c r="H196" s="1491"/>
      <c r="I196" s="1503"/>
      <c r="J196" s="1493"/>
      <c r="K196" s="1493"/>
      <c r="L196" s="1493"/>
      <c r="M196" s="1493"/>
      <c r="N196" s="1493"/>
      <c r="O196" s="1493"/>
      <c r="P196" s="1493"/>
      <c r="Q196" s="1493"/>
      <c r="R196" s="1493"/>
      <c r="S196" s="1493"/>
      <c r="T196" s="1490"/>
    </row>
    <row r="197" spans="1:20" ht="12.75">
      <c r="A197" s="1491"/>
      <c r="B197" s="1530"/>
      <c r="C197" s="1506">
        <v>1668</v>
      </c>
      <c r="D197" s="1491" t="s">
        <v>1037</v>
      </c>
      <c r="E197" s="1491"/>
      <c r="F197" s="1498"/>
      <c r="G197" s="1491"/>
      <c r="H197" s="1491"/>
      <c r="I197" s="1503"/>
      <c r="J197" s="1493"/>
      <c r="K197" s="1493"/>
      <c r="L197" s="1493"/>
      <c r="M197" s="1493"/>
      <c r="N197" s="1493"/>
      <c r="O197" s="1493"/>
      <c r="P197" s="1493"/>
      <c r="Q197" s="1493"/>
      <c r="R197" s="1493"/>
      <c r="S197" s="1493"/>
      <c r="T197" s="1490"/>
    </row>
    <row r="198" spans="1:20" ht="12.75">
      <c r="A198" s="1491"/>
      <c r="B198" s="1491"/>
      <c r="C198" s="1506">
        <v>26134.56</v>
      </c>
      <c r="D198" s="1491" t="s">
        <v>1038</v>
      </c>
      <c r="E198" s="1491"/>
      <c r="F198" s="1498"/>
      <c r="G198" s="1491"/>
      <c r="H198" s="1491"/>
      <c r="I198" s="1503"/>
      <c r="J198" s="1493"/>
      <c r="K198" s="1493"/>
      <c r="L198" s="1493"/>
      <c r="M198" s="1493"/>
      <c r="N198" s="1493"/>
      <c r="O198" s="1493"/>
      <c r="P198" s="1493"/>
      <c r="Q198" s="1493"/>
      <c r="R198" s="1493"/>
      <c r="S198" s="1493"/>
      <c r="T198" s="1490"/>
    </row>
    <row r="199" spans="1:20" ht="12.75">
      <c r="A199" s="1491"/>
      <c r="B199" s="1491"/>
      <c r="C199" s="1506">
        <v>3757.54</v>
      </c>
      <c r="D199" s="1491" t="s">
        <v>316</v>
      </c>
      <c r="E199" s="1491"/>
      <c r="F199" s="1498"/>
      <c r="G199" s="1491"/>
      <c r="H199" s="1491"/>
      <c r="I199" s="1503"/>
      <c r="J199" s="1493"/>
      <c r="K199" s="1493"/>
      <c r="L199" s="1493"/>
      <c r="M199" s="1493"/>
      <c r="N199" s="1493"/>
      <c r="O199" s="1493"/>
      <c r="P199" s="1493"/>
      <c r="Q199" s="1493"/>
      <c r="R199" s="1493"/>
      <c r="S199" s="1493"/>
      <c r="T199" s="1490"/>
    </row>
    <row r="200" spans="1:20" ht="12.75">
      <c r="A200" s="1491"/>
      <c r="B200" s="1515"/>
      <c r="C200" s="1515">
        <v>10330</v>
      </c>
      <c r="D200" s="1491" t="s">
        <v>323</v>
      </c>
      <c r="E200" s="1491"/>
      <c r="F200" s="1491"/>
      <c r="G200" s="1491"/>
      <c r="H200" s="1491"/>
      <c r="I200" s="1503"/>
      <c r="J200" s="1493"/>
      <c r="K200" s="1493"/>
      <c r="L200" s="1493"/>
      <c r="M200" s="1493"/>
      <c r="N200" s="1493"/>
      <c r="O200" s="1493"/>
      <c r="P200" s="1493"/>
      <c r="Q200" s="1493"/>
      <c r="R200" s="1493"/>
      <c r="S200" s="1493"/>
      <c r="T200" s="1490"/>
    </row>
    <row r="201" spans="1:20" ht="12.75">
      <c r="A201" s="1491"/>
      <c r="B201" s="1491"/>
      <c r="C201" s="1515">
        <v>-75</v>
      </c>
      <c r="D201" s="1491" t="s">
        <v>324</v>
      </c>
      <c r="E201" s="1491"/>
      <c r="F201" s="1491"/>
      <c r="G201" s="1491"/>
      <c r="H201" s="1491"/>
      <c r="I201" s="1503"/>
      <c r="J201" s="1493"/>
      <c r="K201" s="1493"/>
      <c r="L201" s="1493"/>
      <c r="M201" s="1493"/>
      <c r="N201" s="1493"/>
      <c r="O201" s="1493"/>
      <c r="P201" s="1493"/>
      <c r="Q201" s="1493"/>
      <c r="R201" s="1493"/>
      <c r="S201" s="1493"/>
      <c r="T201" s="1490"/>
    </row>
    <row r="202" spans="1:20" ht="12.75">
      <c r="A202" s="1491"/>
      <c r="B202" s="1491"/>
      <c r="C202" s="1491">
        <v>-240</v>
      </c>
      <c r="D202" s="1491" t="s">
        <v>13</v>
      </c>
      <c r="E202" s="1491"/>
      <c r="F202" s="1498"/>
      <c r="G202" s="1491"/>
      <c r="H202" s="1491"/>
      <c r="I202" s="1503"/>
      <c r="J202" s="1493"/>
      <c r="K202" s="1493"/>
      <c r="L202" s="1493"/>
      <c r="M202" s="1493"/>
      <c r="N202" s="1493"/>
      <c r="O202" s="1493"/>
      <c r="P202" s="1493"/>
      <c r="Q202" s="1493"/>
      <c r="R202" s="1493"/>
      <c r="S202" s="1493"/>
      <c r="T202" s="1490"/>
    </row>
    <row r="203" spans="1:20" ht="12.75">
      <c r="A203" s="1491"/>
      <c r="B203" s="1491"/>
      <c r="C203" s="1491">
        <v>-3757.54</v>
      </c>
      <c r="D203" s="1491" t="s">
        <v>14</v>
      </c>
      <c r="E203" s="1491"/>
      <c r="F203" s="1498"/>
      <c r="G203" s="1491"/>
      <c r="H203" s="1491"/>
      <c r="I203" s="1503"/>
      <c r="J203" s="1493"/>
      <c r="K203" s="1493"/>
      <c r="L203" s="1493"/>
      <c r="M203" s="1493"/>
      <c r="N203" s="1493"/>
      <c r="O203" s="1493"/>
      <c r="P203" s="1493"/>
      <c r="Q203" s="1493"/>
      <c r="R203" s="1493"/>
      <c r="S203" s="1493"/>
      <c r="T203" s="1490"/>
    </row>
    <row r="204" spans="1:20" ht="12.75">
      <c r="A204" s="1491"/>
      <c r="B204" s="1491"/>
      <c r="C204" s="1520">
        <v>-337.39</v>
      </c>
      <c r="D204" s="2059" t="s">
        <v>15</v>
      </c>
      <c r="E204" s="2059"/>
      <c r="F204" s="2059"/>
      <c r="G204" s="1491"/>
      <c r="H204" s="1491"/>
      <c r="I204" s="1503"/>
      <c r="J204" s="1492"/>
      <c r="K204" s="1493"/>
      <c r="L204" s="1493"/>
      <c r="M204" s="1493"/>
      <c r="N204" s="1493"/>
      <c r="O204" s="1493"/>
      <c r="P204" s="1493"/>
      <c r="Q204" s="1493"/>
      <c r="R204" s="1493"/>
      <c r="S204" s="1493"/>
      <c r="T204" s="1490"/>
    </row>
    <row r="205" spans="1:20" ht="12.75">
      <c r="A205" s="1491"/>
      <c r="B205" s="1491"/>
      <c r="C205" s="1506">
        <v>-1.01</v>
      </c>
      <c r="D205" s="1491" t="s">
        <v>17</v>
      </c>
      <c r="E205" s="1491"/>
      <c r="F205" s="1498"/>
      <c r="G205" s="1491"/>
      <c r="H205" s="1491"/>
      <c r="I205" s="1503"/>
      <c r="J205" s="1493"/>
      <c r="K205" s="1493"/>
      <c r="L205" s="1493"/>
      <c r="M205" s="1493"/>
      <c r="N205" s="1493"/>
      <c r="O205" s="1493"/>
      <c r="P205" s="1493"/>
      <c r="Q205" s="1493"/>
      <c r="R205" s="1493"/>
      <c r="S205" s="1493"/>
      <c r="T205" s="1490"/>
    </row>
    <row r="206" spans="1:20" ht="12.75">
      <c r="A206" s="1491"/>
      <c r="B206" s="1491"/>
      <c r="C206">
        <v>3000</v>
      </c>
      <c r="D206" t="s">
        <v>732</v>
      </c>
      <c r="E206" s="1509"/>
      <c r="F206" s="1509"/>
      <c r="G206" s="1491"/>
      <c r="H206" s="1491"/>
      <c r="I206" s="1503"/>
      <c r="J206" s="1493"/>
      <c r="K206" s="1493"/>
      <c r="L206" s="1493"/>
      <c r="M206" s="1493"/>
      <c r="N206" s="1493"/>
      <c r="O206" s="1493"/>
      <c r="P206" s="1493"/>
      <c r="Q206" s="1493"/>
      <c r="R206" s="1493"/>
      <c r="S206" s="1493"/>
      <c r="T206" s="1490"/>
    </row>
    <row r="207" spans="1:20" ht="12.75">
      <c r="A207" s="1491"/>
      <c r="B207" s="1491"/>
      <c r="C207">
        <v>-15500</v>
      </c>
      <c r="D207" t="s">
        <v>732</v>
      </c>
      <c r="E207" s="1509"/>
      <c r="F207" s="1509"/>
      <c r="G207" s="1491"/>
      <c r="H207" s="1491"/>
      <c r="I207" s="1503"/>
      <c r="J207" s="1493"/>
      <c r="K207" s="1493"/>
      <c r="L207" s="1493"/>
      <c r="M207" s="1493"/>
      <c r="N207" s="1493"/>
      <c r="O207" s="1493"/>
      <c r="P207" s="1493"/>
      <c r="Q207" s="1493"/>
      <c r="R207" s="1493"/>
      <c r="S207" s="1493"/>
      <c r="T207" s="1490"/>
    </row>
    <row r="208" spans="1:20" ht="12.75">
      <c r="A208" s="1491"/>
      <c r="B208" s="1491"/>
      <c r="C208" s="1327">
        <v>-582.4000000000015</v>
      </c>
      <c r="D208" t="s">
        <v>704</v>
      </c>
      <c r="E208" s="1491"/>
      <c r="F208" s="1498"/>
      <c r="G208" s="1491"/>
      <c r="H208" s="1491"/>
      <c r="I208" s="1503"/>
      <c r="J208" s="1493"/>
      <c r="K208" s="1493"/>
      <c r="L208" s="1493"/>
      <c r="M208" s="1493"/>
      <c r="N208" s="1493"/>
      <c r="O208" s="1493"/>
      <c r="P208" s="1493"/>
      <c r="Q208" s="1493"/>
      <c r="R208" s="1493"/>
      <c r="S208" s="1493"/>
      <c r="T208" s="1526">
        <f>-C208</f>
        <v>582.4000000000015</v>
      </c>
    </row>
    <row r="209" spans="1:20" ht="12.75">
      <c r="A209" s="1491"/>
      <c r="B209" s="1491"/>
      <c r="C209" s="1327">
        <v>8310</v>
      </c>
      <c r="D209" t="s">
        <v>742</v>
      </c>
      <c r="E209" s="1491"/>
      <c r="F209" s="1498"/>
      <c r="G209" s="1491"/>
      <c r="H209" s="1491"/>
      <c r="I209" s="1503"/>
      <c r="J209" s="1493"/>
      <c r="K209" s="1493"/>
      <c r="L209" s="1493"/>
      <c r="M209" s="1493"/>
      <c r="N209" s="1493"/>
      <c r="O209" s="1493"/>
      <c r="P209" s="1493"/>
      <c r="Q209" s="1493"/>
      <c r="R209" s="1493"/>
      <c r="S209" s="1493"/>
      <c r="T209" s="1490"/>
    </row>
    <row r="210" spans="1:20" ht="12.75">
      <c r="A210" s="1491"/>
      <c r="B210" s="1491"/>
      <c r="C210" s="1327">
        <v>-8310</v>
      </c>
      <c r="D210" s="1327" t="s">
        <v>743</v>
      </c>
      <c r="E210" s="1491"/>
      <c r="F210" s="1498"/>
      <c r="G210" s="1491"/>
      <c r="H210" s="1491"/>
      <c r="I210" s="1503"/>
      <c r="J210" s="1493"/>
      <c r="K210" s="1493"/>
      <c r="L210" s="1493"/>
      <c r="M210" s="1493"/>
      <c r="N210" s="1493"/>
      <c r="O210" s="1493"/>
      <c r="P210" s="1493"/>
      <c r="Q210" s="1493"/>
      <c r="R210" s="1493"/>
      <c r="S210" s="1493"/>
      <c r="T210" s="1490"/>
    </row>
    <row r="211" spans="1:20" ht="12.75">
      <c r="A211" s="1491"/>
      <c r="B211" s="1491"/>
      <c r="C211" s="1327">
        <v>-20000</v>
      </c>
      <c r="D211" t="s">
        <v>744</v>
      </c>
      <c r="E211" s="1491"/>
      <c r="F211" s="1498"/>
      <c r="G211" s="1491"/>
      <c r="H211" s="1491"/>
      <c r="I211" s="1503"/>
      <c r="J211" s="1493"/>
      <c r="K211" s="1493"/>
      <c r="L211" s="1493"/>
      <c r="M211" s="1493"/>
      <c r="N211" s="1493"/>
      <c r="O211" s="1493"/>
      <c r="P211" s="1493"/>
      <c r="Q211" s="1493"/>
      <c r="R211" s="1493"/>
      <c r="S211" s="1493"/>
      <c r="T211" s="1490"/>
    </row>
    <row r="212" spans="1:20" ht="12.75">
      <c r="A212" s="1491"/>
      <c r="B212" s="1491"/>
      <c r="C212" s="1327">
        <v>-11268.4</v>
      </c>
      <c r="D212" s="1327" t="s">
        <v>716</v>
      </c>
      <c r="E212" s="1491"/>
      <c r="F212" s="1498"/>
      <c r="G212" s="1491"/>
      <c r="H212" s="1491"/>
      <c r="I212" s="1503"/>
      <c r="J212" s="1493"/>
      <c r="K212" s="1511">
        <f>-C212</f>
        <v>11268.4</v>
      </c>
      <c r="L212" s="1493"/>
      <c r="M212" s="1493"/>
      <c r="N212" s="1493"/>
      <c r="O212" s="1493"/>
      <c r="P212" s="1493"/>
      <c r="Q212" s="1493"/>
      <c r="R212" s="1493"/>
      <c r="S212" s="1493"/>
      <c r="T212" s="1490"/>
    </row>
    <row r="213" spans="1:20" ht="12.75">
      <c r="A213" s="1491"/>
      <c r="B213" s="1491"/>
      <c r="C213" s="1515">
        <f>+SUM(C186:C212)</f>
        <v>-26477.229999999996</v>
      </c>
      <c r="D213" s="1491" t="s">
        <v>257</v>
      </c>
      <c r="E213" s="1491"/>
      <c r="F213" s="1498"/>
      <c r="G213" s="1491"/>
      <c r="H213" s="1491"/>
      <c r="I213" s="1503"/>
      <c r="J213" s="1493"/>
      <c r="K213" s="1493"/>
      <c r="L213" s="1493"/>
      <c r="M213" s="1493"/>
      <c r="N213" s="1493"/>
      <c r="O213" s="1493"/>
      <c r="P213" s="1493"/>
      <c r="Q213" s="1493"/>
      <c r="R213" s="1493"/>
      <c r="S213" s="1493"/>
      <c r="T213" s="1490"/>
    </row>
    <row r="214" spans="1:20" ht="12.75">
      <c r="A214" s="1491"/>
      <c r="B214" s="1491"/>
      <c r="C214" s="1515"/>
      <c r="D214" s="1491"/>
      <c r="E214" s="1491"/>
      <c r="F214" s="1491"/>
      <c r="G214" s="1491"/>
      <c r="H214" s="1491"/>
      <c r="I214" s="1503"/>
      <c r="J214" s="1493"/>
      <c r="K214" s="1493"/>
      <c r="L214" s="1493"/>
      <c r="M214" s="1493"/>
      <c r="N214" s="1493"/>
      <c r="O214" s="1493"/>
      <c r="P214" s="1493"/>
      <c r="Q214" s="1493"/>
      <c r="R214" s="1493"/>
      <c r="S214" s="1493"/>
      <c r="T214" s="1490"/>
    </row>
    <row r="215" spans="1:20" ht="12.75">
      <c r="A215" s="1491"/>
      <c r="B215" s="1515"/>
      <c r="C215" s="1515"/>
      <c r="D215" s="1491"/>
      <c r="E215" s="1491"/>
      <c r="F215" s="1491"/>
      <c r="G215" s="1491"/>
      <c r="H215" s="1491"/>
      <c r="I215" s="1503"/>
      <c r="J215" s="1493"/>
      <c r="K215" s="1493"/>
      <c r="L215" s="1493"/>
      <c r="M215" s="1493"/>
      <c r="N215" s="1493"/>
      <c r="O215" s="1493"/>
      <c r="P215" s="1493"/>
      <c r="Q215" s="1493"/>
      <c r="R215" s="1493"/>
      <c r="S215" s="1493"/>
      <c r="T215" s="1490"/>
    </row>
    <row r="216" spans="1:20" ht="25.5">
      <c r="A216" s="1491"/>
      <c r="B216" s="1500">
        <v>1.4</v>
      </c>
      <c r="C216" s="1501" t="s">
        <v>587</v>
      </c>
      <c r="D216" s="1491" t="s">
        <v>325</v>
      </c>
      <c r="E216" s="1491"/>
      <c r="F216" s="1491"/>
      <c r="G216" s="1491"/>
      <c r="H216" s="1491"/>
      <c r="I216" s="1503"/>
      <c r="J216" s="1493"/>
      <c r="K216" s="1493"/>
      <c r="L216" s="1493"/>
      <c r="M216" s="1493"/>
      <c r="N216" s="1493"/>
      <c r="O216" s="1493"/>
      <c r="P216" s="1493"/>
      <c r="Q216" s="1493"/>
      <c r="R216" s="1493"/>
      <c r="S216" s="1493"/>
      <c r="T216" s="1490"/>
    </row>
    <row r="217" spans="1:20" ht="12.75">
      <c r="A217" s="1491"/>
      <c r="B217" s="1510"/>
      <c r="C217" s="1512"/>
      <c r="D217" s="1491"/>
      <c r="E217" s="1491"/>
      <c r="F217" s="1491"/>
      <c r="G217" s="1491"/>
      <c r="H217" s="1491"/>
      <c r="I217" s="1503"/>
      <c r="J217" s="1493"/>
      <c r="K217" s="1493"/>
      <c r="L217" s="1493"/>
      <c r="M217" s="1493"/>
      <c r="N217" s="1493"/>
      <c r="O217" s="1493"/>
      <c r="P217" s="1493"/>
      <c r="Q217" s="1493"/>
      <c r="R217" s="1493"/>
      <c r="S217" s="1493"/>
      <c r="T217" s="1490"/>
    </row>
    <row r="218" spans="1:20" ht="12.75">
      <c r="A218" s="1491"/>
      <c r="B218" s="1515"/>
      <c r="C218" s="1515">
        <v>-37566.67</v>
      </c>
      <c r="D218" s="1515" t="s">
        <v>1048</v>
      </c>
      <c r="E218" s="1491"/>
      <c r="F218" s="1491"/>
      <c r="G218" s="1491"/>
      <c r="H218" s="1491"/>
      <c r="I218" s="1503"/>
      <c r="J218" s="1493"/>
      <c r="K218" s="1493"/>
      <c r="L218" s="1493"/>
      <c r="M218" s="1493"/>
      <c r="N218" s="1493"/>
      <c r="O218" s="1493"/>
      <c r="P218" s="1493"/>
      <c r="Q218" s="1493"/>
      <c r="R218" s="1493"/>
      <c r="S218" s="1493"/>
      <c r="T218" s="1490"/>
    </row>
    <row r="219" spans="1:20" ht="12.75">
      <c r="A219" s="1491"/>
      <c r="B219" s="1506"/>
      <c r="C219" s="1515">
        <v>-1893.04</v>
      </c>
      <c r="D219" s="1515" t="s">
        <v>326</v>
      </c>
      <c r="E219" s="1491"/>
      <c r="F219" s="1491"/>
      <c r="G219" s="1491"/>
      <c r="H219" s="1491"/>
      <c r="I219" s="1503"/>
      <c r="J219" s="1493"/>
      <c r="K219" s="1493"/>
      <c r="L219" s="1493"/>
      <c r="M219" s="1493"/>
      <c r="N219" s="1493"/>
      <c r="O219" s="1493"/>
      <c r="P219" s="1511">
        <v>1893.04</v>
      </c>
      <c r="Q219" s="1493"/>
      <c r="R219" s="1493"/>
      <c r="S219" s="1493"/>
      <c r="T219" s="1490"/>
    </row>
    <row r="220" spans="1:20" ht="12.75">
      <c r="A220" s="1491"/>
      <c r="B220" s="1506"/>
      <c r="C220" s="1515">
        <v>-224.25</v>
      </c>
      <c r="D220" s="1515" t="s">
        <v>327</v>
      </c>
      <c r="E220" s="1491"/>
      <c r="F220" s="1491"/>
      <c r="G220" s="1491"/>
      <c r="H220" s="1491"/>
      <c r="I220" s="1503"/>
      <c r="J220" s="1493"/>
      <c r="K220" s="1493"/>
      <c r="L220" s="1493"/>
      <c r="M220" s="1493"/>
      <c r="N220" s="1511">
        <v>224.25</v>
      </c>
      <c r="O220" s="1493"/>
      <c r="P220" s="1493"/>
      <c r="Q220" s="1493"/>
      <c r="R220" s="1493"/>
      <c r="S220" s="1493"/>
      <c r="T220" s="1490"/>
    </row>
    <row r="221" spans="1:20" ht="12.75">
      <c r="A221" s="1491"/>
      <c r="B221" s="1515"/>
      <c r="C221" s="1515">
        <v>12216</v>
      </c>
      <c r="D221" s="1515" t="s">
        <v>1049</v>
      </c>
      <c r="E221" s="1491"/>
      <c r="F221" s="1491"/>
      <c r="G221" s="1491"/>
      <c r="H221" s="1491"/>
      <c r="I221" s="1503"/>
      <c r="J221" s="1493"/>
      <c r="K221" s="1493"/>
      <c r="L221" s="1493"/>
      <c r="M221" s="1493"/>
      <c r="N221" s="1493"/>
      <c r="O221" s="1493"/>
      <c r="P221" s="1493"/>
      <c r="Q221" s="1493"/>
      <c r="R221" s="1493"/>
      <c r="S221" s="1493"/>
      <c r="T221" s="1490"/>
    </row>
    <row r="222" spans="1:20" ht="12.75">
      <c r="A222" s="1491"/>
      <c r="B222" s="1506"/>
      <c r="C222" s="1515">
        <v>12433.49</v>
      </c>
      <c r="D222" s="1515" t="s">
        <v>1050</v>
      </c>
      <c r="E222" s="1491"/>
      <c r="F222" s="1491"/>
      <c r="G222" s="1491"/>
      <c r="H222" s="1491"/>
      <c r="I222" s="1503"/>
      <c r="J222" s="1493"/>
      <c r="K222" s="1493"/>
      <c r="L222" s="1493"/>
      <c r="M222" s="1493"/>
      <c r="N222" s="1493"/>
      <c r="O222" s="1493"/>
      <c r="P222" s="1493"/>
      <c r="Q222" s="1493"/>
      <c r="R222" s="1493"/>
      <c r="S222" s="1493"/>
      <c r="T222" s="1490"/>
    </row>
    <row r="223" spans="1:20" ht="12.75">
      <c r="A223" s="1491"/>
      <c r="B223" s="1506"/>
      <c r="C223" s="1515">
        <v>-839.93</v>
      </c>
      <c r="D223" s="1515" t="s">
        <v>1051</v>
      </c>
      <c r="E223" s="1491"/>
      <c r="F223" s="1491"/>
      <c r="G223" s="1491"/>
      <c r="H223" s="1491"/>
      <c r="I223" s="1503"/>
      <c r="J223" s="1493"/>
      <c r="K223" s="1493"/>
      <c r="L223" s="1493"/>
      <c r="M223" s="1493"/>
      <c r="N223" s="1493"/>
      <c r="O223" s="1493"/>
      <c r="P223" s="1493"/>
      <c r="Q223" s="1493"/>
      <c r="R223" s="1493"/>
      <c r="S223" s="1493"/>
      <c r="T223" s="1490"/>
    </row>
    <row r="224" spans="1:20" ht="12.75">
      <c r="A224" s="1491"/>
      <c r="B224" s="1506"/>
      <c r="C224" s="1515">
        <v>-2890.28</v>
      </c>
      <c r="D224" s="1515" t="s">
        <v>1052</v>
      </c>
      <c r="E224" s="1491"/>
      <c r="F224" s="1491"/>
      <c r="G224" s="1491"/>
      <c r="H224" s="1491"/>
      <c r="I224" s="1503"/>
      <c r="J224" s="1493"/>
      <c r="K224" s="1493"/>
      <c r="L224" s="1493"/>
      <c r="M224" s="1493"/>
      <c r="N224" s="1493"/>
      <c r="O224" s="1493"/>
      <c r="P224" s="1493"/>
      <c r="Q224" s="1493"/>
      <c r="R224" s="1493"/>
      <c r="S224" s="1493"/>
      <c r="T224" s="1490"/>
    </row>
    <row r="225" spans="1:20" ht="12.75">
      <c r="A225" s="1491"/>
      <c r="B225" s="1506"/>
      <c r="C225" s="1515">
        <v>1800</v>
      </c>
      <c r="D225" s="1515" t="s">
        <v>1053</v>
      </c>
      <c r="E225" s="1491"/>
      <c r="F225" s="1491"/>
      <c r="G225" s="1491"/>
      <c r="H225" s="1491"/>
      <c r="I225" s="1503"/>
      <c r="J225" s="1493"/>
      <c r="K225" s="1493"/>
      <c r="L225" s="1493"/>
      <c r="M225" s="1493"/>
      <c r="N225" s="1493"/>
      <c r="O225" s="1493"/>
      <c r="P225" s="1493"/>
      <c r="Q225" s="1493"/>
      <c r="R225" s="1493"/>
      <c r="S225" s="1493"/>
      <c r="T225" s="1490"/>
    </row>
    <row r="226" spans="1:20" ht="12.75">
      <c r="A226" s="1491"/>
      <c r="B226" s="1515"/>
      <c r="C226" s="1515">
        <v>45</v>
      </c>
      <c r="D226" s="1515" t="s">
        <v>1054</v>
      </c>
      <c r="E226" s="1491"/>
      <c r="F226" s="1491"/>
      <c r="G226" s="1491"/>
      <c r="H226" s="1491"/>
      <c r="I226" s="1503"/>
      <c r="J226" s="1493"/>
      <c r="K226" s="1493"/>
      <c r="L226" s="1493"/>
      <c r="M226" s="1493"/>
      <c r="N226" s="1493"/>
      <c r="O226" s="1493"/>
      <c r="P226" s="1493"/>
      <c r="Q226" s="1493"/>
      <c r="R226" s="1493"/>
      <c r="S226" s="1493"/>
      <c r="T226" s="1490"/>
    </row>
    <row r="227" spans="1:20" ht="12.75">
      <c r="A227" s="1491"/>
      <c r="B227" s="1515"/>
      <c r="C227" s="1515">
        <v>36.11</v>
      </c>
      <c r="D227" s="1515" t="s">
        <v>1006</v>
      </c>
      <c r="E227" s="1491"/>
      <c r="F227" s="1491"/>
      <c r="G227" s="1491"/>
      <c r="H227" s="1491"/>
      <c r="I227" s="1503"/>
      <c r="J227" s="1493"/>
      <c r="K227" s="1493"/>
      <c r="L227" s="1493"/>
      <c r="M227" s="1493"/>
      <c r="N227" s="1493"/>
      <c r="O227" s="1493"/>
      <c r="P227" s="1493"/>
      <c r="Q227" s="1493"/>
      <c r="R227" s="1493"/>
      <c r="S227" s="1493"/>
      <c r="T227" s="1490"/>
    </row>
    <row r="228" spans="1:20" ht="12.75">
      <c r="A228" s="1491"/>
      <c r="B228" s="1515"/>
      <c r="C228" s="1515">
        <v>-8200</v>
      </c>
      <c r="D228" s="1515" t="s">
        <v>1055</v>
      </c>
      <c r="E228" s="1491"/>
      <c r="F228" s="1491"/>
      <c r="G228" s="1491"/>
      <c r="H228" s="1491"/>
      <c r="I228" s="1503"/>
      <c r="J228" s="1493"/>
      <c r="K228" s="1493"/>
      <c r="L228" s="1493"/>
      <c r="M228" s="1493"/>
      <c r="N228" s="1493"/>
      <c r="O228" s="1493"/>
      <c r="P228" s="1493"/>
      <c r="Q228" s="1493"/>
      <c r="R228" s="1493"/>
      <c r="S228" s="1493"/>
      <c r="T228" s="1490"/>
    </row>
    <row r="229" spans="1:20" ht="12.75">
      <c r="A229" s="1491"/>
      <c r="B229" s="1506"/>
      <c r="C229" s="1506">
        <v>-12443.03</v>
      </c>
      <c r="D229" s="1491" t="s">
        <v>996</v>
      </c>
      <c r="E229" s="1491"/>
      <c r="F229" s="1491"/>
      <c r="G229" s="1491"/>
      <c r="H229" s="1491"/>
      <c r="I229" s="1503"/>
      <c r="J229" s="1493"/>
      <c r="K229" s="1493"/>
      <c r="L229" s="1493"/>
      <c r="M229" s="1493"/>
      <c r="N229" s="1493"/>
      <c r="O229" s="1493"/>
      <c r="P229" s="1493"/>
      <c r="Q229" s="1493"/>
      <c r="R229" s="1493"/>
      <c r="S229" s="1493"/>
      <c r="T229" s="1490"/>
    </row>
    <row r="230" spans="1:20" ht="12.75">
      <c r="A230" s="1491"/>
      <c r="B230" s="1506"/>
      <c r="C230" s="1506">
        <v>-1363.33</v>
      </c>
      <c r="D230" s="1491" t="s">
        <v>1025</v>
      </c>
      <c r="E230" s="1491"/>
      <c r="F230" s="1491"/>
      <c r="G230" s="1491"/>
      <c r="H230" s="1491"/>
      <c r="I230" s="1503"/>
      <c r="J230" s="1493"/>
      <c r="K230" s="1493"/>
      <c r="L230" s="1493"/>
      <c r="M230" s="1493"/>
      <c r="N230" s="1493"/>
      <c r="O230" s="1493"/>
      <c r="P230" s="1493"/>
      <c r="Q230" s="1493"/>
      <c r="R230" s="1493"/>
      <c r="S230" s="1493"/>
      <c r="T230" s="1490"/>
    </row>
    <row r="231" spans="1:20" ht="12.75">
      <c r="A231" s="1491"/>
      <c r="B231" s="1506"/>
      <c r="C231" s="1506">
        <v>-185.67</v>
      </c>
      <c r="D231" s="1491" t="s">
        <v>1033</v>
      </c>
      <c r="E231" s="1491"/>
      <c r="F231" s="1491"/>
      <c r="G231" s="1491"/>
      <c r="H231" s="1491"/>
      <c r="I231" s="1503"/>
      <c r="J231" s="1493"/>
      <c r="K231" s="1493"/>
      <c r="L231" s="1493"/>
      <c r="M231" s="1493"/>
      <c r="N231" s="1493"/>
      <c r="O231" s="1493"/>
      <c r="P231" s="1493"/>
      <c r="Q231" s="1493"/>
      <c r="R231" s="1493"/>
      <c r="S231" s="1493"/>
      <c r="T231" s="1490"/>
    </row>
    <row r="232" spans="1:20" ht="12.75">
      <c r="A232" s="1491"/>
      <c r="B232" s="1506"/>
      <c r="C232" s="1506">
        <v>1351.51</v>
      </c>
      <c r="D232" s="1491" t="s">
        <v>1034</v>
      </c>
      <c r="E232" s="1491"/>
      <c r="F232" s="1491"/>
      <c r="G232" s="1491"/>
      <c r="H232" s="1491"/>
      <c r="I232" s="1503"/>
      <c r="J232" s="1493"/>
      <c r="K232" s="1493"/>
      <c r="L232" s="1493"/>
      <c r="M232" s="1493"/>
      <c r="N232" s="1493"/>
      <c r="O232" s="1493"/>
      <c r="P232" s="1493"/>
      <c r="Q232" s="1493"/>
      <c r="R232" s="1493"/>
      <c r="S232" s="1493"/>
      <c r="T232" s="1490"/>
    </row>
    <row r="233" spans="1:20" ht="12.75">
      <c r="A233" s="1491"/>
      <c r="B233" s="1506"/>
      <c r="C233" s="1506">
        <v>-1802.16</v>
      </c>
      <c r="D233" s="1491" t="s">
        <v>1035</v>
      </c>
      <c r="E233" s="1491"/>
      <c r="F233" s="1491"/>
      <c r="G233" s="1491"/>
      <c r="H233" s="1491"/>
      <c r="I233" s="1503"/>
      <c r="J233" s="1493"/>
      <c r="K233" s="1493"/>
      <c r="L233" s="1493"/>
      <c r="M233" s="1493"/>
      <c r="N233" s="1493"/>
      <c r="O233" s="1493"/>
      <c r="P233" s="1493"/>
      <c r="Q233" s="1493"/>
      <c r="R233" s="1493"/>
      <c r="S233" s="1493"/>
      <c r="T233" s="1490"/>
    </row>
    <row r="234" spans="1:20" ht="12.75">
      <c r="A234" s="1491"/>
      <c r="B234" s="1506"/>
      <c r="C234" s="1506">
        <v>268.48</v>
      </c>
      <c r="D234" s="1491" t="s">
        <v>288</v>
      </c>
      <c r="E234" s="1491"/>
      <c r="F234" s="1491"/>
      <c r="G234" s="1491"/>
      <c r="H234" s="1491"/>
      <c r="I234" s="1503"/>
      <c r="J234" s="1493"/>
      <c r="K234" s="1493"/>
      <c r="L234" s="1493"/>
      <c r="M234" s="1493"/>
      <c r="N234" s="1493"/>
      <c r="O234" s="1493"/>
      <c r="P234" s="1493"/>
      <c r="Q234" s="1492">
        <v>268.48</v>
      </c>
      <c r="R234" s="1493"/>
      <c r="S234" s="1493"/>
      <c r="T234" s="1490"/>
    </row>
    <row r="235" spans="1:20" ht="12.75">
      <c r="A235" s="1491"/>
      <c r="B235" s="1506"/>
      <c r="C235" s="1506">
        <v>44489.88</v>
      </c>
      <c r="D235" s="1491" t="s">
        <v>330</v>
      </c>
      <c r="E235" s="1491"/>
      <c r="F235" s="1491"/>
      <c r="G235" s="1491"/>
      <c r="H235" s="1491"/>
      <c r="I235" s="1503"/>
      <c r="J235" s="1493"/>
      <c r="K235" s="1493"/>
      <c r="L235" s="1493"/>
      <c r="M235" s="1493"/>
      <c r="N235" s="1493"/>
      <c r="O235" s="1493"/>
      <c r="P235" s="1493"/>
      <c r="Q235" s="1493"/>
      <c r="R235" s="1493"/>
      <c r="S235" s="1493"/>
      <c r="T235" s="1490"/>
    </row>
    <row r="236" spans="1:20" ht="12.75">
      <c r="A236" s="1491"/>
      <c r="B236" s="1506"/>
      <c r="C236" s="1506">
        <v>-12065.03</v>
      </c>
      <c r="D236" s="1491" t="s">
        <v>8</v>
      </c>
      <c r="E236" s="1491"/>
      <c r="F236" s="1491"/>
      <c r="G236" s="1491"/>
      <c r="H236" s="1491"/>
      <c r="I236" s="1503"/>
      <c r="J236" s="1493"/>
      <c r="K236" s="1493"/>
      <c r="L236" s="1493"/>
      <c r="M236" s="1493"/>
      <c r="N236" s="1493"/>
      <c r="O236" s="1493"/>
      <c r="P236" s="1493"/>
      <c r="Q236" s="1493"/>
      <c r="R236" s="1493"/>
      <c r="S236" s="1493"/>
      <c r="T236" s="1490"/>
    </row>
    <row r="237" spans="1:20" ht="12.75">
      <c r="A237" s="1491"/>
      <c r="B237" s="1506"/>
      <c r="C237" s="1506">
        <v>-2142</v>
      </c>
      <c r="D237" s="1491" t="s">
        <v>993</v>
      </c>
      <c r="E237" s="1491"/>
      <c r="F237" s="1491"/>
      <c r="G237" s="1491"/>
      <c r="H237" s="1491"/>
      <c r="I237" s="1503"/>
      <c r="J237" s="1493"/>
      <c r="K237" s="1493"/>
      <c r="L237" s="1493"/>
      <c r="M237" s="1493"/>
      <c r="N237" s="1493"/>
      <c r="O237" s="1493"/>
      <c r="P237" s="1493"/>
      <c r="Q237" s="1493"/>
      <c r="R237" s="1493"/>
      <c r="S237" s="1493"/>
      <c r="T237" s="1490"/>
    </row>
    <row r="238" spans="1:20" ht="12.75">
      <c r="A238" s="1491"/>
      <c r="B238" s="1506"/>
      <c r="C238" s="1506">
        <v>967.87</v>
      </c>
      <c r="D238" s="1491" t="s">
        <v>13</v>
      </c>
      <c r="E238" s="1491"/>
      <c r="F238" s="1491"/>
      <c r="G238" s="1491"/>
      <c r="H238" s="1491"/>
      <c r="I238" s="1503"/>
      <c r="J238" s="1493"/>
      <c r="K238" s="1493"/>
      <c r="L238" s="1493"/>
      <c r="M238" s="1493"/>
      <c r="N238" s="1493"/>
      <c r="O238" s="1493"/>
      <c r="P238" s="1493"/>
      <c r="Q238" s="1493"/>
      <c r="R238" s="1493"/>
      <c r="S238" s="1493"/>
      <c r="T238" s="1490"/>
    </row>
    <row r="239" spans="1:20" ht="12.75">
      <c r="A239" s="1491"/>
      <c r="B239" s="1506"/>
      <c r="C239" s="1506">
        <v>11697.21</v>
      </c>
      <c r="D239" s="1491" t="s">
        <v>18</v>
      </c>
      <c r="E239" s="1491"/>
      <c r="F239" s="1491"/>
      <c r="G239" s="1491"/>
      <c r="H239" s="1491"/>
      <c r="I239" s="1503"/>
      <c r="J239" s="1493"/>
      <c r="K239" s="1492"/>
      <c r="L239" s="1493"/>
      <c r="M239" s="1493"/>
      <c r="N239" s="1493"/>
      <c r="O239" s="1493"/>
      <c r="P239" s="1493"/>
      <c r="Q239" s="1493"/>
      <c r="R239" s="1493"/>
      <c r="S239" s="1493"/>
      <c r="T239" s="1490"/>
    </row>
    <row r="240" spans="1:20" ht="12.75">
      <c r="A240" s="1491"/>
      <c r="B240" s="1506"/>
      <c r="C240" s="1506">
        <v>-27.53</v>
      </c>
      <c r="D240" s="1491" t="s">
        <v>4</v>
      </c>
      <c r="E240" s="1491"/>
      <c r="F240" s="1491"/>
      <c r="G240" s="1491"/>
      <c r="H240" s="1491"/>
      <c r="I240" s="1503"/>
      <c r="J240" s="1492"/>
      <c r="K240" s="1493"/>
      <c r="L240" s="1493"/>
      <c r="M240" s="1493"/>
      <c r="N240" s="1493"/>
      <c r="O240" s="1493"/>
      <c r="P240" s="1493"/>
      <c r="Q240" s="1493"/>
      <c r="R240" s="1493"/>
      <c r="S240" s="1493"/>
      <c r="T240" s="1490"/>
    </row>
    <row r="241" spans="1:20" ht="12.75">
      <c r="A241" s="1491"/>
      <c r="B241" s="1506"/>
      <c r="C241" s="1506">
        <v>-4</v>
      </c>
      <c r="D241" s="1491" t="s">
        <v>19</v>
      </c>
      <c r="E241" s="1491"/>
      <c r="F241" s="1491"/>
      <c r="G241" s="1491"/>
      <c r="H241" s="1491"/>
      <c r="I241" s="1503"/>
      <c r="J241" s="1493"/>
      <c r="K241" s="1493"/>
      <c r="L241" s="1493"/>
      <c r="M241" s="1493"/>
      <c r="N241" s="1493"/>
      <c r="O241" s="1493"/>
      <c r="P241" s="1493"/>
      <c r="Q241" s="1493"/>
      <c r="R241" s="1492">
        <v>4</v>
      </c>
      <c r="S241" s="1493"/>
      <c r="T241" s="1490"/>
    </row>
    <row r="242" spans="1:20" ht="12.75">
      <c r="A242" s="1491"/>
      <c r="B242" s="1506"/>
      <c r="C242" s="1506">
        <v>2.35</v>
      </c>
      <c r="D242" s="1491" t="s">
        <v>530</v>
      </c>
      <c r="E242" s="1491"/>
      <c r="F242" s="1491"/>
      <c r="G242" s="1491"/>
      <c r="H242" s="1491"/>
      <c r="I242" s="1503"/>
      <c r="J242" s="1493"/>
      <c r="K242" s="1493"/>
      <c r="L242" s="1493"/>
      <c r="M242" s="1493"/>
      <c r="N242" s="1493"/>
      <c r="O242" s="1493"/>
      <c r="P242" s="1493"/>
      <c r="Q242" s="1493"/>
      <c r="R242" s="1493"/>
      <c r="S242" s="1493"/>
      <c r="T242" s="1490"/>
    </row>
    <row r="243" spans="1:20" ht="12.75">
      <c r="A243" s="1491"/>
      <c r="B243" s="1506"/>
      <c r="C243" s="1397">
        <v>11690.8</v>
      </c>
      <c r="D243" s="1241" t="s">
        <v>706</v>
      </c>
      <c r="E243" s="1491"/>
      <c r="F243" s="1491"/>
      <c r="G243" s="1491"/>
      <c r="H243" s="1491"/>
      <c r="I243" s="1503"/>
      <c r="J243" s="1493"/>
      <c r="K243" s="1493"/>
      <c r="L243" s="1493"/>
      <c r="M243" s="1493"/>
      <c r="N243" s="1493"/>
      <c r="O243" s="1493"/>
      <c r="P243" s="1493"/>
      <c r="Q243" s="1493"/>
      <c r="R243" s="1493"/>
      <c r="S243" s="1493"/>
      <c r="T243" s="1490"/>
    </row>
    <row r="244" spans="1:20" ht="12.75">
      <c r="A244" s="1491"/>
      <c r="B244" s="1506"/>
      <c r="C244" s="1397">
        <v>1200.14</v>
      </c>
      <c r="D244" s="1241" t="s">
        <v>18</v>
      </c>
      <c r="E244" s="1491"/>
      <c r="F244" s="1491"/>
      <c r="G244" s="1491"/>
      <c r="H244" s="1491"/>
      <c r="I244" s="1503"/>
      <c r="J244" s="1493"/>
      <c r="K244" s="1493"/>
      <c r="L244" s="1493"/>
      <c r="M244" s="1493"/>
      <c r="N244" s="1493"/>
      <c r="O244" s="1493"/>
      <c r="P244" s="1493"/>
      <c r="Q244" s="1493"/>
      <c r="R244" s="1493"/>
      <c r="S244" s="1493"/>
      <c r="T244" s="1490"/>
    </row>
    <row r="245" spans="1:20" ht="12.75">
      <c r="A245" s="1491"/>
      <c r="B245" s="1506"/>
      <c r="C245" s="1397">
        <v>16198</v>
      </c>
      <c r="D245" s="1241" t="s">
        <v>745</v>
      </c>
      <c r="E245" s="1491"/>
      <c r="F245" s="1491"/>
      <c r="G245" s="1491"/>
      <c r="H245" s="1491"/>
      <c r="I245" s="1503"/>
      <c r="J245" s="1493"/>
      <c r="K245" s="1493"/>
      <c r="L245" s="1493"/>
      <c r="M245" s="1493"/>
      <c r="N245" s="1493"/>
      <c r="O245" s="1493"/>
      <c r="P245" s="1493"/>
      <c r="Q245" s="1493"/>
      <c r="R245" s="1493"/>
      <c r="S245" s="1493"/>
      <c r="T245" s="1490"/>
    </row>
    <row r="246" spans="1:20" ht="12.75">
      <c r="A246" s="1491"/>
      <c r="B246" s="1506"/>
      <c r="C246" s="1397">
        <f>-150-10534.8</f>
        <v>-10684.8</v>
      </c>
      <c r="D246" s="1241" t="s">
        <v>745</v>
      </c>
      <c r="E246" s="1491"/>
      <c r="F246" s="1491"/>
      <c r="G246" s="1491"/>
      <c r="H246" s="1491"/>
      <c r="I246" s="1503"/>
      <c r="J246" s="1493"/>
      <c r="K246" s="1493"/>
      <c r="L246" s="1493"/>
      <c r="M246" s="1493"/>
      <c r="N246" s="1493"/>
      <c r="O246" s="1493"/>
      <c r="P246" s="1493"/>
      <c r="Q246" s="1493"/>
      <c r="R246" s="1493"/>
      <c r="S246" s="1493"/>
      <c r="T246" s="1490"/>
    </row>
    <row r="247" spans="1:20" ht="12.75">
      <c r="A247" s="1491"/>
      <c r="B247" s="1506"/>
      <c r="C247" s="1397">
        <v>1100</v>
      </c>
      <c r="D247" s="1241" t="s">
        <v>722</v>
      </c>
      <c r="E247" s="1491"/>
      <c r="F247" s="1491"/>
      <c r="G247" s="1491"/>
      <c r="H247" s="1491"/>
      <c r="I247" s="1503"/>
      <c r="J247" s="1493"/>
      <c r="K247" s="1493"/>
      <c r="L247" s="1493"/>
      <c r="M247" s="1493"/>
      <c r="N247" s="1493"/>
      <c r="O247" s="1493"/>
      <c r="P247" s="1493"/>
      <c r="Q247" s="1493"/>
      <c r="R247" s="1493"/>
      <c r="S247" s="1493"/>
      <c r="T247" s="1490"/>
    </row>
    <row r="248" spans="1:20" ht="12.75">
      <c r="A248" s="1491"/>
      <c r="B248" s="1506"/>
      <c r="C248" s="1397">
        <v>-3592</v>
      </c>
      <c r="D248" s="1241" t="s">
        <v>722</v>
      </c>
      <c r="E248" s="1491"/>
      <c r="F248" s="1491"/>
      <c r="G248" s="1491"/>
      <c r="H248" s="1491"/>
      <c r="I248" s="1503"/>
      <c r="J248" s="1493"/>
      <c r="K248" s="1493"/>
      <c r="L248" s="1493"/>
      <c r="M248" s="1493"/>
      <c r="N248" s="1493"/>
      <c r="O248" s="1493"/>
      <c r="P248" s="1493"/>
      <c r="Q248" s="1493"/>
      <c r="R248" s="1493"/>
      <c r="S248" s="1493"/>
      <c r="T248" s="1490"/>
    </row>
    <row r="249" spans="1:20" ht="12.75">
      <c r="A249" s="1491"/>
      <c r="B249" s="1506"/>
      <c r="C249" s="1397">
        <f>-29930.55+10534.8</f>
        <v>-19395.75</v>
      </c>
      <c r="D249" s="1241" t="s">
        <v>704</v>
      </c>
      <c r="E249" s="1491"/>
      <c r="F249" s="1491"/>
      <c r="G249" s="1491"/>
      <c r="H249" s="1491"/>
      <c r="I249" s="1503"/>
      <c r="J249" s="1493"/>
      <c r="K249" s="1493"/>
      <c r="L249" s="1493"/>
      <c r="M249" s="1493"/>
      <c r="N249" s="1493"/>
      <c r="O249" s="1493"/>
      <c r="P249" s="1493"/>
      <c r="Q249" s="1493"/>
      <c r="R249" s="1493"/>
      <c r="S249" s="1493"/>
      <c r="T249" s="1529">
        <f>-C249</f>
        <v>19395.75</v>
      </c>
    </row>
    <row r="250" spans="1:20" ht="12.75">
      <c r="A250" s="1491"/>
      <c r="B250" s="1506"/>
      <c r="C250" s="1397">
        <v>-10819</v>
      </c>
      <c r="D250" s="1241" t="s">
        <v>746</v>
      </c>
      <c r="E250" s="1491"/>
      <c r="F250" s="1491"/>
      <c r="G250" s="1491"/>
      <c r="H250" s="1491"/>
      <c r="I250" s="1503"/>
      <c r="J250" s="1493"/>
      <c r="K250" s="1492">
        <f>-C250</f>
        <v>10819</v>
      </c>
      <c r="L250" s="1493"/>
      <c r="M250" s="1493"/>
      <c r="N250" s="1493"/>
      <c r="O250" s="1493"/>
      <c r="P250" s="1493"/>
      <c r="Q250" s="1493"/>
      <c r="R250" s="1493"/>
      <c r="S250" s="1493"/>
      <c r="T250" s="1490"/>
    </row>
    <row r="251" spans="1:20" ht="12.75">
      <c r="A251" s="1491"/>
      <c r="B251" s="1506"/>
      <c r="C251" s="1397">
        <v>-2650</v>
      </c>
      <c r="D251" s="1241" t="s">
        <v>740</v>
      </c>
      <c r="E251" s="1491"/>
      <c r="F251" s="1491"/>
      <c r="G251" s="1491"/>
      <c r="H251" s="1491"/>
      <c r="I251" s="1503"/>
      <c r="J251" s="1492">
        <f>-C251</f>
        <v>2650</v>
      </c>
      <c r="K251" s="1493"/>
      <c r="L251" s="1493"/>
      <c r="M251" s="1493"/>
      <c r="N251" s="1493"/>
      <c r="O251" s="1493"/>
      <c r="P251" s="1493"/>
      <c r="Q251" s="1493"/>
      <c r="R251" s="1493"/>
      <c r="S251" s="1493"/>
      <c r="T251" s="1490"/>
    </row>
    <row r="252" spans="1:21" ht="12.75">
      <c r="A252" s="1491"/>
      <c r="B252" s="1506"/>
      <c r="C252" s="1397">
        <v>-5128.57</v>
      </c>
      <c r="D252" s="1241" t="s">
        <v>728</v>
      </c>
      <c r="E252" s="1491"/>
      <c r="F252" s="1491"/>
      <c r="G252" s="1491"/>
      <c r="H252" s="1491"/>
      <c r="I252" s="1503">
        <v>0</v>
      </c>
      <c r="J252" s="1493"/>
      <c r="K252" s="1493"/>
      <c r="L252" s="1493"/>
      <c r="M252" s="1493"/>
      <c r="N252" s="1493"/>
      <c r="O252" s="1493"/>
      <c r="P252" s="1493"/>
      <c r="Q252" s="1493"/>
      <c r="R252" s="1493"/>
      <c r="S252" s="1493"/>
      <c r="T252" s="1490"/>
      <c r="U252" s="1441">
        <f>-C252</f>
        <v>5128.57</v>
      </c>
    </row>
    <row r="253" spans="1:20" ht="12.75">
      <c r="A253" s="1491"/>
      <c r="B253" s="1510"/>
      <c r="C253" s="1515">
        <f>+SUM(C218:C252)</f>
        <v>-18420.2</v>
      </c>
      <c r="D253" s="1515" t="s">
        <v>257</v>
      </c>
      <c r="E253" s="1491"/>
      <c r="F253" s="1491"/>
      <c r="G253" s="1491"/>
      <c r="H253" s="1491"/>
      <c r="I253" s="1503"/>
      <c r="J253" s="1493"/>
      <c r="K253" s="1493"/>
      <c r="L253" s="1493"/>
      <c r="M253" s="1493"/>
      <c r="N253" s="1493"/>
      <c r="O253" s="1493"/>
      <c r="P253" s="1493"/>
      <c r="Q253" s="1493"/>
      <c r="R253" s="1493"/>
      <c r="S253" s="1493"/>
      <c r="T253" s="1490"/>
    </row>
    <row r="254" spans="1:20" ht="12.75">
      <c r="A254" s="1491"/>
      <c r="B254" s="1491"/>
      <c r="C254" s="1515"/>
      <c r="D254" s="1491"/>
      <c r="E254" s="1491"/>
      <c r="F254" s="1491"/>
      <c r="G254" s="1491"/>
      <c r="H254" s="1515"/>
      <c r="I254" s="1503"/>
      <c r="J254" s="1493"/>
      <c r="K254" s="1493"/>
      <c r="L254" s="1493"/>
      <c r="M254" s="1493"/>
      <c r="N254" s="1493"/>
      <c r="O254" s="1493"/>
      <c r="P254" s="1493"/>
      <c r="Q254" s="1493"/>
      <c r="R254" s="1493"/>
      <c r="S254" s="1493"/>
      <c r="T254" s="1490"/>
    </row>
    <row r="255" spans="1:20" ht="12.75">
      <c r="A255" s="1491"/>
      <c r="B255" s="1510"/>
      <c r="C255" s="1515"/>
      <c r="D255" s="1515"/>
      <c r="E255" s="1491"/>
      <c r="F255" s="1491"/>
      <c r="G255" s="1491"/>
      <c r="H255" s="1491"/>
      <c r="I255" s="1493"/>
      <c r="J255" s="1493"/>
      <c r="K255" s="1493"/>
      <c r="L255" s="1493"/>
      <c r="M255" s="1493"/>
      <c r="N255" s="1493"/>
      <c r="O255" s="1493"/>
      <c r="P255" s="1493"/>
      <c r="Q255" s="1493"/>
      <c r="R255" s="1493"/>
      <c r="S255" s="1493"/>
      <c r="T255" s="1490"/>
    </row>
    <row r="256" spans="1:20" ht="25.5">
      <c r="A256" s="1491"/>
      <c r="B256" s="1500">
        <v>1.4</v>
      </c>
      <c r="C256" s="1501" t="s">
        <v>587</v>
      </c>
      <c r="D256" s="1367" t="s">
        <v>592</v>
      </c>
      <c r="E256" s="1491"/>
      <c r="F256" s="1491"/>
      <c r="G256" s="1491"/>
      <c r="H256" s="1491"/>
      <c r="I256" s="1493"/>
      <c r="J256" s="1493"/>
      <c r="K256" s="1493"/>
      <c r="L256" s="1493"/>
      <c r="M256" s="1493"/>
      <c r="N256" s="1493"/>
      <c r="O256" s="1493"/>
      <c r="P256" s="1493"/>
      <c r="Q256" s="1493"/>
      <c r="R256" s="1493"/>
      <c r="S256" s="1493"/>
      <c r="T256" s="1490"/>
    </row>
    <row r="257" spans="1:20" ht="12.75">
      <c r="A257" s="1491"/>
      <c r="B257" s="1510"/>
      <c r="C257" s="1515"/>
      <c r="D257" s="1515"/>
      <c r="E257" s="1491"/>
      <c r="F257" s="1491"/>
      <c r="G257" s="1491"/>
      <c r="H257" s="1491"/>
      <c r="I257" s="1493"/>
      <c r="J257" s="1493"/>
      <c r="K257" s="1493"/>
      <c r="L257" s="1493"/>
      <c r="M257" s="1493"/>
      <c r="N257" s="1493"/>
      <c r="O257" s="1493"/>
      <c r="P257" s="1493"/>
      <c r="Q257" s="1493"/>
      <c r="R257" s="1493"/>
      <c r="S257" s="1493"/>
      <c r="T257" s="1490"/>
    </row>
    <row r="258" spans="1:20" ht="12.75">
      <c r="A258" s="1491"/>
      <c r="B258" s="1510"/>
      <c r="C258" s="1363">
        <v>-306</v>
      </c>
      <c r="D258" s="1331" t="s">
        <v>1033</v>
      </c>
      <c r="E258" s="1331"/>
      <c r="F258" s="1491"/>
      <c r="G258" s="1491"/>
      <c r="H258" s="1491"/>
      <c r="I258" s="1493"/>
      <c r="J258" s="1493"/>
      <c r="K258" s="1503"/>
      <c r="L258" s="1493"/>
      <c r="M258" s="1493"/>
      <c r="N258" s="1493"/>
      <c r="O258" s="1493"/>
      <c r="P258" s="1493"/>
      <c r="Q258" s="1493"/>
      <c r="R258" s="1493"/>
      <c r="S258" s="1493"/>
      <c r="T258" s="1490"/>
    </row>
    <row r="259" spans="1:20" ht="12.75">
      <c r="A259" s="1491"/>
      <c r="B259" s="1510"/>
      <c r="C259" s="1363">
        <v>-152.61</v>
      </c>
      <c r="D259" s="1331" t="s">
        <v>293</v>
      </c>
      <c r="E259" s="1363"/>
      <c r="F259" s="1491"/>
      <c r="G259" s="1491"/>
      <c r="H259" s="1491"/>
      <c r="I259" s="1493"/>
      <c r="J259" s="1503"/>
      <c r="K259" s="1493"/>
      <c r="L259" s="1493"/>
      <c r="M259" s="1493"/>
      <c r="N259" s="1493"/>
      <c r="O259" s="1493"/>
      <c r="P259" s="1493"/>
      <c r="Q259" s="1493"/>
      <c r="R259" s="1493"/>
      <c r="S259" s="1493"/>
      <c r="T259" s="1490"/>
    </row>
    <row r="260" spans="1:20" ht="12.75">
      <c r="A260" s="1491"/>
      <c r="B260" s="1510"/>
      <c r="C260" s="1363">
        <v>-25188.12</v>
      </c>
      <c r="D260" s="1331" t="s">
        <v>1036</v>
      </c>
      <c r="E260" s="1331"/>
      <c r="F260" s="1491"/>
      <c r="G260" s="1491"/>
      <c r="H260" s="1491"/>
      <c r="I260" s="1493"/>
      <c r="J260" s="1493"/>
      <c r="K260" s="1493"/>
      <c r="L260" s="1493"/>
      <c r="M260" s="1493"/>
      <c r="N260" s="1493"/>
      <c r="O260" s="1493"/>
      <c r="P260" s="1493"/>
      <c r="Q260" s="1493"/>
      <c r="R260" s="1493"/>
      <c r="S260" s="1493"/>
      <c r="T260" s="1490"/>
    </row>
    <row r="261" spans="1:20" ht="12.75">
      <c r="A261" s="1491"/>
      <c r="B261" s="1510"/>
      <c r="C261" s="1363">
        <v>-47.0800000000017</v>
      </c>
      <c r="D261" s="1331" t="s">
        <v>288</v>
      </c>
      <c r="E261" s="1331"/>
      <c r="F261" s="1491"/>
      <c r="G261" s="1491"/>
      <c r="H261" s="1491"/>
      <c r="I261" s="1493"/>
      <c r="J261" s="1493"/>
      <c r="K261" s="1493"/>
      <c r="L261" s="1493"/>
      <c r="M261" s="1493"/>
      <c r="N261" s="1493"/>
      <c r="O261" s="1493"/>
      <c r="P261" s="1493"/>
      <c r="Q261" s="1492">
        <v>47.0800000000017</v>
      </c>
      <c r="R261" s="1493"/>
      <c r="S261" s="1493"/>
      <c r="T261" s="1490"/>
    </row>
    <row r="262" spans="1:20" ht="12.75">
      <c r="A262" s="1491"/>
      <c r="B262" s="1510"/>
      <c r="C262" s="1365">
        <v>-19784.07</v>
      </c>
      <c r="D262" s="1331" t="s">
        <v>20</v>
      </c>
      <c r="E262" s="1368"/>
      <c r="F262" s="1491"/>
      <c r="G262" s="1491"/>
      <c r="H262" s="1491"/>
      <c r="I262" s="1493"/>
      <c r="J262" s="1493"/>
      <c r="K262" s="1493"/>
      <c r="L262" s="1493"/>
      <c r="M262" s="1493"/>
      <c r="N262" s="1493"/>
      <c r="O262" s="1493"/>
      <c r="P262" s="1493"/>
      <c r="Q262" s="1503"/>
      <c r="R262" s="1493"/>
      <c r="S262" s="1493"/>
      <c r="T262" s="1490"/>
    </row>
    <row r="263" spans="1:20" ht="12.75">
      <c r="A263" s="1491"/>
      <c r="B263" s="1510"/>
      <c r="C263" s="1365">
        <v>-6723.19</v>
      </c>
      <c r="D263" s="1331" t="s">
        <v>21</v>
      </c>
      <c r="E263" s="1368"/>
      <c r="F263" s="1491"/>
      <c r="G263" s="1491"/>
      <c r="H263" s="1491"/>
      <c r="I263" s="1493"/>
      <c r="J263" s="1493"/>
      <c r="K263" s="1493"/>
      <c r="L263" s="1493"/>
      <c r="M263" s="1493"/>
      <c r="N263" s="1493"/>
      <c r="O263" s="1493"/>
      <c r="P263" s="1493"/>
      <c r="Q263" s="1503"/>
      <c r="R263" s="1493"/>
      <c r="S263" s="1493"/>
      <c r="T263" s="1490"/>
    </row>
    <row r="264" spans="1:20" ht="12.75">
      <c r="A264" s="1491"/>
      <c r="B264" s="1510"/>
      <c r="C264" s="1365">
        <v>-1611.82</v>
      </c>
      <c r="D264" s="1331" t="s">
        <v>11</v>
      </c>
      <c r="E264" s="1363"/>
      <c r="F264" s="1491"/>
      <c r="G264" s="1491"/>
      <c r="H264" s="1491"/>
      <c r="I264" s="1493"/>
      <c r="J264" s="1493"/>
      <c r="K264" s="1493"/>
      <c r="L264" s="1493"/>
      <c r="M264" s="1493"/>
      <c r="N264" s="1493"/>
      <c r="O264" s="1493"/>
      <c r="P264" s="1493"/>
      <c r="Q264" s="1503"/>
      <c r="R264" s="1493"/>
      <c r="S264" s="1493"/>
      <c r="T264" s="1490"/>
    </row>
    <row r="265" spans="1:20" ht="12.75">
      <c r="A265" s="1491"/>
      <c r="B265" s="1510"/>
      <c r="C265" s="1331">
        <v>-1924.6</v>
      </c>
      <c r="D265" s="1331" t="s">
        <v>7</v>
      </c>
      <c r="E265" s="1363"/>
      <c r="F265" s="1491"/>
      <c r="G265" s="1491"/>
      <c r="H265" s="1491"/>
      <c r="I265" s="1493"/>
      <c r="J265" s="1493"/>
      <c r="K265" s="1493"/>
      <c r="L265" s="1493"/>
      <c r="M265" s="1493"/>
      <c r="N265" s="1493"/>
      <c r="O265" s="1493"/>
      <c r="P265" s="1493"/>
      <c r="Q265" s="1503"/>
      <c r="R265" s="1493"/>
      <c r="S265" s="1493"/>
      <c r="T265" s="1490"/>
    </row>
    <row r="266" spans="1:20" ht="12.75">
      <c r="A266" s="1491"/>
      <c r="B266" s="1510"/>
      <c r="C266" s="1331">
        <v>2520</v>
      </c>
      <c r="D266" s="1331" t="s">
        <v>23</v>
      </c>
      <c r="E266" s="1331"/>
      <c r="F266" s="1491"/>
      <c r="G266" s="1491"/>
      <c r="H266" s="1491"/>
      <c r="I266" s="1493"/>
      <c r="J266" s="1493"/>
      <c r="K266" s="1493"/>
      <c r="L266" s="1493"/>
      <c r="M266" s="1492"/>
      <c r="N266" s="1493"/>
      <c r="O266" s="1493"/>
      <c r="P266" s="1493"/>
      <c r="Q266" s="1503"/>
      <c r="R266" s="1493">
        <v>0.36</v>
      </c>
      <c r="S266" s="1493"/>
      <c r="T266" s="1490"/>
    </row>
    <row r="267" spans="1:20" ht="12.75">
      <c r="A267" s="1491"/>
      <c r="B267" s="1510"/>
      <c r="C267" s="1369">
        <v>-0.36</v>
      </c>
      <c r="D267" s="1331" t="s">
        <v>35</v>
      </c>
      <c r="E267" s="1331"/>
      <c r="F267" s="1491"/>
      <c r="G267" s="1491"/>
      <c r="H267" s="1491"/>
      <c r="I267" s="1493"/>
      <c r="J267" s="1493"/>
      <c r="K267" s="1493"/>
      <c r="L267" s="1493"/>
      <c r="M267" s="1493"/>
      <c r="N267" s="1493"/>
      <c r="O267" s="1493"/>
      <c r="P267" s="1493"/>
      <c r="Q267" s="1493"/>
      <c r="R267" s="1493"/>
      <c r="S267" s="1493"/>
      <c r="T267" s="1490"/>
    </row>
    <row r="268" spans="1:20" ht="12.75">
      <c r="A268" s="1491"/>
      <c r="B268" s="1510"/>
      <c r="C268" s="1363">
        <v>-0.93</v>
      </c>
      <c r="D268" s="1331" t="s">
        <v>530</v>
      </c>
      <c r="E268" s="1331"/>
      <c r="F268" s="1491"/>
      <c r="G268" s="1491"/>
      <c r="H268" s="1491"/>
      <c r="I268" s="1493"/>
      <c r="J268" s="1493"/>
      <c r="K268" s="1493"/>
      <c r="L268" s="1493"/>
      <c r="M268" s="1493"/>
      <c r="N268" s="1493"/>
      <c r="O268" s="1493"/>
      <c r="P268" s="1493"/>
      <c r="Q268" s="1493"/>
      <c r="R268" s="1493"/>
      <c r="S268" s="1493"/>
      <c r="T268" s="1490"/>
    </row>
    <row r="269" spans="1:20" ht="12.75">
      <c r="A269" s="1491"/>
      <c r="B269" s="1510"/>
      <c r="C269" s="1441">
        <v>10794.2</v>
      </c>
      <c r="D269" t="s">
        <v>721</v>
      </c>
      <c r="E269" s="1513"/>
      <c r="F269" s="1491"/>
      <c r="G269" s="1491"/>
      <c r="H269" s="1491"/>
      <c r="I269" s="1493"/>
      <c r="J269" s="1493"/>
      <c r="K269" s="1493"/>
      <c r="L269" s="1493"/>
      <c r="M269" s="1493"/>
      <c r="N269" s="1493"/>
      <c r="O269" s="1493"/>
      <c r="P269" s="1493"/>
      <c r="Q269" s="1493"/>
      <c r="R269" s="1493"/>
      <c r="S269" s="1493"/>
      <c r="T269" s="1490"/>
    </row>
    <row r="270" spans="1:20" ht="12.75">
      <c r="A270" s="1491"/>
      <c r="B270" s="1510"/>
      <c r="C270" s="1441">
        <v>-18132.7</v>
      </c>
      <c r="D270" t="s">
        <v>721</v>
      </c>
      <c r="E270" s="1513"/>
      <c r="F270" s="1491"/>
      <c r="G270" s="1491"/>
      <c r="H270" s="1491"/>
      <c r="I270" s="1493"/>
      <c r="J270" s="1493"/>
      <c r="K270" s="1493"/>
      <c r="L270" s="1493"/>
      <c r="M270" s="1493"/>
      <c r="N270" s="1493"/>
      <c r="O270" s="1493"/>
      <c r="P270" s="1493"/>
      <c r="Q270" s="1493"/>
      <c r="R270" s="1493"/>
      <c r="S270" s="1493"/>
      <c r="T270" s="1490"/>
    </row>
    <row r="271" spans="1:20" ht="12.75">
      <c r="A271" s="1491"/>
      <c r="B271" s="1510"/>
      <c r="C271" s="1327">
        <v>-49645.01</v>
      </c>
      <c r="D271" t="s">
        <v>704</v>
      </c>
      <c r="E271" s="1496"/>
      <c r="F271" s="1491"/>
      <c r="G271" s="1491"/>
      <c r="H271" s="1491"/>
      <c r="I271" s="1493"/>
      <c r="J271" s="1493"/>
      <c r="K271" s="1493"/>
      <c r="L271" s="1493"/>
      <c r="M271" s="1493"/>
      <c r="N271" s="1493"/>
      <c r="O271" s="1493"/>
      <c r="P271" s="1493"/>
      <c r="Q271" s="1493"/>
      <c r="R271" s="1493"/>
      <c r="S271" s="1493"/>
      <c r="T271" s="1526">
        <f>-C271</f>
        <v>49645.01</v>
      </c>
    </row>
    <row r="272" spans="1:20" ht="12.75">
      <c r="A272" s="1491"/>
      <c r="B272" s="1510"/>
      <c r="C272" s="1441">
        <v>-2285</v>
      </c>
      <c r="D272" t="s">
        <v>722</v>
      </c>
      <c r="E272" s="1491"/>
      <c r="F272" s="1491"/>
      <c r="G272" s="1491"/>
      <c r="H272" s="1491"/>
      <c r="I272" s="1493"/>
      <c r="J272" s="1493"/>
      <c r="K272" s="1493"/>
      <c r="L272" s="1493"/>
      <c r="M272" s="1493"/>
      <c r="N272" s="1493"/>
      <c r="O272" s="1493"/>
      <c r="P272" s="1493"/>
      <c r="Q272" s="1493"/>
      <c r="R272" s="1493"/>
      <c r="S272" s="1493"/>
      <c r="T272" s="1490"/>
    </row>
    <row r="273" spans="1:20" ht="12.75">
      <c r="A273" s="1491"/>
      <c r="B273" s="1510"/>
      <c r="C273" s="1441">
        <v>-3994.3</v>
      </c>
      <c r="D273" t="s">
        <v>725</v>
      </c>
      <c r="E273" s="1496"/>
      <c r="F273" s="1491"/>
      <c r="G273" s="1491"/>
      <c r="H273" s="1491"/>
      <c r="I273" s="1493"/>
      <c r="J273" s="1493"/>
      <c r="K273" s="1492">
        <f>-C273</f>
        <v>3994.3</v>
      </c>
      <c r="L273" s="1493"/>
      <c r="M273" s="1493"/>
      <c r="N273" s="1493"/>
      <c r="O273" s="1493"/>
      <c r="P273" s="1493"/>
      <c r="Q273" s="1493"/>
      <c r="R273" s="1493"/>
      <c r="S273" s="1493"/>
      <c r="T273" s="1490"/>
    </row>
    <row r="274" spans="1:20" ht="12.75">
      <c r="A274" s="1491"/>
      <c r="B274" s="1510"/>
      <c r="C274" s="1327">
        <v>-4111.7</v>
      </c>
      <c r="D274" t="s">
        <v>740</v>
      </c>
      <c r="E274" s="1491"/>
      <c r="F274" s="1491"/>
      <c r="G274" s="1491"/>
      <c r="H274" s="1491"/>
      <c r="I274" s="1493"/>
      <c r="J274" s="1511">
        <f>-C274</f>
        <v>4111.7</v>
      </c>
      <c r="K274" s="1493"/>
      <c r="L274" s="1493"/>
      <c r="M274" s="1493"/>
      <c r="N274" s="1493"/>
      <c r="O274" s="1493"/>
      <c r="P274" s="1493"/>
      <c r="Q274" s="1493"/>
      <c r="R274" s="1493"/>
      <c r="S274" s="1493"/>
      <c r="T274" s="1490"/>
    </row>
    <row r="275" spans="1:20" ht="12.75">
      <c r="A275" s="1491"/>
      <c r="B275" s="1510"/>
      <c r="C275" s="1327">
        <v>-0.3</v>
      </c>
      <c r="D275" t="s">
        <v>264</v>
      </c>
      <c r="E275" s="1491"/>
      <c r="F275" s="1491"/>
      <c r="G275" s="1491"/>
      <c r="H275" s="1491"/>
      <c r="I275" s="1493"/>
      <c r="J275" s="1493"/>
      <c r="K275" s="1493"/>
      <c r="L275" s="1493"/>
      <c r="M275" s="1493"/>
      <c r="N275" s="1493"/>
      <c r="O275" s="1493"/>
      <c r="P275" s="1493"/>
      <c r="Q275" s="1493"/>
      <c r="R275" s="1493"/>
      <c r="S275" s="1493"/>
      <c r="T275" s="1490"/>
    </row>
    <row r="276" spans="1:20" ht="12.75">
      <c r="A276" s="1491"/>
      <c r="B276" s="1510"/>
      <c r="C276" s="1496">
        <f>+SUM(C258:C275)</f>
        <v>-120593.59000000001</v>
      </c>
      <c r="D276" s="1491" t="s">
        <v>257</v>
      </c>
      <c r="E276" s="1491"/>
      <c r="F276" s="1491"/>
      <c r="G276" s="1491"/>
      <c r="H276" s="1491"/>
      <c r="I276" s="1493"/>
      <c r="J276" s="1493"/>
      <c r="K276" s="1493"/>
      <c r="L276" s="1493"/>
      <c r="M276" s="1493"/>
      <c r="N276" s="1493"/>
      <c r="O276" s="1493"/>
      <c r="P276" s="1493"/>
      <c r="Q276" s="1493"/>
      <c r="R276" s="1493"/>
      <c r="S276" s="1493"/>
      <c r="T276" s="1490"/>
    </row>
    <row r="277" spans="1:20" ht="12.75">
      <c r="A277" s="1491"/>
      <c r="B277" s="1497"/>
      <c r="C277" s="1531"/>
      <c r="D277" s="1491"/>
      <c r="E277" s="1491"/>
      <c r="F277" s="1491"/>
      <c r="G277" s="1491"/>
      <c r="H277" s="1491"/>
      <c r="I277" s="1493"/>
      <c r="J277" s="1493"/>
      <c r="K277" s="1493"/>
      <c r="L277" s="1493"/>
      <c r="M277" s="1493"/>
      <c r="N277" s="1493"/>
      <c r="O277" s="1493"/>
      <c r="P277" s="1493"/>
      <c r="Q277" s="1493"/>
      <c r="R277" s="1493"/>
      <c r="S277" s="1493"/>
      <c r="T277" s="1490"/>
    </row>
    <row r="278" spans="1:20" ht="38.25">
      <c r="A278" s="1491"/>
      <c r="B278" s="1500">
        <v>1.6</v>
      </c>
      <c r="C278" s="1501" t="s">
        <v>584</v>
      </c>
      <c r="D278" s="1521" t="s">
        <v>589</v>
      </c>
      <c r="E278" s="1491"/>
      <c r="F278" s="1491"/>
      <c r="G278" s="1491"/>
      <c r="H278" s="1491"/>
      <c r="I278" s="1493"/>
      <c r="J278" s="1493"/>
      <c r="K278" s="1493"/>
      <c r="L278" s="1493"/>
      <c r="M278" s="1493"/>
      <c r="N278" s="1493"/>
      <c r="O278" s="1493"/>
      <c r="P278" s="1493"/>
      <c r="Q278" s="1493"/>
      <c r="R278" s="1493"/>
      <c r="S278" s="1493"/>
      <c r="T278" s="1490"/>
    </row>
    <row r="279" spans="1:20" ht="12.75">
      <c r="A279" s="1491"/>
      <c r="B279" s="1510"/>
      <c r="C279" s="1512"/>
      <c r="D279" s="1491"/>
      <c r="E279" s="1491"/>
      <c r="F279" s="1491"/>
      <c r="G279" s="1491"/>
      <c r="H279" s="1491"/>
      <c r="I279" s="1493"/>
      <c r="J279" s="1493"/>
      <c r="K279" s="1493"/>
      <c r="L279" s="1493"/>
      <c r="M279" s="1493"/>
      <c r="N279" s="1493"/>
      <c r="O279" s="1493"/>
      <c r="P279" s="1493"/>
      <c r="Q279" s="1493"/>
      <c r="R279" s="1493"/>
      <c r="S279" s="1493"/>
      <c r="T279" s="1490"/>
    </row>
    <row r="280" spans="1:20" ht="12.75">
      <c r="A280" s="1491"/>
      <c r="B280" s="1510"/>
      <c r="C280" s="1531">
        <v>-12337.5</v>
      </c>
      <c r="D280" s="1491" t="s">
        <v>334</v>
      </c>
      <c r="E280" s="1491"/>
      <c r="F280" s="1491"/>
      <c r="G280" s="1491"/>
      <c r="H280" s="1491"/>
      <c r="I280" s="1493"/>
      <c r="J280" s="1493"/>
      <c r="K280" s="1493"/>
      <c r="L280" s="1493"/>
      <c r="M280" s="1493"/>
      <c r="N280" s="1493"/>
      <c r="O280" s="1493"/>
      <c r="P280" s="1493"/>
      <c r="Q280" s="1493"/>
      <c r="R280" s="1493"/>
      <c r="S280" s="1493"/>
      <c r="T280" s="1490"/>
    </row>
    <row r="281" spans="1:20" ht="12.75">
      <c r="A281" s="1491"/>
      <c r="B281" s="1510"/>
      <c r="C281" s="1531">
        <v>-285</v>
      </c>
      <c r="D281" s="1491" t="s">
        <v>327</v>
      </c>
      <c r="E281" s="1491"/>
      <c r="F281" s="1491"/>
      <c r="G281" s="1491"/>
      <c r="H281" s="1491"/>
      <c r="I281" s="1493"/>
      <c r="J281" s="1493"/>
      <c r="K281" s="1493"/>
      <c r="L281" s="1493"/>
      <c r="M281" s="1493"/>
      <c r="N281" s="1511">
        <v>285</v>
      </c>
      <c r="O281" s="1493"/>
      <c r="P281" s="1493"/>
      <c r="Q281" s="1493"/>
      <c r="R281" s="1493"/>
      <c r="S281" s="1493"/>
      <c r="T281" s="1490"/>
    </row>
    <row r="282" spans="1:20" ht="12.75">
      <c r="A282" s="1491"/>
      <c r="B282" s="1491"/>
      <c r="C282" s="1531">
        <v>-1458</v>
      </c>
      <c r="D282" s="1491" t="s">
        <v>335</v>
      </c>
      <c r="E282" s="1491"/>
      <c r="F282" s="1491"/>
      <c r="G282" s="1491"/>
      <c r="H282" s="1491"/>
      <c r="I282" s="1493"/>
      <c r="J282" s="1493"/>
      <c r="K282" s="1493"/>
      <c r="L282" s="1493"/>
      <c r="M282" s="1493"/>
      <c r="N282" s="1493"/>
      <c r="O282" s="1493"/>
      <c r="P282" s="1493"/>
      <c r="Q282" s="1493"/>
      <c r="R282" s="1493"/>
      <c r="S282" s="1493"/>
      <c r="T282" s="1490"/>
    </row>
    <row r="283" spans="1:20" ht="12.75">
      <c r="A283" s="1491"/>
      <c r="B283" s="1491"/>
      <c r="C283" s="1531">
        <v>-11684.66</v>
      </c>
      <c r="D283" s="1507" t="s">
        <v>336</v>
      </c>
      <c r="E283" s="1491"/>
      <c r="F283" s="1491"/>
      <c r="G283" s="1491"/>
      <c r="H283" s="1491"/>
      <c r="I283" s="1493"/>
      <c r="J283" s="1493"/>
      <c r="K283" s="1493"/>
      <c r="L283" s="1493"/>
      <c r="M283" s="1493"/>
      <c r="N283" s="1493"/>
      <c r="O283" s="1493"/>
      <c r="P283" s="1493"/>
      <c r="Q283" s="1493"/>
      <c r="R283" s="1493"/>
      <c r="S283" s="1493"/>
      <c r="T283" s="1490"/>
    </row>
    <row r="284" spans="1:20" ht="12.75">
      <c r="A284" s="1491"/>
      <c r="B284" s="1491"/>
      <c r="C284" s="1531">
        <v>-4443.81</v>
      </c>
      <c r="D284" s="1507" t="s">
        <v>337</v>
      </c>
      <c r="E284" s="1491"/>
      <c r="F284" s="1491"/>
      <c r="G284" s="1491"/>
      <c r="H284" s="1491"/>
      <c r="I284" s="1493"/>
      <c r="J284" s="1493"/>
      <c r="K284" s="1493"/>
      <c r="L284" s="1493"/>
      <c r="M284" s="1493"/>
      <c r="N284" s="1493"/>
      <c r="O284" s="1511">
        <v>4443.81</v>
      </c>
      <c r="P284" s="1493"/>
      <c r="Q284" s="1493"/>
      <c r="R284" s="1493"/>
      <c r="S284" s="1493"/>
      <c r="T284" s="1490"/>
    </row>
    <row r="285" spans="1:20" ht="12.75">
      <c r="A285" s="1491"/>
      <c r="B285" s="1491"/>
      <c r="C285" s="1531">
        <v>22351.49</v>
      </c>
      <c r="D285" s="1507" t="s">
        <v>338</v>
      </c>
      <c r="E285" s="1491"/>
      <c r="F285" s="1491"/>
      <c r="G285" s="1491"/>
      <c r="H285" s="1491"/>
      <c r="I285" s="1493"/>
      <c r="J285" s="1493"/>
      <c r="K285" s="1493"/>
      <c r="L285" s="1493"/>
      <c r="M285" s="1493"/>
      <c r="N285" s="1493"/>
      <c r="O285" s="1493"/>
      <c r="P285" s="1493"/>
      <c r="Q285" s="1493"/>
      <c r="R285" s="1493"/>
      <c r="S285" s="1493"/>
      <c r="T285" s="1490"/>
    </row>
    <row r="286" spans="1:20" ht="12.75">
      <c r="A286" s="1491"/>
      <c r="B286" s="1491"/>
      <c r="C286" s="1531">
        <v>2007.5</v>
      </c>
      <c r="D286" s="1507" t="s">
        <v>339</v>
      </c>
      <c r="E286" s="1491"/>
      <c r="F286" s="1491"/>
      <c r="G286" s="1491"/>
      <c r="H286" s="1491"/>
      <c r="I286" s="1493"/>
      <c r="J286" s="1493"/>
      <c r="K286" s="1493"/>
      <c r="L286" s="1493"/>
      <c r="M286" s="1493"/>
      <c r="N286" s="1493"/>
      <c r="O286" s="1493"/>
      <c r="P286" s="1493"/>
      <c r="Q286" s="1493"/>
      <c r="R286" s="1493"/>
      <c r="S286" s="1493"/>
      <c r="T286" s="1490"/>
    </row>
    <row r="287" spans="1:20" ht="12.75">
      <c r="A287" s="1491"/>
      <c r="B287" s="1491"/>
      <c r="C287" s="1531">
        <v>-5849.98</v>
      </c>
      <c r="D287" s="1491" t="s">
        <v>340</v>
      </c>
      <c r="E287" s="1491"/>
      <c r="F287" s="1491"/>
      <c r="G287" s="1491"/>
      <c r="H287" s="1491"/>
      <c r="I287" s="1493"/>
      <c r="J287" s="1493"/>
      <c r="K287" s="1493"/>
      <c r="L287" s="1493"/>
      <c r="M287" s="1493"/>
      <c r="N287" s="1493"/>
      <c r="O287" s="1493"/>
      <c r="P287" s="1493"/>
      <c r="Q287" s="1493"/>
      <c r="R287" s="1493"/>
      <c r="S287" s="1493"/>
      <c r="T287" s="1490"/>
    </row>
    <row r="288" spans="1:20" ht="12.75">
      <c r="A288" s="1491"/>
      <c r="B288" s="1491"/>
      <c r="C288" s="1531"/>
      <c r="D288" s="1491"/>
      <c r="E288" s="1491"/>
      <c r="F288" s="1491"/>
      <c r="G288" s="1491"/>
      <c r="H288" s="1491"/>
      <c r="I288" s="1493"/>
      <c r="J288" s="1493"/>
      <c r="K288" s="1493"/>
      <c r="L288" s="1493"/>
      <c r="M288" s="1493"/>
      <c r="N288" s="1493"/>
      <c r="O288" s="1493"/>
      <c r="P288" s="1493"/>
      <c r="Q288" s="1493"/>
      <c r="R288" s="1493"/>
      <c r="S288" s="1493"/>
      <c r="T288" s="1490"/>
    </row>
    <row r="289" spans="1:20" ht="12.75">
      <c r="A289" s="1491"/>
      <c r="B289" s="1532"/>
      <c r="C289" s="1532"/>
      <c r="D289" s="1532"/>
      <c r="E289" s="1532"/>
      <c r="F289" s="1532"/>
      <c r="G289" s="1491"/>
      <c r="H289" s="1491"/>
      <c r="I289" s="1493"/>
      <c r="J289" s="1493"/>
      <c r="K289" s="1493"/>
      <c r="L289" s="1493"/>
      <c r="M289" s="1493"/>
      <c r="N289" s="1493"/>
      <c r="O289" s="1493"/>
      <c r="P289" s="1493"/>
      <c r="Q289" s="1493"/>
      <c r="R289" s="1493"/>
      <c r="S289" s="1493"/>
      <c r="T289" s="1490"/>
    </row>
    <row r="290" spans="1:20" ht="25.5">
      <c r="A290" s="1491"/>
      <c r="B290" s="1500">
        <v>2.1</v>
      </c>
      <c r="C290" s="1501" t="s">
        <v>584</v>
      </c>
      <c r="D290" s="1521" t="s">
        <v>594</v>
      </c>
      <c r="E290" s="1491"/>
      <c r="F290" s="1491"/>
      <c r="G290" s="1491"/>
      <c r="H290" s="1491"/>
      <c r="I290" s="1493"/>
      <c r="J290" s="1493"/>
      <c r="K290" s="1493"/>
      <c r="L290" s="1493"/>
      <c r="M290" s="1493"/>
      <c r="N290" s="1493"/>
      <c r="O290" s="1493"/>
      <c r="P290" s="1493"/>
      <c r="Q290" s="1493"/>
      <c r="R290" s="1493"/>
      <c r="S290" s="1493"/>
      <c r="T290" s="1490"/>
    </row>
    <row r="291" spans="1:20" ht="12.75">
      <c r="A291" s="1491"/>
      <c r="B291" s="1491"/>
      <c r="C291" s="1491"/>
      <c r="D291" s="1491"/>
      <c r="E291" s="1491"/>
      <c r="F291" s="1491"/>
      <c r="G291" s="1491"/>
      <c r="H291" s="1491"/>
      <c r="I291" s="1493"/>
      <c r="J291" s="1503"/>
      <c r="K291" s="1493"/>
      <c r="L291" s="1493"/>
      <c r="M291" s="1493"/>
      <c r="N291" s="1493"/>
      <c r="O291" s="1493"/>
      <c r="P291" s="1493"/>
      <c r="Q291" s="1493"/>
      <c r="R291" s="1493"/>
      <c r="S291" s="1493"/>
      <c r="T291" s="1490"/>
    </row>
    <row r="292" spans="1:20" ht="12.75">
      <c r="A292" s="1491"/>
      <c r="B292" s="1491"/>
      <c r="C292" s="1531">
        <v>-314.76</v>
      </c>
      <c r="D292" s="1491" t="s">
        <v>341</v>
      </c>
      <c r="E292" s="1491"/>
      <c r="F292" s="1491"/>
      <c r="G292" s="1491"/>
      <c r="H292" s="1491"/>
      <c r="I292" s="1493"/>
      <c r="J292" s="1493"/>
      <c r="K292" s="1493"/>
      <c r="L292" s="1493"/>
      <c r="M292" s="1493"/>
      <c r="N292" s="1493"/>
      <c r="O292" s="1493"/>
      <c r="P292" s="1493"/>
      <c r="Q292" s="1493"/>
      <c r="R292" s="1493"/>
      <c r="S292" s="1493"/>
      <c r="T292" s="1490"/>
    </row>
    <row r="293" spans="1:20" ht="12.75">
      <c r="A293" s="1491"/>
      <c r="B293" s="1491"/>
      <c r="C293" s="1531">
        <v>-5904.5</v>
      </c>
      <c r="D293" s="1371" t="s">
        <v>1002</v>
      </c>
      <c r="E293" s="1491"/>
      <c r="F293" s="1491"/>
      <c r="G293" s="1491"/>
      <c r="H293" s="1491"/>
      <c r="I293" s="1493"/>
      <c r="J293" s="1493"/>
      <c r="K293" s="1493"/>
      <c r="L293" s="1493"/>
      <c r="M293" s="1493"/>
      <c r="N293" s="1492">
        <v>5184.5</v>
      </c>
      <c r="O293" s="1493"/>
      <c r="P293" s="1493"/>
      <c r="Q293" s="1493"/>
      <c r="R293" s="1493"/>
      <c r="S293" s="1493"/>
      <c r="T293" s="1490"/>
    </row>
    <row r="294" spans="1:20" ht="12.75">
      <c r="A294" s="1491"/>
      <c r="B294" s="1491"/>
      <c r="C294" s="1531">
        <v>-481.82</v>
      </c>
      <c r="D294" s="1491" t="s">
        <v>328</v>
      </c>
      <c r="E294" s="1491"/>
      <c r="F294" s="1491"/>
      <c r="G294" s="1491"/>
      <c r="H294" s="1491"/>
      <c r="I294" s="1493"/>
      <c r="J294" s="1493"/>
      <c r="K294" s="1493"/>
      <c r="L294" s="1493"/>
      <c r="M294" s="1493"/>
      <c r="N294" s="1493"/>
      <c r="O294" s="1493"/>
      <c r="P294" s="1493"/>
      <c r="Q294" s="1493"/>
      <c r="R294" s="1493"/>
      <c r="S294" s="1493"/>
      <c r="T294" s="1490"/>
    </row>
    <row r="295" spans="1:20" ht="12.75">
      <c r="A295" s="1491"/>
      <c r="B295" s="1491"/>
      <c r="C295" s="1531">
        <v>-6653.61</v>
      </c>
      <c r="D295" s="1491" t="s">
        <v>343</v>
      </c>
      <c r="E295" s="1491"/>
      <c r="F295" s="1491"/>
      <c r="G295" s="1491"/>
      <c r="H295" s="1491"/>
      <c r="I295" s="1493"/>
      <c r="J295" s="1493"/>
      <c r="K295" s="1493"/>
      <c r="L295" s="1493"/>
      <c r="M295" s="1493"/>
      <c r="N295" s="1493"/>
      <c r="O295" s="1493"/>
      <c r="P295" s="1493"/>
      <c r="Q295" s="1493"/>
      <c r="R295" s="1493"/>
      <c r="S295" s="1493"/>
      <c r="T295" s="1490"/>
    </row>
    <row r="296" spans="1:20" ht="12.75">
      <c r="A296" s="1491"/>
      <c r="B296" s="1491"/>
      <c r="C296" s="1531">
        <v>-68.08</v>
      </c>
      <c r="D296" s="1507" t="s">
        <v>344</v>
      </c>
      <c r="E296" s="1491"/>
      <c r="F296" s="1491"/>
      <c r="G296" s="1491"/>
      <c r="H296" s="1491"/>
      <c r="I296" s="1493"/>
      <c r="J296" s="1493"/>
      <c r="K296" s="1493"/>
      <c r="L296" s="1493"/>
      <c r="M296" s="1493"/>
      <c r="N296" s="1493"/>
      <c r="O296" s="1511">
        <v>68.08</v>
      </c>
      <c r="P296" s="1493"/>
      <c r="Q296" s="1493"/>
      <c r="R296" s="1493"/>
      <c r="S296" s="1493"/>
      <c r="T296" s="1490"/>
    </row>
    <row r="297" spans="1:20" ht="12.75">
      <c r="A297" s="1491"/>
      <c r="B297" s="1491"/>
      <c r="C297" s="1531">
        <v>-600</v>
      </c>
      <c r="D297" s="1507" t="s">
        <v>302</v>
      </c>
      <c r="E297" s="1491"/>
      <c r="F297" s="1491"/>
      <c r="G297" s="1491"/>
      <c r="H297" s="1491"/>
      <c r="I297" s="1493"/>
      <c r="J297" s="1493"/>
      <c r="K297" s="1493"/>
      <c r="L297" s="1493"/>
      <c r="M297" s="1493"/>
      <c r="N297" s="1493"/>
      <c r="O297" s="1493"/>
      <c r="P297" s="1493"/>
      <c r="Q297" s="1493"/>
      <c r="R297" s="1493"/>
      <c r="S297" s="1493"/>
      <c r="T297" s="1490"/>
    </row>
    <row r="298" spans="1:20" ht="12.75">
      <c r="A298" s="1491"/>
      <c r="B298" s="1491"/>
      <c r="C298" s="1531">
        <v>0.03</v>
      </c>
      <c r="D298" s="1507" t="s">
        <v>530</v>
      </c>
      <c r="E298" s="1491"/>
      <c r="F298" s="1491"/>
      <c r="G298" s="1491"/>
      <c r="H298" s="1491"/>
      <c r="I298" s="1493"/>
      <c r="J298" s="1493"/>
      <c r="K298" s="1493"/>
      <c r="L298" s="1493"/>
      <c r="M298" s="1493"/>
      <c r="N298" s="1493"/>
      <c r="O298" s="1493"/>
      <c r="P298" s="1493"/>
      <c r="Q298" s="1493"/>
      <c r="R298" s="1493"/>
      <c r="S298" s="1493"/>
      <c r="T298" s="1490"/>
    </row>
    <row r="299" spans="1:20" ht="12.75">
      <c r="A299" s="1491"/>
      <c r="B299" s="1531"/>
      <c r="C299" s="1506">
        <v>-4128.1</v>
      </c>
      <c r="D299" s="1491" t="s">
        <v>1025</v>
      </c>
      <c r="E299" s="1491"/>
      <c r="F299" s="1491"/>
      <c r="G299" s="1491"/>
      <c r="H299" s="1491"/>
      <c r="I299" s="1493"/>
      <c r="J299" s="1493"/>
      <c r="K299" s="1493"/>
      <c r="L299" s="1493"/>
      <c r="M299" s="1493"/>
      <c r="N299" s="1493"/>
      <c r="O299" s="1493"/>
      <c r="P299" s="1493"/>
      <c r="Q299" s="1493"/>
      <c r="R299" s="1493"/>
      <c r="S299" s="1493"/>
      <c r="T299" s="1490"/>
    </row>
    <row r="300" spans="1:20" ht="12.75">
      <c r="A300" s="1491"/>
      <c r="B300" s="1491"/>
      <c r="C300" s="1506">
        <v>-4638.91</v>
      </c>
      <c r="D300" s="1491" t="s">
        <v>1039</v>
      </c>
      <c r="E300" s="1491"/>
      <c r="F300" s="1491"/>
      <c r="G300" s="1491"/>
      <c r="H300" s="1491"/>
      <c r="I300" s="1493"/>
      <c r="J300" s="1493"/>
      <c r="K300" s="1493"/>
      <c r="L300" s="1493"/>
      <c r="M300" s="1493"/>
      <c r="N300" s="1493"/>
      <c r="O300" s="1493"/>
      <c r="P300" s="1493"/>
      <c r="Q300" s="1493"/>
      <c r="R300" s="1493"/>
      <c r="S300" s="1493"/>
      <c r="T300" s="1490"/>
    </row>
    <row r="301" spans="1:20" ht="12.75">
      <c r="A301" s="1491"/>
      <c r="B301" s="1491"/>
      <c r="C301" s="1506">
        <v>-1381.02</v>
      </c>
      <c r="D301" s="1491" t="s">
        <v>1032</v>
      </c>
      <c r="E301" s="1491"/>
      <c r="F301" s="1491"/>
      <c r="G301" s="1491"/>
      <c r="H301" s="1491"/>
      <c r="I301" s="1493"/>
      <c r="J301" s="1493"/>
      <c r="K301" s="1493"/>
      <c r="L301" s="1493"/>
      <c r="M301" s="1493"/>
      <c r="N301" s="1493"/>
      <c r="O301" s="1493"/>
      <c r="P301" s="1493"/>
      <c r="Q301" s="1493"/>
      <c r="R301" s="1493"/>
      <c r="S301" s="1493"/>
      <c r="T301" s="1490"/>
    </row>
    <row r="302" spans="1:20" ht="12.75">
      <c r="A302" s="1491"/>
      <c r="B302" s="1491"/>
      <c r="C302" s="1506">
        <v>-59.1999999999971</v>
      </c>
      <c r="D302" s="1491" t="s">
        <v>288</v>
      </c>
      <c r="E302" s="1491"/>
      <c r="F302" s="1491"/>
      <c r="G302" s="1491"/>
      <c r="H302" s="1491"/>
      <c r="I302" s="1493"/>
      <c r="J302" s="1493"/>
      <c r="K302" s="1493"/>
      <c r="L302" s="1493"/>
      <c r="M302" s="1493"/>
      <c r="N302" s="1493"/>
      <c r="O302" s="1493"/>
      <c r="P302" s="1493"/>
      <c r="Q302" s="1492">
        <v>59.1999999999971</v>
      </c>
      <c r="R302" s="1493"/>
      <c r="S302" s="1493"/>
      <c r="T302" s="1490"/>
    </row>
    <row r="303" spans="1:20" ht="12.75">
      <c r="A303" s="1491"/>
      <c r="B303" s="1491"/>
      <c r="C303" s="1506">
        <v>-4849.19</v>
      </c>
      <c r="D303" s="1491" t="s">
        <v>1037</v>
      </c>
      <c r="E303" s="1491"/>
      <c r="F303" s="1491"/>
      <c r="G303" s="1491"/>
      <c r="H303" s="1491"/>
      <c r="I303" s="1493"/>
      <c r="J303" s="1493"/>
      <c r="K303" s="1493"/>
      <c r="L303" s="1493"/>
      <c r="M303" s="1493"/>
      <c r="N303" s="1493"/>
      <c r="O303" s="1493"/>
      <c r="P303" s="1493"/>
      <c r="Q303" s="1493"/>
      <c r="R303" s="1493"/>
      <c r="S303" s="1493"/>
      <c r="T303" s="1490"/>
    </row>
    <row r="304" spans="1:20" ht="12.75">
      <c r="A304" s="1491"/>
      <c r="B304" s="1491"/>
      <c r="C304" s="1506">
        <v>314.76</v>
      </c>
      <c r="D304" s="1491" t="s">
        <v>995</v>
      </c>
      <c r="E304" s="1491"/>
      <c r="F304" s="1491"/>
      <c r="G304" s="1491"/>
      <c r="H304" s="1491"/>
      <c r="I304" s="1493"/>
      <c r="J304" s="1493"/>
      <c r="K304" s="1493"/>
      <c r="L304" s="1493"/>
      <c r="M304" s="1493"/>
      <c r="N304" s="1493"/>
      <c r="O304" s="1493"/>
      <c r="P304" s="1493"/>
      <c r="Q304" s="1493"/>
      <c r="R304" s="1493"/>
      <c r="S304" s="1493"/>
      <c r="T304" s="1490"/>
    </row>
    <row r="305" spans="1:20" ht="12.75">
      <c r="A305" s="1491"/>
      <c r="B305" s="1491"/>
      <c r="C305" s="1506">
        <v>23728.1</v>
      </c>
      <c r="D305" s="1491" t="s">
        <v>1032</v>
      </c>
      <c r="E305" s="1491"/>
      <c r="F305" s="1491"/>
      <c r="G305" s="1491"/>
      <c r="H305" s="1491"/>
      <c r="I305" s="1493"/>
      <c r="J305" s="1493"/>
      <c r="K305" s="1493"/>
      <c r="L305" s="1493"/>
      <c r="M305" s="1493"/>
      <c r="N305" s="1493"/>
      <c r="O305" s="1493"/>
      <c r="P305" s="1493"/>
      <c r="Q305" s="1493"/>
      <c r="R305" s="1493"/>
      <c r="S305" s="1493"/>
      <c r="T305" s="1490"/>
    </row>
    <row r="306" spans="1:20" ht="12.75">
      <c r="A306" s="1491"/>
      <c r="B306" s="1491"/>
      <c r="C306" s="1506">
        <v>-5.43</v>
      </c>
      <c r="D306" s="1491" t="s">
        <v>4</v>
      </c>
      <c r="E306" s="1491"/>
      <c r="F306" s="1491"/>
      <c r="G306" s="1491"/>
      <c r="H306" s="1491"/>
      <c r="I306" s="1493"/>
      <c r="J306" s="1492"/>
      <c r="K306" s="1493"/>
      <c r="L306" s="1493"/>
      <c r="M306" s="1493"/>
      <c r="N306" s="1493"/>
      <c r="O306" s="1493"/>
      <c r="P306" s="1493"/>
      <c r="Q306" s="1493"/>
      <c r="R306" s="1493"/>
      <c r="S306" s="1493"/>
      <c r="T306" s="1490"/>
    </row>
    <row r="307" spans="1:20" ht="12.75">
      <c r="A307" s="1491"/>
      <c r="B307" s="1491"/>
      <c r="C307" s="1506">
        <v>-0.73</v>
      </c>
      <c r="D307" s="1491" t="s">
        <v>24</v>
      </c>
      <c r="E307" s="1491"/>
      <c r="F307" s="1491"/>
      <c r="G307" s="1491"/>
      <c r="H307" s="1491"/>
      <c r="I307" s="1493"/>
      <c r="J307" s="1493"/>
      <c r="K307" s="1493"/>
      <c r="L307" s="1493"/>
      <c r="M307" s="1493"/>
      <c r="N307" s="1493"/>
      <c r="O307" s="1493"/>
      <c r="P307" s="1493"/>
      <c r="Q307" s="1493"/>
      <c r="R307" s="1493"/>
      <c r="S307" s="1492">
        <v>0.73</v>
      </c>
      <c r="T307" s="1490"/>
    </row>
    <row r="308" spans="1:20" ht="12.75">
      <c r="A308" s="1491"/>
      <c r="B308" s="1491"/>
      <c r="C308" s="1506">
        <v>-563.4</v>
      </c>
      <c r="D308" s="1491" t="s">
        <v>25</v>
      </c>
      <c r="E308" s="1491"/>
      <c r="F308" s="1491"/>
      <c r="G308" s="1491"/>
      <c r="H308" s="1491"/>
      <c r="I308" s="1493"/>
      <c r="J308" s="1493"/>
      <c r="K308" s="1493"/>
      <c r="L308" s="1493"/>
      <c r="M308" s="1493"/>
      <c r="N308" s="1493"/>
      <c r="O308" s="1493"/>
      <c r="P308" s="1493"/>
      <c r="Q308" s="1493"/>
      <c r="R308" s="1493"/>
      <c r="S308" s="1493"/>
      <c r="T308" s="1490"/>
    </row>
    <row r="309" spans="1:20" ht="12.75">
      <c r="A309" s="1491"/>
      <c r="B309" s="1491"/>
      <c r="C309" s="1520">
        <v>-3422.62</v>
      </c>
      <c r="D309" s="1491" t="s">
        <v>6</v>
      </c>
      <c r="E309" s="1491"/>
      <c r="F309" s="1491"/>
      <c r="G309" s="1491"/>
      <c r="H309" s="1491"/>
      <c r="I309" s="1493"/>
      <c r="J309" s="1493"/>
      <c r="K309" s="1493"/>
      <c r="L309" s="1493"/>
      <c r="M309" s="1493"/>
      <c r="N309" s="1493"/>
      <c r="O309" s="1493"/>
      <c r="P309" s="1493"/>
      <c r="Q309" s="1493"/>
      <c r="R309" s="1493"/>
      <c r="S309" s="1493"/>
      <c r="T309" s="1490"/>
    </row>
    <row r="310" spans="1:20" ht="12.75">
      <c r="A310" s="1491"/>
      <c r="B310" s="1491"/>
      <c r="C310" s="1506">
        <v>-199.6</v>
      </c>
      <c r="D310" s="1491" t="s">
        <v>26</v>
      </c>
      <c r="E310" s="1491"/>
      <c r="F310" s="1491"/>
      <c r="G310" s="1491"/>
      <c r="H310" s="1491"/>
      <c r="I310" s="1493"/>
      <c r="J310" s="1493"/>
      <c r="K310" s="1493"/>
      <c r="L310" s="1493"/>
      <c r="M310" s="1493"/>
      <c r="N310" s="1493"/>
      <c r="O310" s="1493"/>
      <c r="P310" s="1493"/>
      <c r="Q310" s="1493"/>
      <c r="R310" s="1493"/>
      <c r="S310" s="1493"/>
      <c r="T310" s="1490"/>
    </row>
    <row r="311" spans="1:20" ht="12.75">
      <c r="A311" s="1491"/>
      <c r="B311" s="1491"/>
      <c r="C311" s="1441">
        <v>9913.04</v>
      </c>
      <c r="D311" t="s">
        <v>721</v>
      </c>
      <c r="E311" s="1491"/>
      <c r="F311" s="1491"/>
      <c r="G311" s="1491"/>
      <c r="H311" s="1491"/>
      <c r="I311" s="1493"/>
      <c r="J311" s="1493"/>
      <c r="K311" s="1493"/>
      <c r="L311" s="1493"/>
      <c r="M311" s="1492"/>
      <c r="N311" s="1493"/>
      <c r="O311" s="1493"/>
      <c r="P311" s="1493"/>
      <c r="Q311" s="1493"/>
      <c r="R311" s="1493"/>
      <c r="S311" s="1493"/>
      <c r="T311" s="1490"/>
    </row>
    <row r="312" spans="1:20" ht="12.75">
      <c r="A312" s="1491"/>
      <c r="B312" s="1491"/>
      <c r="C312" s="1327">
        <v>-39566.65</v>
      </c>
      <c r="D312" t="s">
        <v>704</v>
      </c>
      <c r="E312" s="1491"/>
      <c r="F312" s="1491"/>
      <c r="G312" s="1491"/>
      <c r="H312" s="1491"/>
      <c r="I312" s="1493"/>
      <c r="J312" s="1493"/>
      <c r="K312" s="1493"/>
      <c r="L312" s="1493"/>
      <c r="M312" s="1492"/>
      <c r="N312" s="1493"/>
      <c r="O312" s="1493"/>
      <c r="P312" s="1493"/>
      <c r="Q312" s="1493"/>
      <c r="R312" s="1493"/>
      <c r="S312" s="1493"/>
      <c r="T312" s="1526">
        <f>-C312</f>
        <v>39566.65</v>
      </c>
    </row>
    <row r="313" spans="1:20" ht="12.75">
      <c r="A313" s="1491"/>
      <c r="B313" s="1491"/>
      <c r="C313" s="1441">
        <v>-1100</v>
      </c>
      <c r="D313" t="s">
        <v>722</v>
      </c>
      <c r="E313" s="1491"/>
      <c r="F313" s="1491"/>
      <c r="G313" s="1491"/>
      <c r="H313" s="1491"/>
      <c r="I313" s="1493"/>
      <c r="J313" s="1493"/>
      <c r="K313" s="1493"/>
      <c r="L313" s="1493"/>
      <c r="M313" s="1492"/>
      <c r="N313" s="1493"/>
      <c r="O313" s="1493"/>
      <c r="P313" s="1493"/>
      <c r="Q313" s="1493"/>
      <c r="R313" s="1493"/>
      <c r="S313" s="1493"/>
      <c r="T313" s="1490"/>
    </row>
    <row r="314" spans="1:20" ht="12.75">
      <c r="A314" s="1491"/>
      <c r="B314" s="1491"/>
      <c r="C314" s="1441">
        <v>-6500</v>
      </c>
      <c r="D314" t="s">
        <v>725</v>
      </c>
      <c r="E314" s="1491"/>
      <c r="F314" s="1491"/>
      <c r="G314" s="1491"/>
      <c r="H314" s="1491"/>
      <c r="I314" s="1493"/>
      <c r="J314" s="1493"/>
      <c r="K314" s="1492">
        <f>-C314</f>
        <v>6500</v>
      </c>
      <c r="L314" s="1493"/>
      <c r="M314" s="1492"/>
      <c r="N314" s="1493"/>
      <c r="O314" s="1493"/>
      <c r="P314" s="1493"/>
      <c r="Q314" s="1493"/>
      <c r="R314" s="1493"/>
      <c r="S314" s="1493"/>
      <c r="T314" s="1490"/>
    </row>
    <row r="315" spans="1:20" ht="12.75">
      <c r="A315" s="1491"/>
      <c r="B315" s="1491"/>
      <c r="C315" s="1327">
        <v>-4740.3</v>
      </c>
      <c r="D315" t="s">
        <v>740</v>
      </c>
      <c r="E315" s="1491"/>
      <c r="F315" s="1491"/>
      <c r="G315" s="1491"/>
      <c r="H315" s="1491"/>
      <c r="I315" s="1493"/>
      <c r="J315" s="1511">
        <f>-C315</f>
        <v>4740.3</v>
      </c>
      <c r="K315" s="1493"/>
      <c r="L315" s="1493"/>
      <c r="M315" s="1492"/>
      <c r="N315" s="1493"/>
      <c r="O315" s="1493"/>
      <c r="P315" s="1493"/>
      <c r="Q315" s="1493"/>
      <c r="R315" s="1493"/>
      <c r="S315" s="1493"/>
      <c r="T315" s="1490"/>
    </row>
    <row r="316" spans="1:21" ht="12.75">
      <c r="A316" s="1491"/>
      <c r="B316" s="1491"/>
      <c r="C316" s="1327">
        <v>-65.5</v>
      </c>
      <c r="D316" t="s">
        <v>728</v>
      </c>
      <c r="E316" s="1491"/>
      <c r="F316" s="1491"/>
      <c r="G316" s="1491"/>
      <c r="H316" s="1491"/>
      <c r="I316" s="1493"/>
      <c r="J316" s="1493"/>
      <c r="K316" s="1493"/>
      <c r="L316" s="1493"/>
      <c r="M316" s="1492"/>
      <c r="N316" s="1493"/>
      <c r="O316" s="1493"/>
      <c r="P316" s="1493"/>
      <c r="Q316" s="1493"/>
      <c r="R316" s="1493"/>
      <c r="S316" s="1493"/>
      <c r="T316" s="1490"/>
      <c r="U316" s="1327">
        <f>-C316</f>
        <v>65.5</v>
      </c>
    </row>
    <row r="317" spans="1:20" ht="12.75">
      <c r="A317" s="1491"/>
      <c r="B317" s="1491"/>
      <c r="C317" s="1327">
        <v>-0.02</v>
      </c>
      <c r="D317" t="s">
        <v>264</v>
      </c>
      <c r="E317" s="1491"/>
      <c r="F317" s="1491"/>
      <c r="G317" s="1491"/>
      <c r="H317" s="1491"/>
      <c r="I317" s="1493"/>
      <c r="J317" s="1493"/>
      <c r="K317" s="1493"/>
      <c r="L317" s="1493"/>
      <c r="M317" s="1492"/>
      <c r="N317" s="1493"/>
      <c r="O317" s="1493"/>
      <c r="P317" s="1493"/>
      <c r="Q317" s="1493"/>
      <c r="R317" s="1493"/>
      <c r="S317" s="1493"/>
      <c r="T317" s="1490"/>
    </row>
    <row r="318" spans="1:20" ht="12.75">
      <c r="A318" s="1491"/>
      <c r="B318" s="1491"/>
      <c r="C318" s="1531">
        <f>+SUM(C292:C317)</f>
        <v>-51287.509999999995</v>
      </c>
      <c r="D318" s="1491" t="s">
        <v>340</v>
      </c>
      <c r="E318" s="1491"/>
      <c r="F318" s="1491"/>
      <c r="G318" s="1491"/>
      <c r="H318" s="1491"/>
      <c r="I318" s="1493"/>
      <c r="J318" s="1493"/>
      <c r="K318" s="1493"/>
      <c r="L318" s="1493"/>
      <c r="M318" s="1493"/>
      <c r="N318" s="1493"/>
      <c r="O318" s="1493"/>
      <c r="P318" s="1493"/>
      <c r="Q318" s="1493"/>
      <c r="R318" s="1493"/>
      <c r="S318" s="1493"/>
      <c r="T318" s="1490"/>
    </row>
    <row r="319" spans="1:20" ht="12.75">
      <c r="A319" s="1491"/>
      <c r="B319" s="1491"/>
      <c r="C319" s="1531"/>
      <c r="D319" s="1491"/>
      <c r="E319" s="1491"/>
      <c r="F319" s="1491"/>
      <c r="G319" s="1491"/>
      <c r="H319" s="1491"/>
      <c r="I319" s="1493"/>
      <c r="J319" s="1493"/>
      <c r="K319" s="1493"/>
      <c r="L319" s="1493"/>
      <c r="M319" s="1493"/>
      <c r="N319" s="1493"/>
      <c r="O319" s="1493"/>
      <c r="P319" s="1493"/>
      <c r="Q319" s="1493"/>
      <c r="R319" s="1493"/>
      <c r="S319" s="1493"/>
      <c r="T319" s="1490"/>
    </row>
    <row r="320" spans="1:20" ht="12.75">
      <c r="A320" s="1491"/>
      <c r="B320" s="1491"/>
      <c r="C320" s="1531"/>
      <c r="D320" s="1491"/>
      <c r="E320" s="1491"/>
      <c r="F320" s="1491"/>
      <c r="G320" s="1491"/>
      <c r="H320" s="1491"/>
      <c r="I320" s="1493"/>
      <c r="J320" s="1493"/>
      <c r="K320" s="1493"/>
      <c r="L320" s="1493"/>
      <c r="M320" s="1493"/>
      <c r="N320" s="1493"/>
      <c r="O320" s="1493"/>
      <c r="P320" s="1493"/>
      <c r="Q320" s="1493"/>
      <c r="R320" s="1493"/>
      <c r="S320" s="1493"/>
      <c r="T320" s="1490"/>
    </row>
    <row r="321" spans="1:20" ht="25.5">
      <c r="A321" s="1491"/>
      <c r="B321" s="1500">
        <v>2.2</v>
      </c>
      <c r="C321" s="1501" t="s">
        <v>587</v>
      </c>
      <c r="D321" s="1491" t="s">
        <v>36</v>
      </c>
      <c r="E321" s="1491"/>
      <c r="F321" s="1491"/>
      <c r="G321" s="1491"/>
      <c r="H321" s="1491"/>
      <c r="I321" s="1493"/>
      <c r="J321" s="1493"/>
      <c r="K321" s="1493"/>
      <c r="L321" s="1493"/>
      <c r="M321" s="1493"/>
      <c r="N321" s="1493"/>
      <c r="O321" s="1493"/>
      <c r="P321" s="1493"/>
      <c r="Q321" s="1493"/>
      <c r="R321" s="1493"/>
      <c r="S321" s="1493"/>
      <c r="T321" s="1490"/>
    </row>
    <row r="322" spans="1:20" ht="12.75">
      <c r="A322" s="1491"/>
      <c r="B322" s="1491"/>
      <c r="C322" s="1491"/>
      <c r="D322" s="1491"/>
      <c r="E322" s="1491"/>
      <c r="F322" s="1491"/>
      <c r="G322" s="1491"/>
      <c r="H322" s="1491"/>
      <c r="I322" s="1493"/>
      <c r="J322" s="1493"/>
      <c r="K322" s="1493"/>
      <c r="L322" s="1493"/>
      <c r="M322" s="1493"/>
      <c r="N322" s="1493"/>
      <c r="O322" s="1493"/>
      <c r="P322" s="1493"/>
      <c r="Q322" s="1493"/>
      <c r="R322" s="1493"/>
      <c r="S322" s="1493"/>
      <c r="T322" s="1490"/>
    </row>
    <row r="323" spans="1:20" ht="12.75">
      <c r="A323" s="1491"/>
      <c r="B323" s="1491"/>
      <c r="C323" s="1531">
        <v>-45.6</v>
      </c>
      <c r="D323" s="1491" t="s">
        <v>345</v>
      </c>
      <c r="E323" s="1491"/>
      <c r="F323" s="1491"/>
      <c r="G323" s="1491"/>
      <c r="H323" s="1491"/>
      <c r="I323" s="1493"/>
      <c r="J323" s="1493"/>
      <c r="K323" s="1493"/>
      <c r="L323" s="1493"/>
      <c r="M323" s="1493"/>
      <c r="N323" s="1493"/>
      <c r="O323" s="1493"/>
      <c r="P323" s="1493"/>
      <c r="Q323" s="1493"/>
      <c r="R323" s="1493"/>
      <c r="S323" s="1493"/>
      <c r="T323" s="1490"/>
    </row>
    <row r="324" spans="1:20" ht="12.75">
      <c r="A324" s="1491"/>
      <c r="B324" s="1491"/>
      <c r="C324" s="1531">
        <v>-147.15</v>
      </c>
      <c r="D324" s="1491" t="s">
        <v>346</v>
      </c>
      <c r="E324" s="1491"/>
      <c r="F324" s="1491"/>
      <c r="G324" s="1491"/>
      <c r="H324" s="1491"/>
      <c r="I324" s="1493"/>
      <c r="J324" s="1493"/>
      <c r="K324" s="1493"/>
      <c r="L324" s="1493"/>
      <c r="M324" s="1493"/>
      <c r="N324" s="1493"/>
      <c r="O324" s="1511">
        <v>147.15</v>
      </c>
      <c r="P324" s="1493"/>
      <c r="Q324" s="1493"/>
      <c r="R324" s="1493"/>
      <c r="S324" s="1493"/>
      <c r="T324" s="1490"/>
    </row>
    <row r="325" spans="1:20" ht="12.75">
      <c r="A325" s="1491"/>
      <c r="B325" s="1491"/>
      <c r="C325" s="1531">
        <v>-588.29</v>
      </c>
      <c r="D325" s="1491" t="s">
        <v>303</v>
      </c>
      <c r="E325" s="1491"/>
      <c r="F325" s="1491"/>
      <c r="G325" s="1491"/>
      <c r="H325" s="1491"/>
      <c r="I325" s="1493"/>
      <c r="J325" s="1493"/>
      <c r="K325" s="1493"/>
      <c r="L325" s="1493"/>
      <c r="M325" s="1493"/>
      <c r="N325" s="1493"/>
      <c r="O325" s="1493"/>
      <c r="P325" s="1493"/>
      <c r="Q325" s="1493"/>
      <c r="R325" s="1493"/>
      <c r="S325" s="1493"/>
      <c r="T325" s="1490"/>
    </row>
    <row r="326" spans="1:20" ht="12.75">
      <c r="A326" s="1491"/>
      <c r="B326" s="1491"/>
      <c r="C326" s="1531">
        <v>-101.71</v>
      </c>
      <c r="D326" s="1491" t="s">
        <v>274</v>
      </c>
      <c r="E326" s="1491"/>
      <c r="F326" s="1491"/>
      <c r="G326" s="1491"/>
      <c r="H326" s="1491"/>
      <c r="I326" s="1493"/>
      <c r="J326" s="1493"/>
      <c r="K326" s="1493"/>
      <c r="L326" s="1493"/>
      <c r="M326" s="1493"/>
      <c r="N326" s="1493"/>
      <c r="O326" s="1493"/>
      <c r="P326" s="1511">
        <v>101.71</v>
      </c>
      <c r="Q326" s="1493"/>
      <c r="R326" s="1493"/>
      <c r="S326" s="1493"/>
      <c r="T326" s="1490"/>
    </row>
    <row r="327" spans="1:20" ht="12.75">
      <c r="A327" s="1491"/>
      <c r="B327" s="1491"/>
      <c r="C327" s="1531">
        <v>-882.75</v>
      </c>
      <c r="D327" s="1491" t="s">
        <v>340</v>
      </c>
      <c r="E327" s="1491"/>
      <c r="F327" s="1491"/>
      <c r="G327" s="1491"/>
      <c r="H327" s="1491"/>
      <c r="I327" s="1493"/>
      <c r="J327" s="1493"/>
      <c r="K327" s="1493"/>
      <c r="L327" s="1493"/>
      <c r="M327" s="1493"/>
      <c r="N327" s="1493"/>
      <c r="O327" s="1493"/>
      <c r="P327" s="1493"/>
      <c r="Q327" s="1493"/>
      <c r="R327" s="1493"/>
      <c r="S327" s="1493"/>
      <c r="T327" s="1490"/>
    </row>
    <row r="328" spans="1:20" ht="12.75">
      <c r="A328" s="1491"/>
      <c r="B328" s="1491"/>
      <c r="C328" s="1531"/>
      <c r="D328" s="1491"/>
      <c r="E328" s="1491"/>
      <c r="F328" s="1491"/>
      <c r="G328" s="1491"/>
      <c r="H328" s="1491"/>
      <c r="I328" s="1493"/>
      <c r="J328" s="1493"/>
      <c r="K328" s="1493"/>
      <c r="L328" s="1493"/>
      <c r="M328" s="1493"/>
      <c r="N328" s="1493"/>
      <c r="O328" s="1493"/>
      <c r="P328" s="1493"/>
      <c r="Q328" s="1493"/>
      <c r="R328" s="1493"/>
      <c r="S328" s="1493"/>
      <c r="T328" s="1490"/>
    </row>
    <row r="329" spans="1:20" ht="12.75">
      <c r="A329" s="1491"/>
      <c r="B329" s="1532"/>
      <c r="C329" s="1532"/>
      <c r="D329" s="1532"/>
      <c r="E329" s="1532"/>
      <c r="F329" s="1532"/>
      <c r="G329" s="1491"/>
      <c r="H329" s="1491"/>
      <c r="I329" s="1493"/>
      <c r="J329" s="1493"/>
      <c r="K329" s="1493"/>
      <c r="L329" s="1493"/>
      <c r="M329" s="1493"/>
      <c r="N329" s="1493"/>
      <c r="O329" s="1493"/>
      <c r="P329" s="1493"/>
      <c r="Q329" s="1493"/>
      <c r="R329" s="1493"/>
      <c r="S329" s="1493"/>
      <c r="T329" s="1490"/>
    </row>
    <row r="330" spans="1:20" ht="25.5">
      <c r="A330" s="1491"/>
      <c r="B330" s="1500">
        <v>3.1</v>
      </c>
      <c r="C330" s="1501" t="s">
        <v>584</v>
      </c>
      <c r="D330" s="1367" t="s">
        <v>595</v>
      </c>
      <c r="E330" s="1491"/>
      <c r="F330" s="1491"/>
      <c r="G330" s="1491"/>
      <c r="H330" s="1491"/>
      <c r="I330" s="1493"/>
      <c r="J330" s="1493"/>
      <c r="K330" s="1493"/>
      <c r="L330" s="1493"/>
      <c r="M330" s="1493"/>
      <c r="N330" s="1493"/>
      <c r="O330" s="1493"/>
      <c r="P330" s="1493"/>
      <c r="Q330" s="1493"/>
      <c r="R330" s="1493"/>
      <c r="S330" s="1493"/>
      <c r="T330" s="1490"/>
    </row>
    <row r="331" spans="1:20" ht="12.75">
      <c r="A331" s="1491"/>
      <c r="B331" s="1491"/>
      <c r="C331" s="1491"/>
      <c r="D331" s="1491"/>
      <c r="E331" s="1491"/>
      <c r="F331" s="1491"/>
      <c r="G331" s="1491"/>
      <c r="H331" s="1491"/>
      <c r="I331" s="1503"/>
      <c r="J331" s="1493"/>
      <c r="K331" s="1493"/>
      <c r="L331" s="1503"/>
      <c r="M331" s="1493"/>
      <c r="N331" s="1493"/>
      <c r="O331" s="1493"/>
      <c r="P331" s="1493"/>
      <c r="Q331" s="1493"/>
      <c r="R331" s="1493"/>
      <c r="S331" s="1493"/>
      <c r="T331" s="1490"/>
    </row>
    <row r="332" spans="1:20" ht="12.75">
      <c r="A332" s="1491"/>
      <c r="B332" s="1532"/>
      <c r="C332" s="1532"/>
      <c r="D332" s="1532"/>
      <c r="E332" s="1532"/>
      <c r="F332" s="1532"/>
      <c r="G332" s="1491"/>
      <c r="H332" s="1491"/>
      <c r="I332" s="1493"/>
      <c r="J332" s="1493"/>
      <c r="K332" s="1493"/>
      <c r="L332" s="1493"/>
      <c r="M332" s="1493"/>
      <c r="N332" s="1493"/>
      <c r="O332" s="1493"/>
      <c r="P332" s="1493"/>
      <c r="Q332" s="1493"/>
      <c r="R332" s="1493"/>
      <c r="S332" s="1493"/>
      <c r="T332" s="1490"/>
    </row>
    <row r="333" spans="1:20" ht="12.75">
      <c r="A333" s="1491"/>
      <c r="B333" s="1532"/>
      <c r="C333" s="1515">
        <v>-9250.59</v>
      </c>
      <c r="D333" s="1491" t="s">
        <v>304</v>
      </c>
      <c r="E333" s="1532"/>
      <c r="F333" s="1532"/>
      <c r="G333" s="1491"/>
      <c r="H333" s="1491"/>
      <c r="I333" s="1493"/>
      <c r="J333" s="1493"/>
      <c r="K333" s="1493"/>
      <c r="L333" s="1493"/>
      <c r="M333" s="1493"/>
      <c r="N333" s="1511">
        <v>9250.59</v>
      </c>
      <c r="O333" s="1493"/>
      <c r="P333" s="1493"/>
      <c r="Q333" s="1493"/>
      <c r="R333" s="1493"/>
      <c r="S333" s="1493"/>
      <c r="T333" s="1490"/>
    </row>
    <row r="334" spans="1:20" ht="12.75">
      <c r="A334" s="1491"/>
      <c r="B334" s="1532"/>
      <c r="C334" s="1515">
        <v>1.55</v>
      </c>
      <c r="D334" s="1491" t="s">
        <v>305</v>
      </c>
      <c r="E334" s="1532"/>
      <c r="F334" s="1532"/>
      <c r="G334" s="1491"/>
      <c r="H334" s="1491"/>
      <c r="I334" s="1493"/>
      <c r="J334" s="1493"/>
      <c r="K334" s="1493"/>
      <c r="L334" s="1493"/>
      <c r="M334" s="1493"/>
      <c r="N334" s="1493"/>
      <c r="O334" s="1511">
        <v>1.55</v>
      </c>
      <c r="P334" s="1493"/>
      <c r="Q334" s="1493"/>
      <c r="R334" s="1493"/>
      <c r="S334" s="1493"/>
      <c r="T334" s="1490"/>
    </row>
    <row r="335" spans="1:20" ht="12.75">
      <c r="A335" s="1491"/>
      <c r="B335" s="1532"/>
      <c r="C335" s="1515">
        <v>-896.4</v>
      </c>
      <c r="D335" s="1491" t="s">
        <v>306</v>
      </c>
      <c r="E335" s="1532"/>
      <c r="F335" s="1532"/>
      <c r="G335" s="1491"/>
      <c r="H335" s="1491"/>
      <c r="I335" s="1493"/>
      <c r="J335" s="1493"/>
      <c r="K335" s="1493"/>
      <c r="L335" s="1493"/>
      <c r="M335" s="1493"/>
      <c r="N335" s="1493"/>
      <c r="O335" s="1493"/>
      <c r="P335" s="1511">
        <v>896.4</v>
      </c>
      <c r="Q335" s="1493"/>
      <c r="R335" s="1493"/>
      <c r="S335" s="1493"/>
      <c r="T335" s="1490"/>
    </row>
    <row r="336" spans="1:20" ht="12.75">
      <c r="A336" s="1491"/>
      <c r="B336" s="1532"/>
      <c r="C336" s="1515">
        <v>-4329.27</v>
      </c>
      <c r="D336" s="1491" t="s">
        <v>347</v>
      </c>
      <c r="E336" s="1532"/>
      <c r="F336" s="1532"/>
      <c r="G336" s="1491"/>
      <c r="H336" s="1491"/>
      <c r="I336" s="1493"/>
      <c r="J336" s="1493"/>
      <c r="K336" s="1493"/>
      <c r="L336" s="1493"/>
      <c r="M336" s="1493"/>
      <c r="N336" s="1493"/>
      <c r="O336" s="1493"/>
      <c r="P336" s="1493"/>
      <c r="Q336" s="1493"/>
      <c r="R336" s="1493"/>
      <c r="S336" s="1493"/>
      <c r="T336" s="1490"/>
    </row>
    <row r="337" spans="1:20" ht="12.75">
      <c r="A337" s="1491"/>
      <c r="B337" s="1532"/>
      <c r="C337" s="1515">
        <v>1500.66</v>
      </c>
      <c r="D337" s="1491" t="s">
        <v>332</v>
      </c>
      <c r="E337" s="1532"/>
      <c r="F337" s="1532"/>
      <c r="G337" s="1491"/>
      <c r="H337" s="1491"/>
      <c r="I337" s="1493"/>
      <c r="J337" s="1493"/>
      <c r="K337" s="1493"/>
      <c r="L337" s="1493"/>
      <c r="M337" s="1493"/>
      <c r="N337" s="1493"/>
      <c r="O337" s="1493"/>
      <c r="P337" s="1493"/>
      <c r="Q337" s="1493"/>
      <c r="R337" s="1493"/>
      <c r="S337" s="1493"/>
      <c r="T337" s="1490"/>
    </row>
    <row r="338" spans="1:20" ht="12.75">
      <c r="A338" s="1491"/>
      <c r="B338" s="1532"/>
      <c r="C338" s="1515">
        <v>345</v>
      </c>
      <c r="D338" s="1491" t="s">
        <v>348</v>
      </c>
      <c r="E338" s="1532"/>
      <c r="F338" s="1532"/>
      <c r="G338" s="1491"/>
      <c r="H338" s="1491"/>
      <c r="I338" s="1493"/>
      <c r="J338" s="1493"/>
      <c r="K338" s="1493"/>
      <c r="L338" s="1493"/>
      <c r="M338" s="1493"/>
      <c r="N338" s="1493"/>
      <c r="O338" s="1493"/>
      <c r="P338" s="1493"/>
      <c r="Q338" s="1493"/>
      <c r="R338" s="1493"/>
      <c r="S338" s="1493"/>
      <c r="T338" s="1490"/>
    </row>
    <row r="339" spans="1:20" ht="12.75">
      <c r="A339" s="1491"/>
      <c r="B339" s="1532"/>
      <c r="C339" s="1515">
        <v>1842.9</v>
      </c>
      <c r="D339" s="1491" t="s">
        <v>332</v>
      </c>
      <c r="E339" s="1532"/>
      <c r="F339" s="1532"/>
      <c r="G339" s="1491"/>
      <c r="H339" s="1491"/>
      <c r="I339" s="1493"/>
      <c r="J339" s="1493"/>
      <c r="K339" s="1493"/>
      <c r="L339" s="1493"/>
      <c r="M339" s="1493"/>
      <c r="N339" s="1493"/>
      <c r="O339" s="1493"/>
      <c r="P339" s="1493"/>
      <c r="Q339" s="1493"/>
      <c r="R339" s="1493"/>
      <c r="S339" s="1493"/>
      <c r="T339" s="1490"/>
    </row>
    <row r="340" spans="1:20" ht="12.75">
      <c r="A340" s="1491"/>
      <c r="B340" s="1532"/>
      <c r="C340" s="1515">
        <v>1348.72</v>
      </c>
      <c r="D340" s="1491" t="s">
        <v>348</v>
      </c>
      <c r="E340" s="1532"/>
      <c r="F340" s="1532"/>
      <c r="G340" s="1491"/>
      <c r="H340" s="1491"/>
      <c r="I340" s="1493"/>
      <c r="J340" s="1493"/>
      <c r="K340" s="1493"/>
      <c r="L340" s="1493"/>
      <c r="M340" s="1493"/>
      <c r="N340" s="1493"/>
      <c r="O340" s="1493"/>
      <c r="P340" s="1493"/>
      <c r="Q340" s="1493"/>
      <c r="R340" s="1493"/>
      <c r="S340" s="1493"/>
      <c r="T340" s="1490"/>
    </row>
    <row r="341" spans="1:20" ht="12.75">
      <c r="A341" s="1491"/>
      <c r="B341" s="1532"/>
      <c r="C341" s="1515">
        <v>265.05</v>
      </c>
      <c r="D341" s="1491" t="s">
        <v>332</v>
      </c>
      <c r="E341" s="1532"/>
      <c r="F341" s="1532"/>
      <c r="G341" s="1491"/>
      <c r="H341" s="1491"/>
      <c r="I341" s="1493"/>
      <c r="J341" s="1493"/>
      <c r="K341" s="1493"/>
      <c r="L341" s="1493"/>
      <c r="M341" s="1493"/>
      <c r="N341" s="1493"/>
      <c r="O341" s="1493"/>
      <c r="P341" s="1493"/>
      <c r="Q341" s="1493"/>
      <c r="R341" s="1493"/>
      <c r="S341" s="1493"/>
      <c r="T341" s="1490"/>
    </row>
    <row r="342" spans="1:20" ht="12.75">
      <c r="A342" s="1491"/>
      <c r="B342" s="1532"/>
      <c r="C342" s="1515">
        <v>-5930</v>
      </c>
      <c r="D342" s="1491" t="s">
        <v>37</v>
      </c>
      <c r="E342" s="1532"/>
      <c r="F342" s="1532"/>
      <c r="G342" s="1491"/>
      <c r="H342" s="1491"/>
      <c r="I342" s="1493"/>
      <c r="J342" s="1493"/>
      <c r="K342" s="1493"/>
      <c r="L342" s="1493"/>
      <c r="M342" s="1493"/>
      <c r="N342" s="1493"/>
      <c r="O342" s="1493"/>
      <c r="P342" s="1493"/>
      <c r="Q342" s="1493"/>
      <c r="R342" s="1493"/>
      <c r="S342" s="1493"/>
      <c r="T342" s="1490"/>
    </row>
    <row r="343" spans="1:20" ht="12.75">
      <c r="A343" s="1491"/>
      <c r="B343" s="1496"/>
      <c r="C343" s="1506">
        <v>-8760.98</v>
      </c>
      <c r="D343" s="1491" t="s">
        <v>318</v>
      </c>
      <c r="E343" s="1532"/>
      <c r="F343" s="1532"/>
      <c r="G343" s="1491"/>
      <c r="H343" s="1491"/>
      <c r="I343" s="1493"/>
      <c r="J343" s="1493"/>
      <c r="K343" s="1493"/>
      <c r="L343" s="1493"/>
      <c r="M343" s="1493"/>
      <c r="N343" s="1493"/>
      <c r="O343" s="1493"/>
      <c r="P343" s="1493"/>
      <c r="Q343" s="1493"/>
      <c r="R343" s="1493"/>
      <c r="S343" s="1493"/>
      <c r="T343" s="1490"/>
    </row>
    <row r="344" spans="1:20" ht="12.75">
      <c r="A344" s="1491"/>
      <c r="B344" s="1532"/>
      <c r="C344" s="1506">
        <v>-0.08</v>
      </c>
      <c r="D344" s="1491" t="s">
        <v>290</v>
      </c>
      <c r="E344" s="1532"/>
      <c r="F344" s="1532"/>
      <c r="G344" s="1491"/>
      <c r="H344" s="1491"/>
      <c r="I344" s="1493"/>
      <c r="J344" s="1493"/>
      <c r="K344" s="1493"/>
      <c r="L344" s="1492">
        <v>0.08</v>
      </c>
      <c r="M344" s="1493"/>
      <c r="N344" s="1493"/>
      <c r="O344" s="1493"/>
      <c r="P344" s="1493"/>
      <c r="Q344" s="1493"/>
      <c r="R344" s="1493"/>
      <c r="S344" s="1493"/>
      <c r="T344" s="1490"/>
    </row>
    <row r="345" spans="1:20" ht="12.75">
      <c r="A345" s="1491"/>
      <c r="B345" s="1532"/>
      <c r="C345" s="1506">
        <v>-26.8300000000279</v>
      </c>
      <c r="D345" s="1491" t="s">
        <v>288</v>
      </c>
      <c r="E345" s="1532"/>
      <c r="F345" s="1532"/>
      <c r="G345" s="1491"/>
      <c r="H345" s="1491"/>
      <c r="I345" s="1493"/>
      <c r="J345" s="1493"/>
      <c r="K345" s="1493"/>
      <c r="L345" s="1493"/>
      <c r="M345" s="1493"/>
      <c r="N345" s="1493"/>
      <c r="O345" s="1493"/>
      <c r="P345" s="1493"/>
      <c r="Q345" s="1492">
        <v>26.8300000000279</v>
      </c>
      <c r="R345" s="1493"/>
      <c r="S345" s="1493"/>
      <c r="T345" s="1490"/>
    </row>
    <row r="346" spans="1:20" ht="12.75">
      <c r="A346" s="1491"/>
      <c r="B346" s="1532"/>
      <c r="C346" s="1506">
        <v>-3810.91</v>
      </c>
      <c r="D346" s="1491" t="s">
        <v>1058</v>
      </c>
      <c r="E346" s="1532"/>
      <c r="F346" s="1532"/>
      <c r="G346" s="1491"/>
      <c r="H346" s="1491"/>
      <c r="I346" s="1493"/>
      <c r="J346" s="1493"/>
      <c r="K346" s="1493"/>
      <c r="L346" s="1493"/>
      <c r="M346" s="1493"/>
      <c r="N346" s="1493"/>
      <c r="O346" s="1493"/>
      <c r="P346" s="1493"/>
      <c r="Q346" s="1493"/>
      <c r="R346" s="1493"/>
      <c r="S346" s="1493"/>
      <c r="T346" s="1490"/>
    </row>
    <row r="347" spans="1:20" ht="12.75">
      <c r="A347" s="1491"/>
      <c r="B347" s="1532"/>
      <c r="C347" s="1520">
        <v>8.29</v>
      </c>
      <c r="D347" s="1491" t="s">
        <v>19</v>
      </c>
      <c r="E347" s="1532"/>
      <c r="F347" s="1532"/>
      <c r="G347" s="1491"/>
      <c r="H347" s="1491"/>
      <c r="I347" s="1493"/>
      <c r="J347" s="1493"/>
      <c r="K347" s="1493"/>
      <c r="L347" s="1493"/>
      <c r="M347" s="1493"/>
      <c r="N347" s="1493"/>
      <c r="O347" s="1493"/>
      <c r="P347" s="1493"/>
      <c r="Q347" s="1493"/>
      <c r="R347" s="1492">
        <v>8.29</v>
      </c>
      <c r="S347" s="1493"/>
      <c r="T347" s="1490"/>
    </row>
    <row r="348" spans="1:20" ht="12.75">
      <c r="A348" s="1491"/>
      <c r="B348" s="1532"/>
      <c r="C348" s="1520">
        <v>-19600</v>
      </c>
      <c r="D348" s="1491" t="s">
        <v>27</v>
      </c>
      <c r="E348" s="1532"/>
      <c r="F348" s="1532"/>
      <c r="G348" s="1491"/>
      <c r="H348" s="1491"/>
      <c r="I348" s="1493"/>
      <c r="J348" s="1493"/>
      <c r="K348" s="1493"/>
      <c r="L348" s="1493"/>
      <c r="M348" s="1493"/>
      <c r="N348" s="1493"/>
      <c r="O348" s="1493"/>
      <c r="P348" s="1493"/>
      <c r="Q348" s="1493"/>
      <c r="R348" s="1493"/>
      <c r="S348" s="1493"/>
      <c r="T348" s="1490"/>
    </row>
    <row r="349" spans="1:20" ht="12.75">
      <c r="A349" s="1491"/>
      <c r="B349" s="1532"/>
      <c r="C349" s="1520">
        <v>3366.95</v>
      </c>
      <c r="D349" s="1491" t="s">
        <v>21</v>
      </c>
      <c r="E349" s="1532"/>
      <c r="F349" s="1532"/>
      <c r="G349" s="1491"/>
      <c r="H349" s="1491"/>
      <c r="I349" s="1493"/>
      <c r="J349" s="1493"/>
      <c r="K349" s="1493"/>
      <c r="L349" s="1493"/>
      <c r="M349" s="1493"/>
      <c r="N349" s="1493"/>
      <c r="O349" s="1493"/>
      <c r="P349" s="1493"/>
      <c r="Q349" s="1493"/>
      <c r="R349" s="1493"/>
      <c r="S349" s="1493"/>
      <c r="T349" s="1490"/>
    </row>
    <row r="350" spans="1:20" ht="12.75">
      <c r="A350" s="1491"/>
      <c r="B350" s="1532"/>
      <c r="C350" s="1520">
        <v>-12992.31</v>
      </c>
      <c r="D350" s="1491" t="s">
        <v>293</v>
      </c>
      <c r="E350" s="1532"/>
      <c r="F350" s="1532"/>
      <c r="G350" s="1491"/>
      <c r="H350" s="1491"/>
      <c r="I350" s="1493"/>
      <c r="J350" s="1493"/>
      <c r="K350" s="1493"/>
      <c r="L350" s="1493"/>
      <c r="M350" s="1493"/>
      <c r="N350" s="1493"/>
      <c r="O350" s="1493"/>
      <c r="P350" s="1493"/>
      <c r="Q350" s="1493"/>
      <c r="R350" s="1493"/>
      <c r="S350" s="1493"/>
      <c r="T350" s="1490"/>
    </row>
    <row r="351" spans="1:20" ht="12.75">
      <c r="A351" s="1491"/>
      <c r="B351" s="1532"/>
      <c r="C351" s="1520">
        <v>104.7</v>
      </c>
      <c r="D351" s="1491" t="s">
        <v>11</v>
      </c>
      <c r="E351" s="1532"/>
      <c r="F351" s="1532"/>
      <c r="G351" s="1491"/>
      <c r="H351" s="1491"/>
      <c r="I351" s="1493"/>
      <c r="J351" s="1492"/>
      <c r="K351" s="1493"/>
      <c r="L351" s="1493"/>
      <c r="M351" s="1493"/>
      <c r="N351" s="1493"/>
      <c r="O351" s="1493"/>
      <c r="P351" s="1493"/>
      <c r="Q351" s="1493"/>
      <c r="R351" s="1493"/>
      <c r="S351" s="1493"/>
      <c r="T351" s="1490"/>
    </row>
    <row r="352" spans="1:20" ht="12.75">
      <c r="A352" s="1491"/>
      <c r="B352" s="1520"/>
      <c r="C352" s="1520">
        <v>-2294</v>
      </c>
      <c r="D352" s="1491" t="s">
        <v>28</v>
      </c>
      <c r="E352" s="1532"/>
      <c r="F352" s="1532"/>
      <c r="G352" s="1491"/>
      <c r="H352" s="1491"/>
      <c r="I352" s="1493"/>
      <c r="J352" s="1493"/>
      <c r="K352" s="1493"/>
      <c r="L352" s="1493"/>
      <c r="M352" s="1493"/>
      <c r="N352" s="1493"/>
      <c r="O352" s="1493"/>
      <c r="P352" s="1493"/>
      <c r="Q352" s="1493"/>
      <c r="R352" s="1493"/>
      <c r="S352" s="1493"/>
      <c r="T352" s="1490"/>
    </row>
    <row r="353" spans="1:20" ht="12.75">
      <c r="A353" s="1491"/>
      <c r="B353" s="1532"/>
      <c r="C353" s="1520">
        <v>3168</v>
      </c>
      <c r="D353" s="1491" t="s">
        <v>38</v>
      </c>
      <c r="E353" s="1532"/>
      <c r="F353" s="1532"/>
      <c r="G353" s="1491"/>
      <c r="H353" s="1491"/>
      <c r="I353" s="1492"/>
      <c r="J353" s="1493"/>
      <c r="K353" s="1493"/>
      <c r="L353" s="1493"/>
      <c r="M353" s="1493"/>
      <c r="N353" s="1493"/>
      <c r="O353" s="1493"/>
      <c r="P353" s="1493"/>
      <c r="Q353" s="1493"/>
      <c r="R353" s="1493"/>
      <c r="S353" s="1493"/>
      <c r="T353" s="1490"/>
    </row>
    <row r="354" spans="1:20" ht="12.75">
      <c r="A354" s="1491"/>
      <c r="B354" s="1532"/>
      <c r="C354" s="1520">
        <v>0.52</v>
      </c>
      <c r="D354" s="1491" t="s">
        <v>29</v>
      </c>
      <c r="E354" s="1532"/>
      <c r="F354" s="1532"/>
      <c r="G354" s="1491"/>
      <c r="H354" s="1491"/>
      <c r="I354" s="1493"/>
      <c r="J354" s="1493"/>
      <c r="K354" s="1493"/>
      <c r="L354" s="1493"/>
      <c r="M354" s="1493"/>
      <c r="N354" s="1493"/>
      <c r="O354" s="1493"/>
      <c r="P354" s="1493"/>
      <c r="Q354" s="1493"/>
      <c r="R354" s="1493"/>
      <c r="S354" s="1492">
        <v>0.52</v>
      </c>
      <c r="T354" s="1490"/>
    </row>
    <row r="355" spans="1:20" ht="12.75">
      <c r="A355" s="1491"/>
      <c r="B355" s="1532"/>
      <c r="C355" s="1520">
        <v>-1.1</v>
      </c>
      <c r="D355" s="1491" t="s">
        <v>264</v>
      </c>
      <c r="E355" s="1532"/>
      <c r="F355" s="1532"/>
      <c r="G355" s="1491"/>
      <c r="H355" s="1491"/>
      <c r="I355" s="1493"/>
      <c r="J355" s="1493"/>
      <c r="K355" s="1493"/>
      <c r="L355" s="1493"/>
      <c r="M355" s="1493"/>
      <c r="N355" s="1493"/>
      <c r="O355" s="1493"/>
      <c r="P355" s="1493"/>
      <c r="Q355" s="1493"/>
      <c r="R355" s="1493"/>
      <c r="S355" s="1493"/>
      <c r="T355" s="1490"/>
    </row>
    <row r="356" spans="1:20" ht="12.75">
      <c r="A356" s="1491"/>
      <c r="B356" s="1532"/>
      <c r="C356" s="1441">
        <v>3168.89</v>
      </c>
      <c r="D356" s="1533" t="s">
        <v>749</v>
      </c>
      <c r="E356" s="1491"/>
      <c r="F356" s="1491"/>
      <c r="G356" s="1491"/>
      <c r="H356" s="1491"/>
      <c r="I356" s="1493"/>
      <c r="J356" s="1493"/>
      <c r="K356" s="1493"/>
      <c r="L356" s="1493"/>
      <c r="M356" s="1492"/>
      <c r="N356" s="1493"/>
      <c r="O356" s="1493"/>
      <c r="P356" s="1493"/>
      <c r="Q356" s="1493"/>
      <c r="R356" s="1493"/>
      <c r="S356" s="1493"/>
      <c r="T356" s="1490"/>
    </row>
    <row r="357" spans="1:20" ht="12.75">
      <c r="A357" s="1491"/>
      <c r="B357" s="1532"/>
      <c r="C357" s="1441">
        <v>10534.8</v>
      </c>
      <c r="D357" t="s">
        <v>745</v>
      </c>
      <c r="E357" s="1491"/>
      <c r="F357" s="1491"/>
      <c r="G357" s="1491"/>
      <c r="H357" s="1491"/>
      <c r="I357" s="1493"/>
      <c r="J357" s="1493"/>
      <c r="K357" s="1493"/>
      <c r="L357" s="1493"/>
      <c r="M357" s="1492"/>
      <c r="N357" s="1493"/>
      <c r="O357" s="1493"/>
      <c r="P357" s="1493"/>
      <c r="Q357" s="1493"/>
      <c r="R357" s="1493"/>
      <c r="S357" s="1493"/>
      <c r="T357" s="1490"/>
    </row>
    <row r="358" spans="1:20" ht="12.75">
      <c r="A358" s="1491"/>
      <c r="B358" s="1532"/>
      <c r="C358" s="1441">
        <v>-9528.81</v>
      </c>
      <c r="D358" t="s">
        <v>704</v>
      </c>
      <c r="E358" s="1496"/>
      <c r="F358" s="1491"/>
      <c r="G358" s="1491"/>
      <c r="H358" s="1491"/>
      <c r="I358" s="1493"/>
      <c r="J358" s="1493"/>
      <c r="K358" s="1493"/>
      <c r="L358" s="1493"/>
      <c r="M358" s="1492"/>
      <c r="N358" s="1493"/>
      <c r="O358" s="1493"/>
      <c r="P358" s="1493"/>
      <c r="Q358" s="1493"/>
      <c r="R358" s="1493"/>
      <c r="S358" s="1493"/>
      <c r="T358" s="1529">
        <f>-C358</f>
        <v>9528.81</v>
      </c>
    </row>
    <row r="359" spans="1:20" ht="12.75">
      <c r="A359" s="1491"/>
      <c r="B359" s="1532"/>
      <c r="C359" s="1441">
        <v>-1155</v>
      </c>
      <c r="D359" t="s">
        <v>746</v>
      </c>
      <c r="E359" s="1491"/>
      <c r="F359" s="1491"/>
      <c r="G359" s="1491"/>
      <c r="H359" s="1491"/>
      <c r="I359" s="1493"/>
      <c r="J359" s="1493"/>
      <c r="K359" s="1492">
        <f>-C359</f>
        <v>1155</v>
      </c>
      <c r="L359" s="1493"/>
      <c r="M359" s="1492"/>
      <c r="N359" s="1493"/>
      <c r="O359" s="1493"/>
      <c r="P359" s="1493"/>
      <c r="Q359" s="1493"/>
      <c r="R359" s="1493"/>
      <c r="S359" s="1493"/>
      <c r="T359" s="1490"/>
    </row>
    <row r="360" spans="1:20" ht="12.75">
      <c r="A360" s="1491"/>
      <c r="B360" s="1532"/>
      <c r="C360" s="1441">
        <v>-0.01</v>
      </c>
      <c r="D360" t="s">
        <v>264</v>
      </c>
      <c r="E360" s="1491"/>
      <c r="F360" s="1491"/>
      <c r="G360" s="1491"/>
      <c r="H360" s="1491"/>
      <c r="I360" s="1493"/>
      <c r="J360" s="1493"/>
      <c r="K360" s="1493"/>
      <c r="L360" s="1493"/>
      <c r="M360" s="1492"/>
      <c r="N360" s="1493"/>
      <c r="O360" s="1493"/>
      <c r="P360" s="1493"/>
      <c r="Q360" s="1493"/>
      <c r="R360" s="1493"/>
      <c r="S360" s="1493"/>
      <c r="T360" s="1490"/>
    </row>
    <row r="361" spans="1:20" ht="12.75">
      <c r="A361" s="1491"/>
      <c r="B361" s="1532"/>
      <c r="C361" s="1532">
        <f>+SUM(C333:C360)</f>
        <v>-52920.26000000003</v>
      </c>
      <c r="D361" s="2060" t="s">
        <v>257</v>
      </c>
      <c r="E361" s="2060"/>
      <c r="F361" s="1532"/>
      <c r="G361" s="1491"/>
      <c r="H361" s="1491"/>
      <c r="I361" s="1493"/>
      <c r="J361" s="1493"/>
      <c r="K361" s="1493"/>
      <c r="L361" s="1493"/>
      <c r="M361" s="1493"/>
      <c r="N361" s="1493"/>
      <c r="O361" s="1493"/>
      <c r="P361" s="1493"/>
      <c r="Q361" s="1493"/>
      <c r="R361" s="1493"/>
      <c r="S361" s="1493"/>
      <c r="T361" s="1490"/>
    </row>
    <row r="362" spans="1:20" ht="12.75">
      <c r="A362" s="1491"/>
      <c r="B362" s="1532"/>
      <c r="C362" s="1532"/>
      <c r="D362" s="1532"/>
      <c r="E362" s="1532"/>
      <c r="F362" s="1532"/>
      <c r="G362" s="1491"/>
      <c r="H362" s="1491"/>
      <c r="I362" s="1493"/>
      <c r="J362" s="1493"/>
      <c r="K362" s="1493"/>
      <c r="L362" s="1493"/>
      <c r="M362" s="1493"/>
      <c r="N362" s="1493"/>
      <c r="O362" s="1493"/>
      <c r="P362" s="1493"/>
      <c r="Q362" s="1493"/>
      <c r="R362" s="1493"/>
      <c r="S362" s="1493"/>
      <c r="T362" s="1490"/>
    </row>
    <row r="363" spans="1:20" ht="12.75">
      <c r="A363" s="1491"/>
      <c r="B363" s="1491"/>
      <c r="C363" s="1515"/>
      <c r="D363" s="1491"/>
      <c r="E363" s="1491"/>
      <c r="F363" s="1491"/>
      <c r="G363" s="1491"/>
      <c r="H363" s="1491"/>
      <c r="I363" s="1493"/>
      <c r="J363" s="1511"/>
      <c r="K363" s="1493"/>
      <c r="L363" s="1493"/>
      <c r="M363" s="1493"/>
      <c r="N363" s="1493"/>
      <c r="O363" s="1493"/>
      <c r="P363" s="1493"/>
      <c r="Q363" s="1493"/>
      <c r="R363" s="1493"/>
      <c r="S363" s="1493"/>
      <c r="T363" s="1490"/>
    </row>
    <row r="364" spans="1:20" ht="25.5">
      <c r="A364" s="1491"/>
      <c r="B364" s="1500">
        <v>3.2</v>
      </c>
      <c r="C364" s="1501" t="s">
        <v>593</v>
      </c>
      <c r="D364" s="1491"/>
      <c r="E364" s="1491"/>
      <c r="F364" s="1491"/>
      <c r="G364" s="1491"/>
      <c r="H364" s="1491"/>
      <c r="I364" s="1493"/>
      <c r="J364" s="1493"/>
      <c r="K364" s="1493"/>
      <c r="L364" s="1493"/>
      <c r="M364" s="1493"/>
      <c r="N364" s="1493"/>
      <c r="O364" s="1493"/>
      <c r="P364" s="1493"/>
      <c r="Q364" s="1493"/>
      <c r="R364" s="1493"/>
      <c r="S364" s="1493"/>
      <c r="T364" s="1490"/>
    </row>
    <row r="365" spans="1:20" ht="12.75">
      <c r="A365" s="1491"/>
      <c r="B365" s="1491"/>
      <c r="C365" s="1491"/>
      <c r="D365" s="1491"/>
      <c r="E365" s="1491"/>
      <c r="F365" s="1491"/>
      <c r="G365" s="1491"/>
      <c r="H365" s="1491"/>
      <c r="I365" s="1493"/>
      <c r="J365" s="1493"/>
      <c r="K365" s="1493"/>
      <c r="L365" s="1493"/>
      <c r="M365" s="1493"/>
      <c r="N365" s="1493"/>
      <c r="O365" s="1493"/>
      <c r="P365" s="1493"/>
      <c r="Q365" s="1493"/>
      <c r="R365" s="1493"/>
      <c r="S365" s="1493"/>
      <c r="T365" s="1490"/>
    </row>
    <row r="366" spans="1:20" ht="12.75">
      <c r="A366" s="1491"/>
      <c r="B366" s="1491"/>
      <c r="C366" s="1491"/>
      <c r="D366" s="1491"/>
      <c r="E366" s="1491"/>
      <c r="F366" s="1491"/>
      <c r="G366" s="1491"/>
      <c r="H366" s="1491"/>
      <c r="I366" s="1493"/>
      <c r="J366" s="1493"/>
      <c r="K366" s="1493"/>
      <c r="L366" s="1493"/>
      <c r="M366" s="1493"/>
      <c r="N366" s="1493"/>
      <c r="O366" s="1493"/>
      <c r="P366" s="1493"/>
      <c r="Q366" s="1493"/>
      <c r="R366" s="1493"/>
      <c r="S366" s="1493"/>
      <c r="T366" s="1490"/>
    </row>
    <row r="367" spans="1:20" ht="12.75">
      <c r="A367" s="1491"/>
      <c r="B367" s="1491"/>
      <c r="C367" s="1531">
        <v>-4782</v>
      </c>
      <c r="D367" s="1491" t="s">
        <v>279</v>
      </c>
      <c r="E367" s="1491"/>
      <c r="F367" s="1491"/>
      <c r="G367" s="1491"/>
      <c r="H367" s="1491"/>
      <c r="I367" s="1493"/>
      <c r="J367" s="1493"/>
      <c r="K367" s="1493"/>
      <c r="L367" s="1493"/>
      <c r="M367" s="1493"/>
      <c r="N367" s="1493"/>
      <c r="O367" s="1493"/>
      <c r="P367" s="1493"/>
      <c r="Q367" s="1493"/>
      <c r="R367" s="1493"/>
      <c r="S367" s="1493"/>
      <c r="T367" s="1490"/>
    </row>
    <row r="368" spans="1:20" ht="12.75">
      <c r="A368" s="1491"/>
      <c r="B368" s="1491"/>
      <c r="C368" s="1531">
        <v>-2218.2</v>
      </c>
      <c r="D368" s="1491" t="s">
        <v>349</v>
      </c>
      <c r="E368" s="1491"/>
      <c r="F368" s="1491"/>
      <c r="G368" s="1491"/>
      <c r="H368" s="1491"/>
      <c r="I368" s="1493"/>
      <c r="J368" s="1493"/>
      <c r="K368" s="1493"/>
      <c r="L368" s="1493"/>
      <c r="M368" s="1493"/>
      <c r="N368" s="1493"/>
      <c r="O368" s="1493"/>
      <c r="P368" s="1493"/>
      <c r="Q368" s="1493"/>
      <c r="R368" s="1493"/>
      <c r="S368" s="1493"/>
      <c r="T368" s="1490"/>
    </row>
    <row r="369" spans="1:20" ht="12.75">
      <c r="A369" s="1491"/>
      <c r="B369" s="1491"/>
      <c r="C369" s="1531">
        <v>-3.02</v>
      </c>
      <c r="D369" s="1491" t="s">
        <v>350</v>
      </c>
      <c r="E369" s="1491"/>
      <c r="F369" s="1491"/>
      <c r="G369" s="1491"/>
      <c r="H369" s="1491"/>
      <c r="I369" s="1493"/>
      <c r="J369" s="1493"/>
      <c r="K369" s="1493"/>
      <c r="L369" s="1493"/>
      <c r="M369" s="1493"/>
      <c r="N369" s="1493"/>
      <c r="O369" s="1493"/>
      <c r="P369" s="1493"/>
      <c r="Q369" s="1493"/>
      <c r="R369" s="1493"/>
      <c r="S369" s="1493"/>
      <c r="T369" s="1490"/>
    </row>
    <row r="370" spans="1:20" ht="12.75">
      <c r="A370" s="1491"/>
      <c r="B370" s="1491"/>
      <c r="C370" s="1531">
        <v>-408.2</v>
      </c>
      <c r="D370" s="1491" t="s">
        <v>351</v>
      </c>
      <c r="E370" s="1491"/>
      <c r="F370" s="1491"/>
      <c r="G370" s="1491"/>
      <c r="H370" s="1491"/>
      <c r="I370" s="1493"/>
      <c r="J370" s="1493"/>
      <c r="K370" s="1493"/>
      <c r="L370" s="1493"/>
      <c r="M370" s="1493"/>
      <c r="N370" s="1493"/>
      <c r="O370" s="1493"/>
      <c r="P370" s="1493"/>
      <c r="Q370" s="1493"/>
      <c r="R370" s="1493"/>
      <c r="S370" s="1493"/>
      <c r="T370" s="1490"/>
    </row>
    <row r="371" spans="1:20" ht="12.75">
      <c r="A371" s="1491"/>
      <c r="B371" s="1491"/>
      <c r="C371" s="1531">
        <v>-7411.42</v>
      </c>
      <c r="D371" s="1491" t="s">
        <v>340</v>
      </c>
      <c r="E371" s="1491"/>
      <c r="F371" s="1491"/>
      <c r="G371" s="1491"/>
      <c r="H371" s="1491"/>
      <c r="I371" s="1493"/>
      <c r="J371" s="1493"/>
      <c r="K371" s="1493"/>
      <c r="L371" s="1493"/>
      <c r="M371" s="1493"/>
      <c r="N371" s="1493"/>
      <c r="O371" s="1493"/>
      <c r="P371" s="1493"/>
      <c r="Q371" s="1493"/>
      <c r="R371" s="1493"/>
      <c r="S371" s="1493"/>
      <c r="T371" s="1490"/>
    </row>
    <row r="372" spans="1:20" ht="12.75">
      <c r="A372" s="1491"/>
      <c r="B372" s="1491"/>
      <c r="C372" s="1531"/>
      <c r="D372" s="1491"/>
      <c r="E372" s="1491"/>
      <c r="F372" s="1491"/>
      <c r="G372" s="1491"/>
      <c r="H372" s="1491"/>
      <c r="I372" s="1493"/>
      <c r="J372" s="1493"/>
      <c r="K372" s="1493"/>
      <c r="L372" s="1493"/>
      <c r="M372" s="1493"/>
      <c r="N372" s="1493"/>
      <c r="O372" s="1493"/>
      <c r="P372" s="1493"/>
      <c r="Q372" s="1493"/>
      <c r="R372" s="1493"/>
      <c r="S372" s="1493"/>
      <c r="T372" s="1490"/>
    </row>
    <row r="373" spans="1:20" ht="38.25">
      <c r="A373" s="1491"/>
      <c r="B373" s="1500">
        <v>3.3</v>
      </c>
      <c r="C373" s="1501" t="s">
        <v>596</v>
      </c>
      <c r="D373" s="1491"/>
      <c r="E373" s="1491"/>
      <c r="F373" s="1491"/>
      <c r="G373" s="1491"/>
      <c r="H373" s="1491"/>
      <c r="I373" s="1493"/>
      <c r="J373" s="1493"/>
      <c r="K373" s="1493"/>
      <c r="L373" s="1493"/>
      <c r="M373" s="1493"/>
      <c r="N373" s="1493"/>
      <c r="O373" s="1493"/>
      <c r="P373" s="1493"/>
      <c r="Q373" s="1493"/>
      <c r="R373" s="1493"/>
      <c r="S373" s="1493"/>
      <c r="T373" s="1490"/>
    </row>
    <row r="374" spans="1:20" ht="12.75">
      <c r="A374" s="1491"/>
      <c r="B374" s="1491"/>
      <c r="C374" s="1491"/>
      <c r="D374" s="1491"/>
      <c r="E374" s="1491"/>
      <c r="F374" s="1491"/>
      <c r="G374" s="1491"/>
      <c r="H374" s="1491"/>
      <c r="I374" s="1493"/>
      <c r="J374" s="1493"/>
      <c r="K374" s="1503"/>
      <c r="L374" s="1493"/>
      <c r="M374" s="1493"/>
      <c r="N374" s="1493"/>
      <c r="O374" s="1493"/>
      <c r="P374" s="1493"/>
      <c r="Q374" s="1493"/>
      <c r="R374" s="1493"/>
      <c r="S374" s="1493"/>
      <c r="T374" s="1490"/>
    </row>
    <row r="375" spans="1:20" ht="12.75">
      <c r="A375" s="1491"/>
      <c r="B375" s="1532"/>
      <c r="C375" s="1531">
        <v>406.27</v>
      </c>
      <c r="D375" s="1491" t="s">
        <v>352</v>
      </c>
      <c r="E375" s="1491"/>
      <c r="F375" s="1491"/>
      <c r="G375" s="1491"/>
      <c r="H375" s="1491"/>
      <c r="I375" s="1493"/>
      <c r="J375" s="1493"/>
      <c r="K375" s="1493"/>
      <c r="L375" s="1493"/>
      <c r="M375" s="1493"/>
      <c r="N375" s="1493"/>
      <c r="O375" s="1493"/>
      <c r="P375" s="1493"/>
      <c r="Q375" s="1493"/>
      <c r="R375" s="1493"/>
      <c r="S375" s="1493"/>
      <c r="T375" s="1490"/>
    </row>
    <row r="376" spans="1:20" ht="12.75">
      <c r="A376" s="1491"/>
      <c r="B376" s="1532"/>
      <c r="C376" s="1531">
        <v>-424.39</v>
      </c>
      <c r="D376" s="1491" t="s">
        <v>353</v>
      </c>
      <c r="E376" s="1491"/>
      <c r="F376" s="1491"/>
      <c r="G376" s="1491"/>
      <c r="H376" s="1491"/>
      <c r="I376" s="1493"/>
      <c r="J376" s="1493"/>
      <c r="K376" s="1493"/>
      <c r="L376" s="1493"/>
      <c r="M376" s="1493"/>
      <c r="N376" s="1493"/>
      <c r="O376" s="1493"/>
      <c r="P376" s="1493"/>
      <c r="Q376" s="1493"/>
      <c r="R376" s="1493"/>
      <c r="S376" s="1493"/>
      <c r="T376" s="1490"/>
    </row>
    <row r="377" spans="1:20" ht="12.75">
      <c r="A377" s="1491"/>
      <c r="B377" s="1532"/>
      <c r="C377" s="1531">
        <v>-2.81</v>
      </c>
      <c r="D377" s="1491" t="s">
        <v>346</v>
      </c>
      <c r="E377" s="1491"/>
      <c r="F377" s="1491"/>
      <c r="G377" s="1491"/>
      <c r="H377" s="1491"/>
      <c r="I377" s="1493"/>
      <c r="J377" s="1493"/>
      <c r="K377" s="1493"/>
      <c r="L377" s="1493"/>
      <c r="M377" s="1493"/>
      <c r="N377" s="1493"/>
      <c r="O377" s="1511">
        <v>2.81</v>
      </c>
      <c r="P377" s="1493"/>
      <c r="Q377" s="1493"/>
      <c r="R377" s="1493"/>
      <c r="S377" s="1493"/>
      <c r="T377" s="1490"/>
    </row>
    <row r="378" spans="1:20" ht="12.75">
      <c r="A378" s="1491"/>
      <c r="B378" s="1532"/>
      <c r="C378" s="1515">
        <v>-2926.86</v>
      </c>
      <c r="D378" s="1491" t="s">
        <v>303</v>
      </c>
      <c r="E378" s="1491"/>
      <c r="F378" s="1491"/>
      <c r="G378" s="1491"/>
      <c r="H378" s="1491"/>
      <c r="I378" s="1493"/>
      <c r="J378" s="1493"/>
      <c r="K378" s="1493"/>
      <c r="L378" s="1493"/>
      <c r="M378" s="1493"/>
      <c r="N378" s="1493"/>
      <c r="O378" s="1493"/>
      <c r="P378" s="1493"/>
      <c r="Q378" s="1493"/>
      <c r="R378" s="1493"/>
      <c r="S378" s="1493"/>
      <c r="T378" s="1490"/>
    </row>
    <row r="379" spans="1:20" ht="12.75">
      <c r="A379" s="1491"/>
      <c r="B379" s="1532"/>
      <c r="C379" s="1515">
        <v>4704.43</v>
      </c>
      <c r="D379" s="1491" t="s">
        <v>274</v>
      </c>
      <c r="E379" s="1491"/>
      <c r="F379" s="1491"/>
      <c r="G379" s="1491"/>
      <c r="H379" s="1491"/>
      <c r="I379" s="1493"/>
      <c r="J379" s="1493"/>
      <c r="K379" s="1493"/>
      <c r="L379" s="1493"/>
      <c r="M379" s="1493"/>
      <c r="N379" s="1493"/>
      <c r="O379" s="1493"/>
      <c r="P379" s="1511">
        <v>4704.43</v>
      </c>
      <c r="Q379" s="1493"/>
      <c r="R379" s="1493"/>
      <c r="S379" s="1493"/>
      <c r="T379" s="1490"/>
    </row>
    <row r="380" spans="1:20" ht="12.75">
      <c r="A380" s="1491"/>
      <c r="B380" s="1532"/>
      <c r="C380" s="1515">
        <v>-218.71</v>
      </c>
      <c r="D380" s="1491" t="s">
        <v>329</v>
      </c>
      <c r="E380" s="1491"/>
      <c r="F380" s="1491"/>
      <c r="G380" s="1491"/>
      <c r="H380" s="1491"/>
      <c r="I380" s="1493"/>
      <c r="J380" s="1493"/>
      <c r="K380" s="1493"/>
      <c r="L380" s="1493"/>
      <c r="M380" s="1493"/>
      <c r="N380" s="1493"/>
      <c r="O380" s="1493"/>
      <c r="P380" s="1493"/>
      <c r="Q380" s="1493"/>
      <c r="R380" s="1493"/>
      <c r="S380" s="1493"/>
      <c r="T380" s="1490"/>
    </row>
    <row r="381" spans="1:20" ht="12.75">
      <c r="A381" s="1491"/>
      <c r="B381" s="1506"/>
      <c r="C381" s="1506">
        <v>29663.6</v>
      </c>
      <c r="D381" s="1491" t="s">
        <v>996</v>
      </c>
      <c r="E381" s="1491"/>
      <c r="F381" s="1491"/>
      <c r="G381" s="1491"/>
      <c r="H381" s="1491"/>
      <c r="I381" s="1493"/>
      <c r="J381" s="1493"/>
      <c r="K381" s="1493"/>
      <c r="L381" s="1493"/>
      <c r="M381" s="1493"/>
      <c r="N381" s="1493"/>
      <c r="O381" s="1493"/>
      <c r="P381" s="1493"/>
      <c r="Q381" s="1493"/>
      <c r="R381" s="1493"/>
      <c r="S381" s="1493"/>
      <c r="T381" s="1490"/>
    </row>
    <row r="382" spans="1:20" ht="12.75">
      <c r="A382" s="1491"/>
      <c r="B382" s="1532"/>
      <c r="C382" s="1506">
        <v>-1926.22</v>
      </c>
      <c r="D382" s="1491" t="s">
        <v>1032</v>
      </c>
      <c r="E382" s="1491"/>
      <c r="F382" s="1491"/>
      <c r="G382" s="1491"/>
      <c r="H382" s="1491"/>
      <c r="I382" s="1493"/>
      <c r="J382" s="1493"/>
      <c r="K382" s="1493"/>
      <c r="L382" s="1493"/>
      <c r="M382" s="1493"/>
      <c r="N382" s="1493"/>
      <c r="O382" s="1493"/>
      <c r="P382" s="1493"/>
      <c r="Q382" s="1493"/>
      <c r="R382" s="1493"/>
      <c r="S382" s="1493"/>
      <c r="T382" s="1490"/>
    </row>
    <row r="383" spans="1:20" ht="12.75">
      <c r="A383" s="1491"/>
      <c r="B383" s="1532"/>
      <c r="C383" s="1506">
        <v>70.28</v>
      </c>
      <c r="D383" s="1491" t="s">
        <v>355</v>
      </c>
      <c r="E383" s="1491"/>
      <c r="F383" s="1491"/>
      <c r="G383" s="1491"/>
      <c r="H383" s="1491"/>
      <c r="I383" s="1493"/>
      <c r="J383" s="1493"/>
      <c r="K383" s="1493"/>
      <c r="L383" s="1493"/>
      <c r="M383" s="1493"/>
      <c r="N383" s="1493"/>
      <c r="O383" s="1493"/>
      <c r="P383" s="1493"/>
      <c r="Q383" s="1492">
        <v>70.28</v>
      </c>
      <c r="R383" s="1493"/>
      <c r="S383" s="1493"/>
      <c r="T383" s="1490"/>
    </row>
    <row r="384" spans="1:20" ht="12.75">
      <c r="A384" s="1491"/>
      <c r="B384" s="1532"/>
      <c r="C384" s="1506">
        <v>100</v>
      </c>
      <c r="D384" s="1491" t="s">
        <v>1040</v>
      </c>
      <c r="E384" s="1491"/>
      <c r="F384" s="1491"/>
      <c r="G384" s="1491"/>
      <c r="H384" s="1491"/>
      <c r="I384" s="1493"/>
      <c r="J384" s="1493"/>
      <c r="K384" s="1493"/>
      <c r="L384" s="1493"/>
      <c r="M384" s="1493"/>
      <c r="N384" s="1493"/>
      <c r="O384" s="1493"/>
      <c r="P384" s="1493"/>
      <c r="Q384" s="1493"/>
      <c r="R384" s="1493"/>
      <c r="S384" s="1493"/>
      <c r="T384" s="1490"/>
    </row>
    <row r="385" spans="1:20" ht="12.75">
      <c r="A385" s="1491"/>
      <c r="B385" s="1506"/>
      <c r="C385" s="1506">
        <v>13219.89</v>
      </c>
      <c r="D385" s="1491" t="s">
        <v>1041</v>
      </c>
      <c r="E385" s="1491"/>
      <c r="F385" s="1491"/>
      <c r="G385" s="1491"/>
      <c r="H385" s="1491"/>
      <c r="I385" s="1493"/>
      <c r="J385" s="1493"/>
      <c r="K385" s="1493"/>
      <c r="L385" s="1493"/>
      <c r="M385" s="1493"/>
      <c r="N385" s="1493"/>
      <c r="O385" s="1493"/>
      <c r="P385" s="1493"/>
      <c r="Q385" s="1493"/>
      <c r="R385" s="1493"/>
      <c r="S385" s="1493"/>
      <c r="T385" s="1490"/>
    </row>
    <row r="386" spans="1:20" ht="12.75">
      <c r="A386" s="1491"/>
      <c r="B386" s="1532"/>
      <c r="C386" s="1506">
        <v>777.44</v>
      </c>
      <c r="D386" s="1491" t="s">
        <v>1042</v>
      </c>
      <c r="E386" s="1491"/>
      <c r="F386" s="1491"/>
      <c r="G386" s="1491"/>
      <c r="H386" s="1491"/>
      <c r="I386" s="1493"/>
      <c r="J386" s="1493"/>
      <c r="K386" s="1493"/>
      <c r="L386" s="1493"/>
      <c r="M386" s="1493"/>
      <c r="N386" s="1493"/>
      <c r="O386" s="1493"/>
      <c r="P386" s="1493"/>
      <c r="Q386" s="1493"/>
      <c r="R386" s="1493"/>
      <c r="S386" s="1493"/>
      <c r="T386" s="1490"/>
    </row>
    <row r="387" spans="1:20" ht="12.75">
      <c r="A387" s="1491"/>
      <c r="B387" s="1506"/>
      <c r="C387" s="1506">
        <v>2229.58</v>
      </c>
      <c r="D387" s="1491" t="s">
        <v>1043</v>
      </c>
      <c r="E387" s="1491"/>
      <c r="F387" s="1491"/>
      <c r="G387" s="1491"/>
      <c r="H387" s="1491"/>
      <c r="I387" s="1493"/>
      <c r="J387" s="1493"/>
      <c r="K387" s="1493"/>
      <c r="L387" s="1493"/>
      <c r="M387" s="1493"/>
      <c r="N387" s="1493"/>
      <c r="O387" s="1493"/>
      <c r="P387" s="1493"/>
      <c r="Q387" s="1493"/>
      <c r="R387" s="1493"/>
      <c r="S387" s="1493"/>
      <c r="T387" s="1490"/>
    </row>
    <row r="388" spans="1:20" ht="12.75">
      <c r="A388" s="1491"/>
      <c r="B388" s="1520"/>
      <c r="C388" s="1520">
        <v>-290.75</v>
      </c>
      <c r="D388" s="1491" t="s">
        <v>293</v>
      </c>
      <c r="E388" s="1491"/>
      <c r="F388" s="1491"/>
      <c r="G388" s="1491"/>
      <c r="H388" s="1491"/>
      <c r="I388" s="1493"/>
      <c r="J388" s="1493"/>
      <c r="K388" s="1493"/>
      <c r="L388" s="1493"/>
      <c r="M388" s="1493"/>
      <c r="N388" s="1493"/>
      <c r="O388" s="1493"/>
      <c r="P388" s="1493"/>
      <c r="Q388" s="1493"/>
      <c r="R388" s="1493"/>
      <c r="S388" s="1493"/>
      <c r="T388" s="1490"/>
    </row>
    <row r="389" spans="1:20" ht="12.75">
      <c r="A389" s="1491"/>
      <c r="B389" s="1520"/>
      <c r="C389" s="1506">
        <v>1619.28</v>
      </c>
      <c r="D389" s="1491" t="s">
        <v>20</v>
      </c>
      <c r="E389" s="1491"/>
      <c r="F389" s="1491"/>
      <c r="G389" s="1491"/>
      <c r="H389" s="1491"/>
      <c r="I389" s="1493"/>
      <c r="J389" s="1493"/>
      <c r="K389" s="1493"/>
      <c r="L389" s="1493"/>
      <c r="M389" s="1493"/>
      <c r="N389" s="1493"/>
      <c r="O389" s="1493"/>
      <c r="P389" s="1493"/>
      <c r="Q389" s="1493"/>
      <c r="R389" s="1493"/>
      <c r="S389" s="1493"/>
      <c r="T389" s="1490"/>
    </row>
    <row r="390" spans="1:20" ht="12.75">
      <c r="A390" s="1491"/>
      <c r="B390" s="1532"/>
      <c r="C390" s="1520">
        <v>-3.29</v>
      </c>
      <c r="D390" s="1491" t="s">
        <v>11</v>
      </c>
      <c r="E390" s="1491"/>
      <c r="F390" s="1491"/>
      <c r="G390" s="1491"/>
      <c r="H390" s="1491"/>
      <c r="I390" s="1493"/>
      <c r="J390" s="1492"/>
      <c r="K390" s="1493"/>
      <c r="L390" s="1493"/>
      <c r="M390" s="1493"/>
      <c r="N390" s="1493"/>
      <c r="O390" s="1493"/>
      <c r="P390" s="1493"/>
      <c r="Q390" s="1493"/>
      <c r="R390" s="1493"/>
      <c r="S390" s="1493"/>
      <c r="T390" s="1490"/>
    </row>
    <row r="391" spans="1:20" ht="12.75">
      <c r="A391" s="1491"/>
      <c r="B391" s="1532"/>
      <c r="C391" s="1520">
        <v>-768.3</v>
      </c>
      <c r="D391" s="1491" t="s">
        <v>28</v>
      </c>
      <c r="E391" s="1491"/>
      <c r="F391" s="1491"/>
      <c r="G391" s="1491"/>
      <c r="H391" s="1491"/>
      <c r="I391" s="1493"/>
      <c r="J391" s="1493"/>
      <c r="K391" s="1493"/>
      <c r="L391" s="1493"/>
      <c r="M391" s="1493"/>
      <c r="N391" s="1493"/>
      <c r="O391" s="1493"/>
      <c r="P391" s="1493"/>
      <c r="Q391" s="1493"/>
      <c r="R391" s="1493"/>
      <c r="S391" s="1493"/>
      <c r="T391" s="1490"/>
    </row>
    <row r="392" spans="1:20" ht="12.75">
      <c r="A392" s="1491"/>
      <c r="B392" s="1532"/>
      <c r="C392" s="1520">
        <v>-4.01</v>
      </c>
      <c r="D392" s="1491" t="s">
        <v>264</v>
      </c>
      <c r="E392" s="1491"/>
      <c r="F392" s="1491"/>
      <c r="G392" s="1491"/>
      <c r="H392" s="1491"/>
      <c r="I392" s="1493"/>
      <c r="J392" s="1493"/>
      <c r="K392" s="1493"/>
      <c r="L392" s="1493"/>
      <c r="M392" s="1493"/>
      <c r="N392" s="1493"/>
      <c r="O392" s="1493"/>
      <c r="P392" s="1493"/>
      <c r="Q392" s="1493"/>
      <c r="R392" s="1493"/>
      <c r="S392" s="1493"/>
      <c r="T392" s="1490"/>
    </row>
    <row r="393" spans="1:20" ht="12.75">
      <c r="A393" s="1491"/>
      <c r="B393" s="1532"/>
      <c r="C393" s="1520">
        <v>-2310.09</v>
      </c>
      <c r="D393" s="1491" t="s">
        <v>12</v>
      </c>
      <c r="E393" s="1491"/>
      <c r="F393" s="1491"/>
      <c r="G393" s="1491"/>
      <c r="H393" s="1491"/>
      <c r="I393" s="1492"/>
      <c r="J393" s="1493"/>
      <c r="K393" s="1493"/>
      <c r="L393" s="1493"/>
      <c r="M393" s="1493"/>
      <c r="N393" s="1493"/>
      <c r="O393" s="1493"/>
      <c r="P393" s="1493"/>
      <c r="Q393" s="1493"/>
      <c r="R393" s="1493"/>
      <c r="S393" s="1493"/>
      <c r="T393" s="1490"/>
    </row>
    <row r="394" spans="1:20" ht="12.75">
      <c r="A394" s="1491"/>
      <c r="B394" s="1532"/>
      <c r="C394" s="1520">
        <v>1387.9</v>
      </c>
      <c r="D394" t="s">
        <v>5</v>
      </c>
      <c r="E394" s="1491"/>
      <c r="F394" s="1491"/>
      <c r="G394" s="1491"/>
      <c r="H394" s="1491"/>
      <c r="I394" s="1492"/>
      <c r="J394" s="1493"/>
      <c r="K394" s="1493"/>
      <c r="L394" s="1493"/>
      <c r="M394" s="1493"/>
      <c r="N394" s="1493"/>
      <c r="O394" s="1493"/>
      <c r="P394" s="1493"/>
      <c r="Q394" s="1493"/>
      <c r="R394" s="1493"/>
      <c r="S394" s="1493"/>
      <c r="T394" s="1490"/>
    </row>
    <row r="395" spans="1:20" ht="12.75">
      <c r="A395" s="1491"/>
      <c r="B395" s="1532"/>
      <c r="C395" s="1520">
        <v>-420</v>
      </c>
      <c r="D395" t="s">
        <v>722</v>
      </c>
      <c r="E395" s="1491"/>
      <c r="F395" s="1491"/>
      <c r="G395" s="1491"/>
      <c r="H395" s="1491"/>
      <c r="I395" s="1492"/>
      <c r="J395" s="1493"/>
      <c r="K395" s="1493"/>
      <c r="L395" s="1493"/>
      <c r="M395" s="1493"/>
      <c r="N395" s="1493"/>
      <c r="O395" s="1493"/>
      <c r="P395" s="1493"/>
      <c r="Q395" s="1493"/>
      <c r="R395" s="1493"/>
      <c r="S395" s="1493"/>
      <c r="T395" s="1490"/>
    </row>
    <row r="396" spans="1:20" ht="12.75">
      <c r="A396" s="1491"/>
      <c r="B396" s="1532"/>
      <c r="C396" s="1520">
        <v>-209</v>
      </c>
      <c r="D396" t="s">
        <v>704</v>
      </c>
      <c r="E396" s="1491"/>
      <c r="F396" s="1491"/>
      <c r="G396" s="1491"/>
      <c r="H396" s="1491"/>
      <c r="I396" s="1492"/>
      <c r="J396" s="1493"/>
      <c r="K396" s="1493"/>
      <c r="L396" s="1493"/>
      <c r="M396" s="1493"/>
      <c r="N396" s="1493"/>
      <c r="O396" s="1493"/>
      <c r="P396" s="1493"/>
      <c r="Q396" s="1493"/>
      <c r="R396" s="1493"/>
      <c r="S396" s="1493"/>
      <c r="T396" s="1529">
        <f>-C396</f>
        <v>209</v>
      </c>
    </row>
    <row r="397" spans="1:20" ht="12.75">
      <c r="A397" s="1491"/>
      <c r="B397" s="1532"/>
      <c r="C397" s="1532">
        <f>+SUM(C375:C396)</f>
        <v>44674.24</v>
      </c>
      <c r="D397" s="1491" t="s">
        <v>340</v>
      </c>
      <c r="E397" s="1532"/>
      <c r="F397" s="1532"/>
      <c r="G397" s="1491"/>
      <c r="H397" s="1491"/>
      <c r="I397" s="1493"/>
      <c r="J397" s="1493"/>
      <c r="K397" s="1493"/>
      <c r="L397" s="1493"/>
      <c r="M397" s="1493"/>
      <c r="N397" s="1493"/>
      <c r="O397" s="1493"/>
      <c r="P397" s="1493"/>
      <c r="Q397" s="1493"/>
      <c r="R397" s="1493"/>
      <c r="S397" s="1493"/>
      <c r="T397" s="1490" t="s">
        <v>808</v>
      </c>
    </row>
    <row r="398" spans="1:20" ht="12.75">
      <c r="A398" s="1491"/>
      <c r="B398" s="1532"/>
      <c r="C398" s="1532"/>
      <c r="D398" s="1532"/>
      <c r="E398" s="1532"/>
      <c r="F398" s="1532"/>
      <c r="G398" s="1491"/>
      <c r="H398" s="1491"/>
      <c r="I398" s="1493"/>
      <c r="J398" s="1493"/>
      <c r="K398" s="1493"/>
      <c r="L398" s="1493"/>
      <c r="M398" s="1493"/>
      <c r="N398" s="1493"/>
      <c r="O398" s="1493"/>
      <c r="P398" s="1493"/>
      <c r="Q398" s="1493"/>
      <c r="R398" s="1493"/>
      <c r="S398" s="1493"/>
      <c r="T398" s="1490"/>
    </row>
    <row r="399" spans="1:20" ht="25.5">
      <c r="A399" s="1491"/>
      <c r="B399" s="1500">
        <v>3.4</v>
      </c>
      <c r="C399" s="1501" t="s">
        <v>587</v>
      </c>
      <c r="D399" s="1501" t="s">
        <v>597</v>
      </c>
      <c r="E399" s="1491"/>
      <c r="F399" s="1491"/>
      <c r="G399" s="1491"/>
      <c r="H399" s="1491"/>
      <c r="I399" s="1520"/>
      <c r="K399" s="1491"/>
      <c r="L399" s="1493"/>
      <c r="M399" s="1493"/>
      <c r="N399" s="1493"/>
      <c r="O399" s="1493"/>
      <c r="P399" s="1493"/>
      <c r="Q399" s="1493"/>
      <c r="R399" s="1493"/>
      <c r="S399" s="1493"/>
      <c r="T399" s="1490"/>
    </row>
    <row r="400" spans="1:20" ht="12.75">
      <c r="A400" s="1491"/>
      <c r="B400" s="1491"/>
      <c r="C400" s="1491"/>
      <c r="D400" s="1491"/>
      <c r="E400" s="1491"/>
      <c r="F400" s="1491"/>
      <c r="G400" s="1491"/>
      <c r="H400" s="1491"/>
      <c r="I400" s="1520"/>
      <c r="K400" s="1491"/>
      <c r="L400" s="1493"/>
      <c r="M400" s="1493"/>
      <c r="N400" s="1493"/>
      <c r="O400" s="1493"/>
      <c r="P400" s="1493"/>
      <c r="Q400" s="1493"/>
      <c r="R400" s="1493"/>
      <c r="S400" s="1493"/>
      <c r="T400" s="1490"/>
    </row>
    <row r="401" spans="1:20" ht="12.75">
      <c r="A401" s="1491"/>
      <c r="B401" s="1491"/>
      <c r="C401" s="1531">
        <v>-1123.2</v>
      </c>
      <c r="D401" s="1491" t="s">
        <v>356</v>
      </c>
      <c r="E401" s="1491"/>
      <c r="F401" s="1491"/>
      <c r="G401" s="1491"/>
      <c r="H401" s="1491"/>
      <c r="I401" s="1520"/>
      <c r="K401" s="1491"/>
      <c r="L401" s="1493"/>
      <c r="M401" s="1493"/>
      <c r="N401" s="1493"/>
      <c r="O401" s="1493"/>
      <c r="P401" s="1493"/>
      <c r="Q401" s="1493"/>
      <c r="R401" s="1493"/>
      <c r="S401" s="1493"/>
      <c r="T401" s="1490"/>
    </row>
    <row r="402" spans="1:20" ht="12.75">
      <c r="A402" s="1491"/>
      <c r="B402" s="1491"/>
      <c r="C402" s="1531">
        <v>-952.33</v>
      </c>
      <c r="D402" s="1491" t="s">
        <v>995</v>
      </c>
      <c r="E402" s="1491"/>
      <c r="F402" s="1491"/>
      <c r="G402" s="1491"/>
      <c r="H402" s="1491"/>
      <c r="I402" s="1506"/>
      <c r="J402" s="1507"/>
      <c r="K402" s="1491"/>
      <c r="L402" s="1493"/>
      <c r="M402" s="1534"/>
      <c r="N402" s="1493"/>
      <c r="O402" s="1493"/>
      <c r="P402" s="1493"/>
      <c r="Q402" s="1493"/>
      <c r="R402" s="1493"/>
      <c r="S402" s="1493"/>
      <c r="T402" s="1490"/>
    </row>
    <row r="403" spans="1:20" ht="12.75">
      <c r="A403" s="1491"/>
      <c r="B403" s="1491"/>
      <c r="C403" s="1531">
        <v>-172.67</v>
      </c>
      <c r="D403" s="1491" t="s">
        <v>306</v>
      </c>
      <c r="E403" s="1491"/>
      <c r="F403" s="1491"/>
      <c r="G403" s="1491"/>
      <c r="H403" s="1491"/>
      <c r="I403" s="1493"/>
      <c r="J403" s="1493"/>
      <c r="K403" s="1493"/>
      <c r="L403" s="1493"/>
      <c r="M403" s="1493"/>
      <c r="N403" s="1493"/>
      <c r="O403" s="1493"/>
      <c r="P403" s="1511">
        <v>172.67</v>
      </c>
      <c r="Q403" s="1493"/>
      <c r="R403" s="1493"/>
      <c r="S403" s="1493"/>
      <c r="T403" s="1490"/>
    </row>
    <row r="404" spans="1:20" ht="12.75">
      <c r="A404" s="1491"/>
      <c r="B404" s="1491"/>
      <c r="C404" s="1535">
        <v>922.2</v>
      </c>
      <c r="D404" t="s">
        <v>5</v>
      </c>
      <c r="E404" s="1491"/>
      <c r="F404" s="1491"/>
      <c r="G404" s="1491"/>
      <c r="H404" s="1491"/>
      <c r="I404" s="1493"/>
      <c r="J404" s="1493"/>
      <c r="K404" s="1493"/>
      <c r="L404" s="1493"/>
      <c r="M404" s="1493"/>
      <c r="N404" s="1493"/>
      <c r="O404" s="1493"/>
      <c r="P404" s="1511"/>
      <c r="Q404" s="1493"/>
      <c r="R404" s="1493"/>
      <c r="S404" s="1493"/>
      <c r="T404" s="1490"/>
    </row>
    <row r="405" spans="1:20" ht="12.75">
      <c r="A405" s="1491"/>
      <c r="B405" s="1491"/>
      <c r="C405" s="1535">
        <v>1050</v>
      </c>
      <c r="D405" t="s">
        <v>722</v>
      </c>
      <c r="E405" s="1491"/>
      <c r="F405" s="1491"/>
      <c r="G405" s="1491"/>
      <c r="H405" s="1491"/>
      <c r="I405" s="1493"/>
      <c r="J405" s="1493"/>
      <c r="K405" s="1493"/>
      <c r="L405" s="1493"/>
      <c r="M405" s="1493"/>
      <c r="N405" s="1493"/>
      <c r="O405" s="1493"/>
      <c r="P405" s="1511"/>
      <c r="Q405" s="1493"/>
      <c r="R405" s="1493"/>
      <c r="S405" s="1493"/>
      <c r="T405" s="1490"/>
    </row>
    <row r="406" spans="1:20" ht="12.75">
      <c r="A406" s="1491"/>
      <c r="B406" s="1491"/>
      <c r="C406" s="1535">
        <v>-2309.7</v>
      </c>
      <c r="D406" t="s">
        <v>725</v>
      </c>
      <c r="E406" s="1491"/>
      <c r="F406" s="1491"/>
      <c r="G406" s="1491"/>
      <c r="H406" s="1491"/>
      <c r="I406" s="1493"/>
      <c r="J406" s="1493"/>
      <c r="K406" s="1511">
        <f>-C406</f>
        <v>2309.7</v>
      </c>
      <c r="L406" s="1493"/>
      <c r="M406" s="1493"/>
      <c r="N406" s="1493"/>
      <c r="O406" s="1493"/>
      <c r="P406" s="1511"/>
      <c r="Q406" s="1493"/>
      <c r="R406" s="1493"/>
      <c r="S406" s="1493"/>
      <c r="T406" s="1490"/>
    </row>
    <row r="407" spans="1:20" ht="12.75">
      <c r="A407" s="1491"/>
      <c r="B407" s="1491"/>
      <c r="C407" s="1531">
        <f>+SUM(C401:C406)</f>
        <v>-2585.7</v>
      </c>
      <c r="D407" s="1491" t="s">
        <v>340</v>
      </c>
      <c r="E407" s="1491"/>
      <c r="F407" s="1491"/>
      <c r="G407" s="1491"/>
      <c r="H407" s="1491"/>
      <c r="I407" s="1493"/>
      <c r="J407" s="1493"/>
      <c r="K407" s="1493"/>
      <c r="L407" s="1493"/>
      <c r="M407" s="1493"/>
      <c r="N407" s="1493"/>
      <c r="O407" s="1493"/>
      <c r="P407" s="1493"/>
      <c r="Q407" s="1493"/>
      <c r="R407" s="1493"/>
      <c r="S407" s="1493"/>
      <c r="T407" s="1490"/>
    </row>
    <row r="408" spans="1:20" ht="12.75">
      <c r="A408" s="1491"/>
      <c r="B408" s="1491"/>
      <c r="C408" s="1531"/>
      <c r="D408" s="1491"/>
      <c r="E408" s="1491"/>
      <c r="F408" s="1491"/>
      <c r="G408" s="1491"/>
      <c r="H408" s="1491"/>
      <c r="I408" s="1493"/>
      <c r="J408" s="1493"/>
      <c r="K408" s="1493"/>
      <c r="L408" s="1493"/>
      <c r="M408" s="1493"/>
      <c r="N408" s="1493"/>
      <c r="O408" s="1493"/>
      <c r="P408" s="1493"/>
      <c r="Q408" s="1493"/>
      <c r="R408" s="1493"/>
      <c r="S408" s="1493"/>
      <c r="T408" s="1490"/>
    </row>
    <row r="409" spans="1:20" ht="12.75">
      <c r="A409" s="1491"/>
      <c r="B409" s="1532"/>
      <c r="C409" s="1532"/>
      <c r="D409" s="1532"/>
      <c r="E409" s="1532"/>
      <c r="F409" s="1532"/>
      <c r="G409" s="1491"/>
      <c r="H409" s="1491"/>
      <c r="I409" s="1493"/>
      <c r="J409" s="1493"/>
      <c r="K409" s="1493"/>
      <c r="L409" s="1493"/>
      <c r="M409" s="1493"/>
      <c r="N409" s="1493"/>
      <c r="O409" s="1493"/>
      <c r="P409" s="1493"/>
      <c r="Q409" s="1493"/>
      <c r="R409" s="1493"/>
      <c r="S409" s="1493"/>
      <c r="T409" s="1490"/>
    </row>
    <row r="410" spans="1:20" ht="25.5">
      <c r="A410" s="1491"/>
      <c r="B410" s="1536">
        <v>3.5</v>
      </c>
      <c r="C410" s="1537" t="s">
        <v>587</v>
      </c>
      <c r="D410" s="1521" t="s">
        <v>590</v>
      </c>
      <c r="E410" s="1491"/>
      <c r="F410" s="1491"/>
      <c r="G410" s="1491"/>
      <c r="H410" s="1491"/>
      <c r="I410" s="1493"/>
      <c r="J410" s="1493"/>
      <c r="K410" s="1493"/>
      <c r="L410" s="1493"/>
      <c r="M410" s="1493"/>
      <c r="N410" s="1493"/>
      <c r="O410" s="1493"/>
      <c r="P410" s="1493"/>
      <c r="Q410" s="1493"/>
      <c r="R410" s="1493"/>
      <c r="S410" s="1493"/>
      <c r="T410" s="1490"/>
    </row>
    <row r="411" spans="1:20" ht="12.75">
      <c r="A411" s="1491"/>
      <c r="B411" s="1507"/>
      <c r="C411" s="1507"/>
      <c r="D411" s="1507"/>
      <c r="E411" s="1507"/>
      <c r="F411" s="1491"/>
      <c r="G411" s="1491"/>
      <c r="H411" s="1491"/>
      <c r="I411" s="1493"/>
      <c r="J411" s="1493"/>
      <c r="K411" s="1493"/>
      <c r="L411" s="1493"/>
      <c r="M411" s="1493"/>
      <c r="N411" s="1493"/>
      <c r="O411" s="1493"/>
      <c r="P411" s="1493"/>
      <c r="Q411" s="1493"/>
      <c r="R411" s="1493"/>
      <c r="S411" s="1493"/>
      <c r="T411" s="1490"/>
    </row>
    <row r="412" spans="1:20" ht="12.75">
      <c r="A412" s="1491"/>
      <c r="B412" s="1507"/>
      <c r="C412" s="1531">
        <v>-1.9</v>
      </c>
      <c r="D412" s="1507" t="s">
        <v>342</v>
      </c>
      <c r="E412" s="1507"/>
      <c r="F412" s="1491"/>
      <c r="G412" s="1491"/>
      <c r="H412" s="1491"/>
      <c r="I412" s="1493"/>
      <c r="J412" s="1493"/>
      <c r="K412" s="1493"/>
      <c r="L412" s="1493"/>
      <c r="M412" s="1493"/>
      <c r="N412" s="1511">
        <v>1.9</v>
      </c>
      <c r="O412" s="1493"/>
      <c r="P412" s="1493"/>
      <c r="Q412" s="1493"/>
      <c r="R412" s="1493"/>
      <c r="S412" s="1493"/>
      <c r="T412" s="1490"/>
    </row>
    <row r="413" spans="1:20" ht="12.75">
      <c r="A413" s="1491"/>
      <c r="B413" s="1507"/>
      <c r="C413" s="1531">
        <v>-33.41</v>
      </c>
      <c r="D413" s="1507" t="s">
        <v>349</v>
      </c>
      <c r="E413" s="1507"/>
      <c r="F413" s="1491"/>
      <c r="G413" s="1491"/>
      <c r="H413" s="1491"/>
      <c r="I413" s="1493"/>
      <c r="J413" s="1493"/>
      <c r="K413" s="1493"/>
      <c r="L413" s="1493"/>
      <c r="M413" s="1493"/>
      <c r="N413" s="1493"/>
      <c r="O413" s="1493"/>
      <c r="P413" s="1493"/>
      <c r="Q413" s="1493"/>
      <c r="R413" s="1493"/>
      <c r="S413" s="1493"/>
      <c r="T413" s="1490"/>
    </row>
    <row r="414" spans="1:20" ht="12.75">
      <c r="A414" s="1491"/>
      <c r="B414" s="1507"/>
      <c r="C414" s="1531">
        <v>-1747.59</v>
      </c>
      <c r="D414" s="1507" t="s">
        <v>357</v>
      </c>
      <c r="E414" s="1507"/>
      <c r="F414" s="1491"/>
      <c r="G414" s="1491"/>
      <c r="H414" s="1491"/>
      <c r="I414" s="1493"/>
      <c r="J414" s="1493"/>
      <c r="K414" s="1493"/>
      <c r="L414" s="1493"/>
      <c r="M414" s="1493"/>
      <c r="N414" s="1493"/>
      <c r="O414" s="1493"/>
      <c r="P414" s="1493"/>
      <c r="Q414" s="1493"/>
      <c r="R414" s="1493"/>
      <c r="S414" s="1493"/>
      <c r="T414" s="1490"/>
    </row>
    <row r="415" spans="1:20" ht="12.75">
      <c r="A415" s="1491"/>
      <c r="B415" s="1507"/>
      <c r="C415" s="1531">
        <v>-602.37</v>
      </c>
      <c r="D415" s="1507" t="s">
        <v>351</v>
      </c>
      <c r="E415" s="1507"/>
      <c r="F415" s="1491"/>
      <c r="G415" s="1491"/>
      <c r="H415" s="1491"/>
      <c r="I415" s="1493"/>
      <c r="J415" s="1493"/>
      <c r="K415" s="1493"/>
      <c r="L415" s="1493"/>
      <c r="M415" s="1493"/>
      <c r="N415" s="1493"/>
      <c r="O415" s="1493"/>
      <c r="P415" s="1493"/>
      <c r="Q415" s="1493"/>
      <c r="R415" s="1493"/>
      <c r="S415" s="1493"/>
      <c r="T415" s="1490"/>
    </row>
    <row r="416" spans="1:20" ht="12.75">
      <c r="A416" s="1491"/>
      <c r="B416" s="1507"/>
      <c r="C416" s="1531">
        <v>-1080</v>
      </c>
      <c r="D416" s="1507" t="s">
        <v>358</v>
      </c>
      <c r="E416" s="1507"/>
      <c r="F416" s="1491"/>
      <c r="G416" s="1491"/>
      <c r="H416" s="1491"/>
      <c r="I416" s="1493"/>
      <c r="J416" s="1493"/>
      <c r="K416" s="1493"/>
      <c r="L416" s="1493"/>
      <c r="M416" s="1493"/>
      <c r="N416" s="1493"/>
      <c r="O416" s="1493"/>
      <c r="P416" s="1493"/>
      <c r="Q416" s="1493"/>
      <c r="R416" s="1493"/>
      <c r="S416" s="1493"/>
      <c r="T416" s="1490"/>
    </row>
    <row r="417" spans="1:20" ht="12.75">
      <c r="A417" s="1491"/>
      <c r="B417" s="1507"/>
      <c r="C417" s="1531">
        <v>-2308.56</v>
      </c>
      <c r="D417" s="1507" t="s">
        <v>994</v>
      </c>
      <c r="E417" s="1507"/>
      <c r="F417" s="1491"/>
      <c r="G417" s="1491"/>
      <c r="H417" s="1491"/>
      <c r="I417" s="1493"/>
      <c r="J417" s="1493"/>
      <c r="K417" s="1493"/>
      <c r="L417" s="1493"/>
      <c r="M417" s="1493"/>
      <c r="N417" s="1493"/>
      <c r="O417" s="1493"/>
      <c r="P417" s="1493"/>
      <c r="Q417" s="1493"/>
      <c r="R417" s="1493"/>
      <c r="S417" s="1493"/>
      <c r="T417" s="1490"/>
    </row>
    <row r="418" spans="1:20" ht="12.75">
      <c r="A418" s="1491"/>
      <c r="B418" s="1507"/>
      <c r="C418" s="1531">
        <v>-241.44</v>
      </c>
      <c r="D418" s="1507" t="s">
        <v>359</v>
      </c>
      <c r="E418" s="1507"/>
      <c r="F418" s="1491"/>
      <c r="G418" s="1491"/>
      <c r="H418" s="1491"/>
      <c r="I418" s="1493"/>
      <c r="J418" s="1493"/>
      <c r="K418" s="1493"/>
      <c r="L418" s="1493"/>
      <c r="M418" s="1493"/>
      <c r="N418" s="1493"/>
      <c r="O418" s="1493"/>
      <c r="P418" s="1511">
        <v>241.44</v>
      </c>
      <c r="Q418" s="1493"/>
      <c r="R418" s="1493"/>
      <c r="S418" s="1493"/>
      <c r="T418" s="1490"/>
    </row>
    <row r="419" spans="1:20" ht="12.75">
      <c r="A419" s="1491"/>
      <c r="B419" s="1507"/>
      <c r="C419" s="1531">
        <v>-6015.27</v>
      </c>
      <c r="D419" s="1491" t="s">
        <v>340</v>
      </c>
      <c r="E419" s="1507"/>
      <c r="F419" s="1491"/>
      <c r="G419" s="1491"/>
      <c r="H419" s="1491"/>
      <c r="I419" s="1493"/>
      <c r="J419" s="1493"/>
      <c r="K419" s="1493"/>
      <c r="L419" s="1493"/>
      <c r="M419" s="1493"/>
      <c r="N419" s="1493"/>
      <c r="O419" s="1493"/>
      <c r="P419" s="1493"/>
      <c r="Q419" s="1493"/>
      <c r="R419" s="1493"/>
      <c r="S419" s="1493"/>
      <c r="T419" s="1490"/>
    </row>
    <row r="420" spans="1:20" ht="12.75">
      <c r="A420" s="1491"/>
      <c r="B420" s="1532"/>
      <c r="C420" s="1532"/>
      <c r="D420" s="1532"/>
      <c r="E420" s="1532"/>
      <c r="F420" s="1491"/>
      <c r="G420" s="1491"/>
      <c r="H420" s="1491"/>
      <c r="I420" s="1493"/>
      <c r="J420" s="1493"/>
      <c r="K420" s="1493"/>
      <c r="L420" s="1493"/>
      <c r="M420" s="1493"/>
      <c r="N420" s="1493"/>
      <c r="O420" s="1493"/>
      <c r="P420" s="1493"/>
      <c r="Q420" s="1493"/>
      <c r="R420" s="1493"/>
      <c r="S420" s="1493"/>
      <c r="T420" s="1490"/>
    </row>
    <row r="421" spans="1:20" ht="12.75">
      <c r="A421" s="1491"/>
      <c r="B421" s="1491"/>
      <c r="C421" s="1491"/>
      <c r="D421" s="1491"/>
      <c r="E421" s="1491"/>
      <c r="F421" s="1491"/>
      <c r="G421" s="1491"/>
      <c r="H421" s="1491"/>
      <c r="I421" s="1493"/>
      <c r="J421" s="1493"/>
      <c r="K421" s="1493"/>
      <c r="L421" s="1493"/>
      <c r="M421" s="1493"/>
      <c r="N421" s="1493"/>
      <c r="O421" s="1493"/>
      <c r="P421" s="1493"/>
      <c r="Q421" s="1493"/>
      <c r="R421" s="1493"/>
      <c r="S421" s="1493"/>
      <c r="T421" s="1490"/>
    </row>
    <row r="422" spans="1:20" ht="25.5">
      <c r="A422" s="1491"/>
      <c r="B422" s="1500">
        <v>4.1</v>
      </c>
      <c r="C422" s="1501" t="s">
        <v>587</v>
      </c>
      <c r="D422" s="1521" t="s">
        <v>590</v>
      </c>
      <c r="E422" s="1491"/>
      <c r="F422" s="1491"/>
      <c r="G422" s="1491"/>
      <c r="H422" s="1491"/>
      <c r="I422" s="1493"/>
      <c r="J422" s="1493"/>
      <c r="K422" s="1493"/>
      <c r="L422" s="1493"/>
      <c r="M422" s="1493"/>
      <c r="N422" s="1493"/>
      <c r="O422" s="1493"/>
      <c r="P422" s="1493"/>
      <c r="Q422" s="1493"/>
      <c r="R422" s="1493"/>
      <c r="S422" s="1493"/>
      <c r="T422" s="1490"/>
    </row>
    <row r="423" spans="1:20" ht="12.75">
      <c r="A423" s="1491"/>
      <c r="B423" s="1491"/>
      <c r="C423" s="1491"/>
      <c r="D423" s="1491"/>
      <c r="E423" s="1491"/>
      <c r="F423" s="1491"/>
      <c r="G423" s="1491"/>
      <c r="H423" s="1491"/>
      <c r="I423" s="1493"/>
      <c r="J423" s="1493"/>
      <c r="K423" s="1493"/>
      <c r="L423" s="1493"/>
      <c r="M423" s="1493"/>
      <c r="N423" s="1493"/>
      <c r="O423" s="1493"/>
      <c r="P423" s="1493"/>
      <c r="Q423" s="1493"/>
      <c r="R423" s="1493"/>
      <c r="S423" s="1493"/>
      <c r="T423" s="1490"/>
    </row>
    <row r="424" spans="1:20" ht="12.75">
      <c r="A424" s="1491"/>
      <c r="B424" s="1491"/>
      <c r="C424" s="1531">
        <v>-61.16</v>
      </c>
      <c r="D424" s="1491" t="s">
        <v>354</v>
      </c>
      <c r="E424" s="1491"/>
      <c r="F424" s="1491"/>
      <c r="G424" s="1491"/>
      <c r="H424" s="1491"/>
      <c r="I424" s="1493"/>
      <c r="J424" s="1493"/>
      <c r="K424" s="1493"/>
      <c r="L424" s="1493"/>
      <c r="M424" s="1493"/>
      <c r="N424" s="1511">
        <v>61.16</v>
      </c>
      <c r="O424" s="1493"/>
      <c r="P424" s="1493"/>
      <c r="Q424" s="1493"/>
      <c r="R424" s="1493"/>
      <c r="S424" s="1493"/>
      <c r="T424" s="1490"/>
    </row>
    <row r="425" spans="1:20" ht="12.75">
      <c r="A425" s="1491"/>
      <c r="B425" s="1491"/>
      <c r="C425" s="1531">
        <v>-30</v>
      </c>
      <c r="D425" s="1491" t="s">
        <v>349</v>
      </c>
      <c r="E425" s="1491"/>
      <c r="F425" s="1491"/>
      <c r="G425" s="1491"/>
      <c r="H425" s="1491"/>
      <c r="I425" s="1493"/>
      <c r="J425" s="1493"/>
      <c r="K425" s="1493"/>
      <c r="L425" s="1493"/>
      <c r="M425" s="1493"/>
      <c r="N425" s="1493"/>
      <c r="O425" s="1493"/>
      <c r="P425" s="1493"/>
      <c r="Q425" s="1493"/>
      <c r="R425" s="1493"/>
      <c r="S425" s="1493"/>
      <c r="T425" s="1490"/>
    </row>
    <row r="426" spans="1:20" ht="12.75">
      <c r="A426" s="1491"/>
      <c r="B426" s="1491"/>
      <c r="C426" s="1531">
        <v>-1298.52</v>
      </c>
      <c r="D426" s="1491" t="s">
        <v>346</v>
      </c>
      <c r="E426" s="1491"/>
      <c r="F426" s="1491"/>
      <c r="G426" s="1491"/>
      <c r="H426" s="1491"/>
      <c r="I426" s="1493"/>
      <c r="J426" s="1493"/>
      <c r="K426" s="1493"/>
      <c r="L426" s="1493"/>
      <c r="M426" s="1493"/>
      <c r="N426" s="1493"/>
      <c r="O426" s="1511">
        <v>1298.52</v>
      </c>
      <c r="P426" s="1493"/>
      <c r="Q426" s="1493"/>
      <c r="R426" s="1493"/>
      <c r="S426" s="1493"/>
      <c r="T426" s="1490"/>
    </row>
    <row r="427" spans="1:20" ht="12.75">
      <c r="A427" s="1491"/>
      <c r="B427" s="1491"/>
      <c r="C427" s="1531">
        <v>-7</v>
      </c>
      <c r="D427" s="1491" t="s">
        <v>1059</v>
      </c>
      <c r="E427" s="1491"/>
      <c r="F427" s="1491"/>
      <c r="G427" s="1491"/>
      <c r="H427" s="1491"/>
      <c r="I427" s="1493"/>
      <c r="J427" s="1493"/>
      <c r="K427" s="1493"/>
      <c r="L427" s="1493"/>
      <c r="M427" s="1493"/>
      <c r="N427" s="1493"/>
      <c r="O427" s="1493"/>
      <c r="P427" s="1493"/>
      <c r="Q427" s="1493"/>
      <c r="R427" s="1493"/>
      <c r="S427" s="1493"/>
      <c r="T427" s="1490"/>
    </row>
    <row r="428" spans="1:20" ht="12.75">
      <c r="A428" s="1491"/>
      <c r="B428" s="1491"/>
      <c r="C428" s="1531">
        <v>-3174.41</v>
      </c>
      <c r="D428" s="1491" t="s">
        <v>1060</v>
      </c>
      <c r="E428" s="1491"/>
      <c r="F428" s="1491"/>
      <c r="G428" s="1491"/>
      <c r="H428" s="1491"/>
      <c r="I428" s="1493"/>
      <c r="J428" s="1493"/>
      <c r="K428" s="1493"/>
      <c r="L428" s="1493"/>
      <c r="M428" s="1493"/>
      <c r="N428" s="1493"/>
      <c r="O428" s="1493"/>
      <c r="P428" s="1493"/>
      <c r="Q428" s="1493"/>
      <c r="R428" s="1493"/>
      <c r="S428" s="1493"/>
      <c r="T428" s="1490"/>
    </row>
    <row r="429" spans="1:20" ht="12.75">
      <c r="A429" s="1491"/>
      <c r="B429" s="1491"/>
      <c r="C429" s="1531">
        <v>-575.59</v>
      </c>
      <c r="D429" s="1491" t="s">
        <v>360</v>
      </c>
      <c r="E429" s="1491"/>
      <c r="F429" s="1491"/>
      <c r="G429" s="1491"/>
      <c r="H429" s="1491"/>
      <c r="I429" s="1493"/>
      <c r="J429" s="1493"/>
      <c r="K429" s="1493"/>
      <c r="L429" s="1493"/>
      <c r="M429" s="1493"/>
      <c r="N429" s="1493"/>
      <c r="O429" s="1493"/>
      <c r="P429" s="1511">
        <v>575.59</v>
      </c>
      <c r="Q429" s="1493"/>
      <c r="R429" s="1493"/>
      <c r="S429" s="1493"/>
      <c r="T429" s="1490"/>
    </row>
    <row r="430" spans="1:20" ht="12.75">
      <c r="A430" s="1491"/>
      <c r="B430" s="1491"/>
      <c r="C430" s="1531">
        <v>-5146.68</v>
      </c>
      <c r="D430" s="1491" t="s">
        <v>340</v>
      </c>
      <c r="E430" s="1491"/>
      <c r="F430" s="1491"/>
      <c r="G430" s="1491"/>
      <c r="H430" s="1491"/>
      <c r="I430" s="1493"/>
      <c r="J430" s="1493"/>
      <c r="K430" s="1493"/>
      <c r="L430" s="1493"/>
      <c r="M430" s="1493"/>
      <c r="N430" s="1493"/>
      <c r="O430" s="1493"/>
      <c r="P430" s="1493"/>
      <c r="Q430" s="1493"/>
      <c r="R430" s="1493"/>
      <c r="S430" s="1493"/>
      <c r="T430" s="1490"/>
    </row>
    <row r="431" spans="1:20" ht="12.75">
      <c r="A431" s="1491"/>
      <c r="B431" s="1532"/>
      <c r="C431" s="1532"/>
      <c r="D431" s="1532"/>
      <c r="E431" s="1532"/>
      <c r="F431" s="1532"/>
      <c r="G431" s="1491"/>
      <c r="H431" s="1491"/>
      <c r="I431" s="1493"/>
      <c r="J431" s="1493"/>
      <c r="K431" s="1493"/>
      <c r="L431" s="1493"/>
      <c r="M431" s="1493"/>
      <c r="N431" s="1493"/>
      <c r="O431" s="1493"/>
      <c r="P431" s="1493"/>
      <c r="Q431" s="1493"/>
      <c r="R431" s="1493"/>
      <c r="S431" s="1493"/>
      <c r="T431" s="1490"/>
    </row>
    <row r="432" spans="1:20" ht="12.75">
      <c r="A432" s="1491"/>
      <c r="B432" s="1491"/>
      <c r="C432" s="1491"/>
      <c r="D432" s="1491"/>
      <c r="E432" s="1491"/>
      <c r="F432" s="1491"/>
      <c r="G432" s="1491"/>
      <c r="H432" s="1491"/>
      <c r="I432" s="1493"/>
      <c r="J432" s="1493"/>
      <c r="K432" s="1493"/>
      <c r="L432" s="1493"/>
      <c r="M432" s="1493"/>
      <c r="N432" s="1493"/>
      <c r="O432" s="1493"/>
      <c r="P432" s="1493"/>
      <c r="Q432" s="1493"/>
      <c r="R432" s="1493"/>
      <c r="S432" s="1493"/>
      <c r="T432" s="1490"/>
    </row>
    <row r="433" spans="1:20" ht="12.75">
      <c r="A433" s="1491"/>
      <c r="B433" s="1500">
        <v>5.1</v>
      </c>
      <c r="C433" s="1501" t="s">
        <v>584</v>
      </c>
      <c r="D433" s="1521" t="s">
        <v>598</v>
      </c>
      <c r="E433" s="1491"/>
      <c r="F433" s="1491"/>
      <c r="G433" s="1491"/>
      <c r="H433" s="1491"/>
      <c r="I433" s="1493"/>
      <c r="J433" s="1503"/>
      <c r="K433" s="1493"/>
      <c r="L433" s="1493"/>
      <c r="M433" s="1493"/>
      <c r="N433" s="1493"/>
      <c r="O433" s="1493"/>
      <c r="P433" s="1493"/>
      <c r="Q433" s="1493"/>
      <c r="R433" s="1493"/>
      <c r="S433" s="1493"/>
      <c r="T433" s="1490"/>
    </row>
    <row r="434" spans="1:20" ht="12.75">
      <c r="A434" s="1491"/>
      <c r="B434" s="1510"/>
      <c r="C434" s="1512"/>
      <c r="D434" s="1491"/>
      <c r="E434" s="1491"/>
      <c r="F434" s="1491"/>
      <c r="G434" s="1491"/>
      <c r="H434" s="1491"/>
      <c r="I434" s="1493"/>
      <c r="J434" s="1503"/>
      <c r="K434" s="1493"/>
      <c r="L434" s="1493"/>
      <c r="M434" s="1493"/>
      <c r="N434" s="1493"/>
      <c r="O434" s="1493"/>
      <c r="P434" s="1493"/>
      <c r="Q434" s="1493"/>
      <c r="R434" s="1493"/>
      <c r="S434" s="1493"/>
      <c r="T434" s="1490"/>
    </row>
    <row r="435" spans="1:20" ht="12.75">
      <c r="A435" s="1491"/>
      <c r="B435" s="1510"/>
      <c r="C435" s="1531">
        <v>-156.45</v>
      </c>
      <c r="D435" s="1491" t="s">
        <v>354</v>
      </c>
      <c r="E435" s="1491"/>
      <c r="F435" s="1491"/>
      <c r="G435" s="1491"/>
      <c r="H435" s="1491"/>
      <c r="I435" s="1493"/>
      <c r="J435" s="1503"/>
      <c r="K435" s="1493"/>
      <c r="L435" s="1493"/>
      <c r="M435" s="1493"/>
      <c r="N435" s="1511">
        <v>156.45</v>
      </c>
      <c r="O435" s="1493"/>
      <c r="P435" s="1493"/>
      <c r="Q435" s="1493"/>
      <c r="R435" s="1493"/>
      <c r="S435" s="1493"/>
      <c r="T435" s="1490"/>
    </row>
    <row r="436" spans="1:20" ht="12.75">
      <c r="A436" s="1491"/>
      <c r="B436" s="1510"/>
      <c r="C436" s="1531">
        <v>-946</v>
      </c>
      <c r="D436" s="1491" t="s">
        <v>361</v>
      </c>
      <c r="E436" s="1491"/>
      <c r="F436" s="1491"/>
      <c r="G436" s="1491"/>
      <c r="H436" s="1491"/>
      <c r="I436" s="1493"/>
      <c r="J436" s="1503"/>
      <c r="K436" s="1493"/>
      <c r="L436" s="1493"/>
      <c r="M436" s="1493"/>
      <c r="N436" s="1493"/>
      <c r="O436" s="1493"/>
      <c r="P436" s="1493"/>
      <c r="Q436" s="1493"/>
      <c r="R436" s="1493"/>
      <c r="S436" s="1493"/>
      <c r="T436" s="1490"/>
    </row>
    <row r="437" spans="1:20" ht="12.75">
      <c r="A437" s="1491"/>
      <c r="B437" s="1510"/>
      <c r="C437" s="1531">
        <v>-16</v>
      </c>
      <c r="D437" s="1491" t="s">
        <v>346</v>
      </c>
      <c r="E437" s="1491"/>
      <c r="F437" s="1491"/>
      <c r="G437" s="1491"/>
      <c r="H437" s="1491"/>
      <c r="I437" s="1493"/>
      <c r="J437" s="1503"/>
      <c r="K437" s="1493"/>
      <c r="L437" s="1493"/>
      <c r="M437" s="1493"/>
      <c r="N437" s="1493"/>
      <c r="O437" s="1511">
        <v>16</v>
      </c>
      <c r="P437" s="1493"/>
      <c r="Q437" s="1493"/>
      <c r="R437" s="1493"/>
      <c r="S437" s="1493"/>
      <c r="T437" s="1490"/>
    </row>
    <row r="438" spans="1:20" ht="12.75">
      <c r="A438" s="1491"/>
      <c r="B438" s="1510"/>
      <c r="C438" s="1515">
        <v>-383.67</v>
      </c>
      <c r="D438" s="1491" t="s">
        <v>303</v>
      </c>
      <c r="E438" s="1491"/>
      <c r="F438" s="1491"/>
      <c r="G438" s="1491"/>
      <c r="H438" s="1491"/>
      <c r="I438" s="1493"/>
      <c r="J438" s="1503"/>
      <c r="K438" s="1493"/>
      <c r="L438" s="1493"/>
      <c r="M438" s="1493"/>
      <c r="N438" s="1493"/>
      <c r="O438" s="1493"/>
      <c r="P438" s="1493"/>
      <c r="Q438" s="1493"/>
      <c r="R438" s="1493"/>
      <c r="S438" s="1493"/>
      <c r="T438" s="1490"/>
    </row>
    <row r="439" spans="1:20" ht="12.75">
      <c r="A439" s="1491"/>
      <c r="B439" s="1510"/>
      <c r="C439" s="1515">
        <v>-66.33</v>
      </c>
      <c r="D439" s="1491" t="s">
        <v>274</v>
      </c>
      <c r="E439" s="1491"/>
      <c r="F439" s="1491"/>
      <c r="G439" s="1491"/>
      <c r="H439" s="1491"/>
      <c r="I439" s="1493"/>
      <c r="J439" s="1503"/>
      <c r="K439" s="1493"/>
      <c r="L439" s="1493"/>
      <c r="M439" s="1493"/>
      <c r="N439" s="1493"/>
      <c r="O439" s="1493"/>
      <c r="P439" s="1511">
        <v>66.33</v>
      </c>
      <c r="Q439" s="1493"/>
      <c r="R439" s="1493"/>
      <c r="S439" s="1493"/>
      <c r="T439" s="1490"/>
    </row>
    <row r="440" spans="1:20" ht="12.75">
      <c r="A440" s="1491"/>
      <c r="B440" s="1510"/>
      <c r="C440" s="1515">
        <v>-1568.45</v>
      </c>
      <c r="D440" s="1491" t="s">
        <v>257</v>
      </c>
      <c r="E440" s="1491"/>
      <c r="F440" s="1491"/>
      <c r="G440" s="1491"/>
      <c r="H440" s="1491"/>
      <c r="I440" s="1493"/>
      <c r="J440" s="1503"/>
      <c r="K440" s="1493"/>
      <c r="L440" s="1493"/>
      <c r="M440" s="1493"/>
      <c r="N440" s="1493"/>
      <c r="O440" s="1493"/>
      <c r="P440" s="1511"/>
      <c r="Q440" s="1493"/>
      <c r="R440" s="1493"/>
      <c r="S440" s="1493"/>
      <c r="T440" s="1490"/>
    </row>
    <row r="441" spans="1:20" ht="12.75">
      <c r="A441" s="1491"/>
      <c r="B441" s="1510"/>
      <c r="C441" s="1515"/>
      <c r="D441" s="1491"/>
      <c r="E441" s="1491"/>
      <c r="F441" s="1491"/>
      <c r="G441" s="1491"/>
      <c r="H441" s="1491"/>
      <c r="I441" s="1493"/>
      <c r="J441" s="1503"/>
      <c r="K441" s="1493"/>
      <c r="L441" s="1493"/>
      <c r="M441" s="1493"/>
      <c r="N441" s="1493"/>
      <c r="O441" s="1493"/>
      <c r="P441" s="1511"/>
      <c r="Q441" s="1493"/>
      <c r="R441" s="1493"/>
      <c r="S441" s="1493"/>
      <c r="T441" s="1490"/>
    </row>
    <row r="442" spans="1:20" ht="12.75">
      <c r="A442" s="1491"/>
      <c r="B442" s="1510"/>
      <c r="C442" s="1515"/>
      <c r="D442" s="1491"/>
      <c r="E442" s="1491"/>
      <c r="F442" s="1491"/>
      <c r="G442" s="1491"/>
      <c r="H442" s="1491"/>
      <c r="I442" s="1493"/>
      <c r="J442" s="1503"/>
      <c r="K442" s="1493"/>
      <c r="L442" s="1493"/>
      <c r="M442" s="1493"/>
      <c r="N442" s="1493"/>
      <c r="O442" s="1493"/>
      <c r="P442" s="1511"/>
      <c r="Q442" s="1493"/>
      <c r="R442" s="1493"/>
      <c r="S442" s="1493"/>
      <c r="T442" s="1490"/>
    </row>
    <row r="443" spans="1:20" ht="12.75">
      <c r="A443" s="1491"/>
      <c r="B443" s="1510"/>
      <c r="C443" s="1538" t="s">
        <v>599</v>
      </c>
      <c r="D443" s="1521" t="s">
        <v>598</v>
      </c>
      <c r="E443" s="1491"/>
      <c r="F443" s="1491"/>
      <c r="G443" s="1491"/>
      <c r="H443" s="1491"/>
      <c r="I443" s="1493"/>
      <c r="J443" s="1503"/>
      <c r="K443" s="1493"/>
      <c r="L443" s="1493"/>
      <c r="M443" s="1493"/>
      <c r="N443" s="1493"/>
      <c r="O443" s="1493"/>
      <c r="P443" s="1511"/>
      <c r="Q443" s="1493"/>
      <c r="R443" s="1493"/>
      <c r="S443" s="1493"/>
      <c r="T443" s="1490"/>
    </row>
    <row r="444" spans="1:20" ht="12.75">
      <c r="A444" s="1491"/>
      <c r="B444" s="1510"/>
      <c r="C444" s="1515"/>
      <c r="D444" s="1491"/>
      <c r="E444" s="1491"/>
      <c r="F444" s="1491"/>
      <c r="G444" s="1491"/>
      <c r="H444" s="1491"/>
      <c r="I444" s="1493"/>
      <c r="J444" s="1503"/>
      <c r="K444" s="1493"/>
      <c r="L444" s="1493"/>
      <c r="M444" s="1493"/>
      <c r="N444" s="1493"/>
      <c r="O444" s="1493"/>
      <c r="P444" s="1511"/>
      <c r="Q444" s="1493"/>
      <c r="R444" s="1493"/>
      <c r="S444" s="1493"/>
      <c r="T444" s="1490"/>
    </row>
    <row r="445" spans="1:20" ht="12.75">
      <c r="A445" s="1491"/>
      <c r="B445" s="1510"/>
      <c r="C445" s="1506">
        <v>5535</v>
      </c>
      <c r="D445" s="1491" t="s">
        <v>1044</v>
      </c>
      <c r="E445" s="1491"/>
      <c r="F445" s="1491"/>
      <c r="G445" s="1491"/>
      <c r="H445" s="1491"/>
      <c r="I445" s="1366"/>
      <c r="J445" s="1331"/>
      <c r="K445" s="1331"/>
      <c r="L445" s="1493"/>
      <c r="M445" s="1493"/>
      <c r="N445" s="1493"/>
      <c r="O445" s="1493"/>
      <c r="P445" s="1493"/>
      <c r="Q445" s="1493"/>
      <c r="R445" s="1493"/>
      <c r="S445" s="1493"/>
      <c r="T445" s="1490"/>
    </row>
    <row r="446" spans="1:20" ht="12.75">
      <c r="A446" s="1491"/>
      <c r="B446" s="1510"/>
      <c r="C446" s="1506">
        <v>11210.85</v>
      </c>
      <c r="D446" s="1491" t="s">
        <v>321</v>
      </c>
      <c r="E446" s="1491"/>
      <c r="F446" s="1491"/>
      <c r="G446" s="1491"/>
      <c r="H446" s="1491"/>
      <c r="I446" s="1366"/>
      <c r="J446" s="1331"/>
      <c r="K446" s="1331"/>
      <c r="L446" s="1493"/>
      <c r="M446" s="1493"/>
      <c r="N446" s="1493"/>
      <c r="O446" s="1493"/>
      <c r="P446" s="1493"/>
      <c r="Q446" s="1493"/>
      <c r="R446" s="1493"/>
      <c r="S446" s="1493"/>
      <c r="T446" s="1490"/>
    </row>
    <row r="447" spans="1:20" ht="12.75">
      <c r="A447" s="1491"/>
      <c r="B447" s="1510"/>
      <c r="C447" s="1506">
        <v>-5.67000000000002</v>
      </c>
      <c r="D447" s="1491" t="s">
        <v>355</v>
      </c>
      <c r="E447" s="1491"/>
      <c r="F447" s="1491"/>
      <c r="G447" s="1491"/>
      <c r="H447" s="1491"/>
      <c r="I447" s="1366"/>
      <c r="J447" s="1331"/>
      <c r="K447" s="1331"/>
      <c r="L447" s="1493"/>
      <c r="M447" s="1493"/>
      <c r="N447" s="1493"/>
      <c r="O447" s="1493"/>
      <c r="P447" s="1493"/>
      <c r="Q447" s="1492">
        <v>5.67000000000002</v>
      </c>
      <c r="R447" s="1493"/>
      <c r="S447" s="1493"/>
      <c r="T447" s="1490"/>
    </row>
    <row r="448" spans="1:20" ht="12.75">
      <c r="A448" s="1491"/>
      <c r="B448" s="1510"/>
      <c r="C448" s="1506">
        <v>383.67</v>
      </c>
      <c r="D448" s="1491" t="s">
        <v>362</v>
      </c>
      <c r="E448" s="1491"/>
      <c r="F448" s="1491"/>
      <c r="G448" s="1491"/>
      <c r="H448" s="1491"/>
      <c r="I448" s="1366"/>
      <c r="J448" s="1331"/>
      <c r="K448" s="1331"/>
      <c r="L448" s="1493"/>
      <c r="M448" s="1493"/>
      <c r="N448" s="1493"/>
      <c r="O448" s="1493"/>
      <c r="P448" s="1493"/>
      <c r="Q448" s="1493"/>
      <c r="R448" s="1493"/>
      <c r="S448" s="1493"/>
      <c r="T448" s="1490"/>
    </row>
    <row r="449" spans="1:20" ht="12.75">
      <c r="A449" s="1491"/>
      <c r="B449" s="1510"/>
      <c r="C449" s="1506">
        <v>-5463.1</v>
      </c>
      <c r="D449" s="1491" t="s">
        <v>1045</v>
      </c>
      <c r="E449" s="1491"/>
      <c r="F449" s="1491"/>
      <c r="G449" s="1491"/>
      <c r="H449" s="1491"/>
      <c r="I449" s="1366"/>
      <c r="J449" s="1331"/>
      <c r="K449" s="1331"/>
      <c r="L449" s="1493"/>
      <c r="M449" s="1493"/>
      <c r="N449" s="1493"/>
      <c r="O449" s="1493"/>
      <c r="P449" s="1493"/>
      <c r="Q449" s="1493"/>
      <c r="R449" s="1493"/>
      <c r="S449" s="1493"/>
      <c r="T449" s="1490"/>
    </row>
    <row r="450" spans="1:20" ht="12.75">
      <c r="A450" s="1491"/>
      <c r="B450" s="1510"/>
      <c r="C450" s="1520">
        <v>11776</v>
      </c>
      <c r="D450" s="1491" t="s">
        <v>6</v>
      </c>
      <c r="E450" s="1491"/>
      <c r="F450" s="1491"/>
      <c r="G450" s="1491"/>
      <c r="H450" s="1491"/>
      <c r="I450" s="1365"/>
      <c r="J450" s="1331"/>
      <c r="K450" s="1331"/>
      <c r="L450" s="1493"/>
      <c r="M450" s="1493"/>
      <c r="N450" s="1493"/>
      <c r="O450" s="1493"/>
      <c r="P450" s="1493"/>
      <c r="Q450" s="1493"/>
      <c r="R450" s="1493"/>
      <c r="S450" s="1493"/>
      <c r="T450" s="1490"/>
    </row>
    <row r="451" spans="1:20" ht="12.75">
      <c r="A451" s="1491"/>
      <c r="B451" s="1510"/>
      <c r="C451" s="1520">
        <v>3072.91</v>
      </c>
      <c r="D451" s="1491" t="s">
        <v>30</v>
      </c>
      <c r="E451" s="1491"/>
      <c r="F451" s="1491"/>
      <c r="G451" s="1491"/>
      <c r="H451" s="1491"/>
      <c r="I451" s="1365"/>
      <c r="J451" s="1331"/>
      <c r="K451" s="1331"/>
      <c r="L451" s="1493"/>
      <c r="M451" s="1493"/>
      <c r="N451" s="1493"/>
      <c r="O451" s="1493"/>
      <c r="P451" s="1493"/>
      <c r="Q451" s="1493"/>
      <c r="R451" s="1493"/>
      <c r="S451" s="1493"/>
      <c r="T451" s="1490"/>
    </row>
    <row r="452" spans="1:20" ht="12.75">
      <c r="A452" s="1491"/>
      <c r="B452" s="1510"/>
      <c r="C452" s="1520">
        <v>-158.82</v>
      </c>
      <c r="D452" s="1491" t="s">
        <v>28</v>
      </c>
      <c r="E452" s="1491"/>
      <c r="F452" s="1491"/>
      <c r="G452" s="1491"/>
      <c r="H452" s="1491"/>
      <c r="I452" s="1365"/>
      <c r="J452" s="1331"/>
      <c r="K452" s="1331"/>
      <c r="L452" s="1493"/>
      <c r="M452" s="1493"/>
      <c r="N452" s="1493"/>
      <c r="O452" s="1493"/>
      <c r="P452" s="1493"/>
      <c r="Q452" s="1493"/>
      <c r="R452" s="1493"/>
      <c r="S452" s="1493"/>
      <c r="T452" s="1490"/>
    </row>
    <row r="453" spans="1:20" ht="12.75">
      <c r="A453" s="1491"/>
      <c r="B453" s="1510"/>
      <c r="C453" s="1520">
        <v>-0.2</v>
      </c>
      <c r="D453" s="1491" t="s">
        <v>264</v>
      </c>
      <c r="E453" s="1491"/>
      <c r="F453" s="1491"/>
      <c r="G453" s="1491"/>
      <c r="H453" s="1491"/>
      <c r="I453" s="1365"/>
      <c r="J453" s="1331"/>
      <c r="K453" s="1331"/>
      <c r="L453" s="1493"/>
      <c r="M453" s="1493"/>
      <c r="N453" s="1493"/>
      <c r="O453" s="1493"/>
      <c r="P453" s="1493"/>
      <c r="Q453" s="1493"/>
      <c r="R453" s="1493"/>
      <c r="S453" s="1493"/>
      <c r="T453" s="1490"/>
    </row>
    <row r="454" spans="1:20" ht="12.75">
      <c r="A454" s="1491"/>
      <c r="B454" s="1510"/>
      <c r="C454" s="1520">
        <v>-8535.91</v>
      </c>
      <c r="D454" s="1491" t="s">
        <v>704</v>
      </c>
      <c r="E454" s="1491"/>
      <c r="F454" s="1491"/>
      <c r="G454" s="1520"/>
      <c r="H454" s="1491"/>
      <c r="I454" s="1492"/>
      <c r="J454" s="1503"/>
      <c r="K454" s="1493"/>
      <c r="L454" s="1493"/>
      <c r="M454" s="1493"/>
      <c r="N454" s="1493"/>
      <c r="O454" s="1493"/>
      <c r="P454" s="1493"/>
      <c r="Q454" s="1493"/>
      <c r="R454" s="1493"/>
      <c r="S454" s="1493"/>
      <c r="T454" s="1529">
        <f>-C454</f>
        <v>8535.91</v>
      </c>
    </row>
    <row r="455" spans="1:20" ht="12.75">
      <c r="A455" s="1491"/>
      <c r="B455" s="1510"/>
      <c r="C455" s="1520">
        <v>-630</v>
      </c>
      <c r="D455" s="1491" t="s">
        <v>747</v>
      </c>
      <c r="E455" s="1491"/>
      <c r="F455" s="1491"/>
      <c r="G455" s="1520"/>
      <c r="H455" s="1241"/>
      <c r="I455" s="1492"/>
      <c r="J455" s="1503"/>
      <c r="K455" s="1493"/>
      <c r="L455" s="1493"/>
      <c r="M455" s="1493"/>
      <c r="N455" s="1493"/>
      <c r="O455" s="1493"/>
      <c r="P455" s="1493"/>
      <c r="Q455" s="1493"/>
      <c r="R455" s="1493"/>
      <c r="S455" s="1493"/>
      <c r="T455" s="1490"/>
    </row>
    <row r="456" spans="1:20" ht="12.75">
      <c r="A456" s="1491"/>
      <c r="B456" s="1510"/>
      <c r="C456" s="1520">
        <v>-630</v>
      </c>
      <c r="D456" s="1491" t="s">
        <v>725</v>
      </c>
      <c r="E456" s="1491"/>
      <c r="F456" s="1491"/>
      <c r="G456" s="1520"/>
      <c r="H456" s="1491"/>
      <c r="I456" s="1492"/>
      <c r="J456" s="1503"/>
      <c r="K456" s="1492">
        <f>-C456</f>
        <v>630</v>
      </c>
      <c r="L456" s="1493"/>
      <c r="M456" s="1493"/>
      <c r="N456" s="1493"/>
      <c r="O456" s="1493"/>
      <c r="P456" s="1493"/>
      <c r="Q456" s="1493"/>
      <c r="R456" s="1493"/>
      <c r="S456" s="1493"/>
      <c r="T456" s="1490"/>
    </row>
    <row r="457" spans="1:20" ht="12.75">
      <c r="A457" s="1491"/>
      <c r="B457" s="1510"/>
      <c r="C457" s="1531">
        <f>+SUM(C445:C456)</f>
        <v>16554.73</v>
      </c>
      <c r="D457" s="1491" t="s">
        <v>340</v>
      </c>
      <c r="E457" s="1491"/>
      <c r="F457" s="1491"/>
      <c r="G457" s="1520"/>
      <c r="H457" s="1491"/>
      <c r="I457" s="1493"/>
      <c r="J457" s="1503"/>
      <c r="K457" s="1493"/>
      <c r="L457" s="1493"/>
      <c r="M457" s="1493"/>
      <c r="N457" s="1493"/>
      <c r="O457" s="1493"/>
      <c r="P457" s="1493"/>
      <c r="Q457" s="1493"/>
      <c r="R457" s="1493"/>
      <c r="S457" s="1493"/>
      <c r="T457" s="1490"/>
    </row>
    <row r="458" spans="1:20" ht="12.75">
      <c r="A458" s="1491"/>
      <c r="B458" s="1491"/>
      <c r="C458" s="1515"/>
      <c r="D458" s="1491"/>
      <c r="E458" s="1491"/>
      <c r="F458" s="1491"/>
      <c r="G458" s="1520"/>
      <c r="H458" s="1491"/>
      <c r="I458" s="1493"/>
      <c r="J458" s="1493"/>
      <c r="K458" s="1493"/>
      <c r="L458" s="1493"/>
      <c r="M458" s="1493"/>
      <c r="N458" s="1493"/>
      <c r="O458" s="1493"/>
      <c r="P458" s="1493"/>
      <c r="Q458" s="1493"/>
      <c r="R458" s="1493"/>
      <c r="S458" s="1493"/>
      <c r="T458" s="1490"/>
    </row>
    <row r="459" spans="1:20" ht="12.75">
      <c r="A459" s="1491"/>
      <c r="B459" s="1491"/>
      <c r="C459" s="1491"/>
      <c r="D459" s="1491"/>
      <c r="E459" s="1491"/>
      <c r="F459" s="1491"/>
      <c r="G459" s="1520"/>
      <c r="H459" s="1491"/>
      <c r="I459" s="1493"/>
      <c r="J459" s="1503"/>
      <c r="K459" s="1493"/>
      <c r="L459" s="1493"/>
      <c r="M459" s="1493"/>
      <c r="N459" s="1493"/>
      <c r="O459" s="1493"/>
      <c r="P459" s="1493"/>
      <c r="Q459" s="1493"/>
      <c r="R459" s="1493"/>
      <c r="S459" s="1493"/>
      <c r="T459" s="1490"/>
    </row>
    <row r="460" spans="1:20" ht="25.5">
      <c r="A460" s="1491"/>
      <c r="B460" s="1536">
        <v>5.3</v>
      </c>
      <c r="C460" s="1537" t="s">
        <v>593</v>
      </c>
      <c r="D460" s="1521" t="s">
        <v>595</v>
      </c>
      <c r="E460" s="1491"/>
      <c r="F460" s="1491"/>
      <c r="G460" s="1491"/>
      <c r="H460" s="1491"/>
      <c r="I460" s="1493"/>
      <c r="J460" s="1493"/>
      <c r="K460" s="1493"/>
      <c r="L460" s="1493"/>
      <c r="M460" s="1493"/>
      <c r="N460" s="1493"/>
      <c r="O460" s="1493"/>
      <c r="P460" s="1493"/>
      <c r="Q460" s="1493"/>
      <c r="R460" s="1493"/>
      <c r="S460" s="1493"/>
      <c r="T460" s="1490"/>
    </row>
    <row r="461" spans="1:20" ht="12.75">
      <c r="A461" s="1491"/>
      <c r="B461" s="1507"/>
      <c r="C461" s="1507"/>
      <c r="D461" s="1507"/>
      <c r="E461" s="1507"/>
      <c r="F461" s="1507"/>
      <c r="G461" s="1491"/>
      <c r="H461" s="1491"/>
      <c r="I461" s="1493"/>
      <c r="J461" s="1493"/>
      <c r="K461" s="1493"/>
      <c r="L461" s="1493"/>
      <c r="M461" s="1493"/>
      <c r="N461" s="1493"/>
      <c r="O461" s="1493"/>
      <c r="P461" s="1493"/>
      <c r="Q461" s="1493"/>
      <c r="R461" s="1493"/>
      <c r="S461" s="1493"/>
      <c r="T461" s="1490"/>
    </row>
    <row r="462" spans="1:20" ht="12.75">
      <c r="A462" s="1491"/>
      <c r="B462" s="1507"/>
      <c r="C462" s="1531">
        <v>-8893.08</v>
      </c>
      <c r="D462" s="1507" t="s">
        <v>303</v>
      </c>
      <c r="E462" s="1507"/>
      <c r="F462" s="1491"/>
      <c r="G462" s="1491"/>
      <c r="H462" s="1491"/>
      <c r="I462" s="1493"/>
      <c r="J462" s="1493"/>
      <c r="K462" s="1493"/>
      <c r="L462" s="1493"/>
      <c r="M462" s="1493"/>
      <c r="N462" s="1493"/>
      <c r="O462" s="1493"/>
      <c r="P462" s="1493"/>
      <c r="Q462" s="1493"/>
      <c r="R462" s="1493"/>
      <c r="S462" s="1493"/>
      <c r="T462" s="1490"/>
    </row>
    <row r="463" spans="1:20" ht="12.75">
      <c r="A463" s="1491"/>
      <c r="B463" s="1507"/>
      <c r="C463" s="1531">
        <v>-106.92</v>
      </c>
      <c r="D463" s="1507" t="s">
        <v>274</v>
      </c>
      <c r="E463" s="1507"/>
      <c r="F463" s="1491"/>
      <c r="G463" s="1491"/>
      <c r="H463" s="1491"/>
      <c r="I463" s="1493"/>
      <c r="J463" s="1493"/>
      <c r="K463" s="1493"/>
      <c r="L463" s="1493"/>
      <c r="M463" s="1493"/>
      <c r="N463" s="1493"/>
      <c r="O463" s="1493"/>
      <c r="P463" s="1511">
        <v>106.92</v>
      </c>
      <c r="Q463" s="1493"/>
      <c r="R463" s="1493"/>
      <c r="S463" s="1493"/>
      <c r="T463" s="1490"/>
    </row>
    <row r="464" spans="1:20" ht="12.75">
      <c r="A464" s="1491"/>
      <c r="B464" s="1507"/>
      <c r="C464" s="1531">
        <v>-1657.27</v>
      </c>
      <c r="D464" s="1507" t="s">
        <v>363</v>
      </c>
      <c r="E464" s="1507"/>
      <c r="F464" s="1491"/>
      <c r="G464" s="1491"/>
      <c r="H464" s="1491"/>
      <c r="I464" s="1493"/>
      <c r="J464" s="1493"/>
      <c r="K464" s="1493"/>
      <c r="L464" s="1493"/>
      <c r="M464" s="1493"/>
      <c r="N464" s="1493"/>
      <c r="O464" s="1493"/>
      <c r="P464" s="1493"/>
      <c r="Q464" s="1493"/>
      <c r="R464" s="1493"/>
      <c r="S464" s="1493"/>
      <c r="T464" s="1490"/>
    </row>
    <row r="465" spans="1:20" ht="12.75">
      <c r="A465" s="1491"/>
      <c r="B465" s="1507"/>
      <c r="C465" s="1531">
        <v>-10657.27</v>
      </c>
      <c r="D465" s="1491" t="s">
        <v>340</v>
      </c>
      <c r="E465" s="1507"/>
      <c r="F465" s="1491"/>
      <c r="G465" s="1491"/>
      <c r="H465" s="1491"/>
      <c r="I465" s="1493"/>
      <c r="J465" s="1493"/>
      <c r="K465" s="1493"/>
      <c r="L465" s="1493"/>
      <c r="M465" s="1493"/>
      <c r="N465" s="1493"/>
      <c r="O465" s="1493"/>
      <c r="P465" s="1493"/>
      <c r="Q465" s="1493"/>
      <c r="R465" s="1493"/>
      <c r="S465" s="1493"/>
      <c r="T465" s="1490"/>
    </row>
    <row r="466" spans="1:20" ht="12.75">
      <c r="A466" s="1491"/>
      <c r="B466" s="1532"/>
      <c r="C466" s="1532"/>
      <c r="D466" s="1532"/>
      <c r="E466" s="1532"/>
      <c r="F466" s="1491"/>
      <c r="G466" s="1491"/>
      <c r="H466" s="1491"/>
      <c r="I466" s="1493"/>
      <c r="J466" s="1493"/>
      <c r="K466" s="1493"/>
      <c r="L466" s="1493"/>
      <c r="M466" s="1493"/>
      <c r="N466" s="1493"/>
      <c r="O466" s="1493"/>
      <c r="P466" s="1493"/>
      <c r="Q466" s="1493"/>
      <c r="R466" s="1493"/>
      <c r="S466" s="1493"/>
      <c r="T466" s="1490"/>
    </row>
    <row r="467" spans="1:20" ht="12.75">
      <c r="A467" s="1491"/>
      <c r="B467" s="1491"/>
      <c r="C467" s="1491"/>
      <c r="D467" s="1491"/>
      <c r="E467" s="1491"/>
      <c r="F467" s="1491"/>
      <c r="G467" s="1491"/>
      <c r="H467" s="1491"/>
      <c r="I467" s="1493"/>
      <c r="J467" s="1493"/>
      <c r="K467" s="1493"/>
      <c r="L467" s="1493"/>
      <c r="M467" s="1493"/>
      <c r="N467" s="1493"/>
      <c r="O467" s="1493"/>
      <c r="P467" s="1493"/>
      <c r="Q467" s="1493"/>
      <c r="R467" s="1493"/>
      <c r="S467" s="1493"/>
      <c r="T467" s="1490"/>
    </row>
    <row r="468" spans="1:20" ht="25.5">
      <c r="A468" s="1491"/>
      <c r="B468" s="1500">
        <v>5.4</v>
      </c>
      <c r="C468" s="1501" t="s">
        <v>587</v>
      </c>
      <c r="D468" s="1491"/>
      <c r="E468" s="1491"/>
      <c r="F468" s="1491"/>
      <c r="G468" s="1491"/>
      <c r="H468" s="1491"/>
      <c r="I468" s="1493"/>
      <c r="J468" s="1493"/>
      <c r="K468" s="1493"/>
      <c r="L468" s="1493"/>
      <c r="M468" s="1493"/>
      <c r="N468" s="1493"/>
      <c r="O468" s="1493"/>
      <c r="P468" s="1493"/>
      <c r="Q468" s="1493"/>
      <c r="R468" s="1493"/>
      <c r="S468" s="1493"/>
      <c r="T468" s="1490"/>
    </row>
    <row r="469" spans="1:20" ht="12.75">
      <c r="A469" s="1491"/>
      <c r="B469" s="1510"/>
      <c r="C469" s="1512"/>
      <c r="D469" s="1491"/>
      <c r="E469" s="1491"/>
      <c r="F469" s="1491"/>
      <c r="G469" s="1491"/>
      <c r="H469" s="1491"/>
      <c r="I469" s="1493"/>
      <c r="J469" s="1493"/>
      <c r="K469" s="1493"/>
      <c r="L469" s="1493"/>
      <c r="M469" s="1493"/>
      <c r="N469" s="1493"/>
      <c r="O469" s="1493"/>
      <c r="P469" s="1493"/>
      <c r="Q469" s="1493"/>
      <c r="R469" s="1493"/>
      <c r="S469" s="1493"/>
      <c r="T469" s="1490"/>
    </row>
    <row r="470" spans="1:20" ht="12.75">
      <c r="A470" s="1491"/>
      <c r="B470" s="1510"/>
      <c r="C470" s="1531">
        <v>-447.62</v>
      </c>
      <c r="D470" s="1491" t="s">
        <v>303</v>
      </c>
      <c r="E470" s="1491"/>
      <c r="F470" s="1491"/>
      <c r="G470" s="1491"/>
      <c r="H470" s="1491"/>
      <c r="I470" s="1493"/>
      <c r="J470" s="1493"/>
      <c r="K470" s="1493"/>
      <c r="L470" s="1493"/>
      <c r="M470" s="1493"/>
      <c r="N470" s="1493"/>
      <c r="O470" s="1493"/>
      <c r="P470" s="1493"/>
      <c r="Q470" s="1493"/>
      <c r="R470" s="1493"/>
      <c r="S470" s="1493"/>
      <c r="T470" s="1490"/>
    </row>
    <row r="471" spans="1:20" ht="12.75">
      <c r="A471" s="1491"/>
      <c r="B471" s="1510"/>
      <c r="C471" s="1531">
        <v>-78.43</v>
      </c>
      <c r="D471" s="1491" t="s">
        <v>326</v>
      </c>
      <c r="E471" s="1491"/>
      <c r="F471" s="1491"/>
      <c r="G471" s="1491"/>
      <c r="H471" s="1491"/>
      <c r="I471" s="1493"/>
      <c r="J471" s="1493"/>
      <c r="K471" s="1493"/>
      <c r="L471" s="1493"/>
      <c r="M471" s="1493"/>
      <c r="N471" s="1493"/>
      <c r="O471" s="1493"/>
      <c r="P471" s="1511">
        <v>78.43</v>
      </c>
      <c r="Q471" s="1493"/>
      <c r="R471" s="1493"/>
      <c r="S471" s="1493"/>
      <c r="T471" s="1490"/>
    </row>
    <row r="472" spans="1:20" ht="12.75">
      <c r="A472" s="1491"/>
      <c r="B472" s="1510"/>
      <c r="C472" s="1531">
        <v>-117.04</v>
      </c>
      <c r="D472" s="1491" t="s">
        <v>345</v>
      </c>
      <c r="E472" s="1491"/>
      <c r="F472" s="1491"/>
      <c r="G472" s="1491"/>
      <c r="H472" s="1491"/>
      <c r="I472" s="1493"/>
      <c r="J472" s="1493"/>
      <c r="K472" s="1493"/>
      <c r="L472" s="1493"/>
      <c r="M472" s="1493"/>
      <c r="N472" s="1493"/>
      <c r="O472" s="1493"/>
      <c r="P472" s="1493"/>
      <c r="Q472" s="1493"/>
      <c r="R472" s="1493"/>
      <c r="S472" s="1493"/>
      <c r="T472" s="1490"/>
    </row>
    <row r="473" spans="1:20" ht="12.75">
      <c r="A473" s="1491"/>
      <c r="B473" s="1510"/>
      <c r="C473" s="1531">
        <v>-643.09</v>
      </c>
      <c r="D473" s="1491" t="s">
        <v>340</v>
      </c>
      <c r="E473" s="1491"/>
      <c r="F473" s="1491"/>
      <c r="G473" s="1491"/>
      <c r="H473" s="1491"/>
      <c r="I473" s="1493"/>
      <c r="J473" s="1493"/>
      <c r="K473" s="1493"/>
      <c r="L473" s="1493"/>
      <c r="M473" s="1493"/>
      <c r="N473" s="1493"/>
      <c r="O473" s="1493"/>
      <c r="P473" s="1493"/>
      <c r="Q473" s="1493"/>
      <c r="R473" s="1493"/>
      <c r="S473" s="1493"/>
      <c r="T473" s="1490"/>
    </row>
    <row r="474" spans="1:20" ht="12.75">
      <c r="A474" s="1491"/>
      <c r="B474" s="1491"/>
      <c r="C474" s="1491"/>
      <c r="D474" s="1491"/>
      <c r="E474" s="1491"/>
      <c r="F474" s="1491"/>
      <c r="G474" s="1491"/>
      <c r="H474" s="1491"/>
      <c r="I474" s="1493"/>
      <c r="J474" s="1493"/>
      <c r="K474" s="1493"/>
      <c r="L474" s="1493"/>
      <c r="M474" s="1493"/>
      <c r="N474" s="1493"/>
      <c r="O474" s="1493"/>
      <c r="P474" s="1493"/>
      <c r="Q474" s="1493"/>
      <c r="R474" s="1493"/>
      <c r="S474" s="1493"/>
      <c r="T474" s="1490"/>
    </row>
    <row r="475" spans="1:20" ht="12.75">
      <c r="A475" s="1491"/>
      <c r="B475" s="1491"/>
      <c r="C475" s="1491"/>
      <c r="D475" s="1491"/>
      <c r="E475" s="1491"/>
      <c r="F475" s="1491"/>
      <c r="G475" s="1491"/>
      <c r="H475" s="1491"/>
      <c r="I475" s="1493"/>
      <c r="J475" s="1493"/>
      <c r="K475" s="1493"/>
      <c r="L475" s="1493"/>
      <c r="M475" s="1493"/>
      <c r="N475" s="1493"/>
      <c r="O475" s="1493"/>
      <c r="P475" s="1493"/>
      <c r="Q475" s="1493"/>
      <c r="R475" s="1493"/>
      <c r="S475" s="1493"/>
      <c r="T475" s="1490"/>
    </row>
    <row r="476" spans="1:20" ht="25.5">
      <c r="A476" s="1491"/>
      <c r="B476" s="1536">
        <v>5.5</v>
      </c>
      <c r="C476" s="1537" t="s">
        <v>584</v>
      </c>
      <c r="D476" s="1521" t="s">
        <v>595</v>
      </c>
      <c r="E476" s="1491"/>
      <c r="F476" s="1491"/>
      <c r="G476" s="1491"/>
      <c r="H476" s="1491"/>
      <c r="I476" s="1493"/>
      <c r="J476" s="1493"/>
      <c r="K476" s="1493"/>
      <c r="L476" s="1493"/>
      <c r="M476" s="1493"/>
      <c r="N476" s="1493"/>
      <c r="O476" s="1493"/>
      <c r="P476" s="1493"/>
      <c r="Q476" s="1493"/>
      <c r="R476" s="1493"/>
      <c r="S476" s="1493"/>
      <c r="T476" s="1490"/>
    </row>
    <row r="477" spans="1:20" ht="12.75">
      <c r="A477" s="1491"/>
      <c r="B477" s="1532"/>
      <c r="C477" s="1532"/>
      <c r="D477" s="1532"/>
      <c r="E477" s="1532"/>
      <c r="F477" s="1532"/>
      <c r="G477" s="1491"/>
      <c r="H477" s="1491"/>
      <c r="I477" s="1493"/>
      <c r="J477" s="1493"/>
      <c r="K477" s="1503"/>
      <c r="L477" s="1493"/>
      <c r="M477" s="1493"/>
      <c r="N477" s="1493"/>
      <c r="O477" s="1493"/>
      <c r="P477" s="1493"/>
      <c r="Q477" s="1493"/>
      <c r="R477" s="1493"/>
      <c r="S477" s="1493"/>
      <c r="T477" s="1490"/>
    </row>
    <row r="478" spans="1:20" ht="12.75">
      <c r="A478" s="1491"/>
      <c r="B478" s="1491"/>
      <c r="C478" s="1531">
        <v>-1250</v>
      </c>
      <c r="D478" s="1491" t="s">
        <v>364</v>
      </c>
      <c r="E478" s="1491"/>
      <c r="F478" s="1491"/>
      <c r="G478" s="1491"/>
      <c r="H478" s="1491"/>
      <c r="I478" s="1493"/>
      <c r="J478" s="1493"/>
      <c r="K478" s="1503"/>
      <c r="L478" s="1493"/>
      <c r="M478" s="1493"/>
      <c r="N478" s="1493"/>
      <c r="O478" s="1493"/>
      <c r="P478" s="1493"/>
      <c r="Q478" s="1493"/>
      <c r="R478" s="1493"/>
      <c r="S478" s="1493"/>
      <c r="T478" s="1490"/>
    </row>
    <row r="479" spans="1:20" ht="12.75">
      <c r="A479" s="1491"/>
      <c r="B479" s="1491"/>
      <c r="C479" s="1531"/>
      <c r="D479" s="1491"/>
      <c r="E479" s="1491"/>
      <c r="F479" s="1491"/>
      <c r="G479" s="1491"/>
      <c r="H479" s="1491"/>
      <c r="I479" s="1493"/>
      <c r="J479" s="1493"/>
      <c r="K479" s="1503"/>
      <c r="L479" s="1493"/>
      <c r="M479" s="1493"/>
      <c r="N479" s="1493"/>
      <c r="O479" s="1493"/>
      <c r="P479" s="1493"/>
      <c r="Q479" s="1493"/>
      <c r="R479" s="1493"/>
      <c r="S479" s="1493"/>
      <c r="T479" s="1490"/>
    </row>
    <row r="480" spans="1:20" ht="12.75">
      <c r="A480" s="1491"/>
      <c r="B480" s="1491"/>
      <c r="C480" s="1531"/>
      <c r="D480" s="1491"/>
      <c r="E480" s="1491"/>
      <c r="F480" s="1491"/>
      <c r="G480" s="1491"/>
      <c r="H480" s="1491"/>
      <c r="I480" s="1493"/>
      <c r="J480" s="1493"/>
      <c r="K480" s="1503"/>
      <c r="L480" s="1493"/>
      <c r="M480" s="1493"/>
      <c r="N480" s="1493"/>
      <c r="O480" s="1493"/>
      <c r="P480" s="1493"/>
      <c r="Q480" s="1493"/>
      <c r="R480" s="1493"/>
      <c r="S480" s="1493"/>
      <c r="T480" s="1490"/>
    </row>
    <row r="481" spans="1:20" ht="63.75">
      <c r="A481" s="1491"/>
      <c r="B481" s="1491"/>
      <c r="C481" s="1496"/>
      <c r="D481" s="1522" t="s">
        <v>600</v>
      </c>
      <c r="E481" s="1491"/>
      <c r="F481" s="1491"/>
      <c r="G481" s="1491"/>
      <c r="H481" s="1491"/>
      <c r="I481" s="1493"/>
      <c r="J481" s="1493"/>
      <c r="K481" s="1503"/>
      <c r="L481" s="1493"/>
      <c r="M481" s="1493"/>
      <c r="N481" s="1493"/>
      <c r="O481" s="1493"/>
      <c r="P481" s="1493"/>
      <c r="Q481" s="1493"/>
      <c r="R481" s="1493"/>
      <c r="S481" s="1493"/>
      <c r="T481" s="1490"/>
    </row>
    <row r="482" spans="1:20" ht="12.75">
      <c r="A482" s="1491"/>
      <c r="B482" s="1491"/>
      <c r="C482" s="1496"/>
      <c r="D482" s="1491"/>
      <c r="E482" s="1491"/>
      <c r="F482" s="1491"/>
      <c r="G482" s="1491"/>
      <c r="H482" s="1491"/>
      <c r="I482" s="1493"/>
      <c r="J482" s="1493"/>
      <c r="K482" s="1503"/>
      <c r="L482" s="1493"/>
      <c r="M482" s="1493"/>
      <c r="N482" s="1493"/>
      <c r="O482" s="1493"/>
      <c r="P482" s="1493"/>
      <c r="Q482" s="1493"/>
      <c r="R482" s="1493"/>
      <c r="S482" s="1493"/>
      <c r="T482" s="1490"/>
    </row>
    <row r="483" spans="1:20" ht="12.75">
      <c r="A483" s="1491"/>
      <c r="B483" s="1491"/>
      <c r="C483" s="1531">
        <v>0.8</v>
      </c>
      <c r="D483" s="1491" t="s">
        <v>39</v>
      </c>
      <c r="E483" s="1491"/>
      <c r="F483" s="1491"/>
      <c r="G483" s="1491"/>
      <c r="H483" s="1491"/>
      <c r="I483" s="1493"/>
      <c r="J483" s="1493"/>
      <c r="K483" s="1503"/>
      <c r="L483" s="1493"/>
      <c r="M483" s="1493"/>
      <c r="N483" s="1493"/>
      <c r="O483" s="1493"/>
      <c r="P483" s="1493"/>
      <c r="Q483" s="1493"/>
      <c r="R483" s="1493"/>
      <c r="S483" s="1493"/>
      <c r="T483" s="1490"/>
    </row>
    <row r="484" spans="1:20" ht="12.75">
      <c r="A484" s="1491"/>
      <c r="B484" s="1491"/>
      <c r="C484" s="1531">
        <f>+C483</f>
        <v>0.8</v>
      </c>
      <c r="D484" s="1491" t="s">
        <v>340</v>
      </c>
      <c r="E484" s="1491"/>
      <c r="F484" s="1491"/>
      <c r="G484" s="1491"/>
      <c r="H484" s="1491"/>
      <c r="I484" s="1493"/>
      <c r="J484" s="1493"/>
      <c r="K484" s="1503"/>
      <c r="L484" s="1493"/>
      <c r="M484" s="1493"/>
      <c r="N484" s="1493"/>
      <c r="O484" s="1493"/>
      <c r="P484" s="1493"/>
      <c r="Q484" s="1493"/>
      <c r="R484" s="1493"/>
      <c r="S484" s="1493"/>
      <c r="T484" s="1490"/>
    </row>
    <row r="485" spans="1:20" ht="12.75">
      <c r="A485" s="1491"/>
      <c r="B485" s="1491"/>
      <c r="C485" s="1531"/>
      <c r="D485" s="1491"/>
      <c r="E485" s="1491"/>
      <c r="F485" s="1491"/>
      <c r="G485" s="1491"/>
      <c r="H485" s="1491"/>
      <c r="I485" s="1493"/>
      <c r="J485" s="1493"/>
      <c r="K485" s="1503"/>
      <c r="L485" s="1493"/>
      <c r="M485" s="1493"/>
      <c r="N485" s="1493"/>
      <c r="O485" s="1493"/>
      <c r="P485" s="1493"/>
      <c r="Q485" s="1493"/>
      <c r="R485" s="1493"/>
      <c r="S485" s="1493"/>
      <c r="T485" s="1490"/>
    </row>
    <row r="486" spans="1:20" ht="12.75">
      <c r="A486" s="1491"/>
      <c r="B486" s="1491" t="s">
        <v>601</v>
      </c>
      <c r="C486" s="1491"/>
      <c r="D486" s="1491"/>
      <c r="E486" s="1491"/>
      <c r="F486" s="1491"/>
      <c r="G486" s="1491"/>
      <c r="H486" s="1491"/>
      <c r="I486" s="1493"/>
      <c r="J486" s="1493"/>
      <c r="K486" s="1503"/>
      <c r="L486" s="1493"/>
      <c r="M486" s="1493"/>
      <c r="N486" s="1493"/>
      <c r="O486" s="1493"/>
      <c r="P486" s="1493"/>
      <c r="Q486" s="1493"/>
      <c r="R486" s="1493"/>
      <c r="S486" s="1493"/>
      <c r="T486" s="1490"/>
    </row>
    <row r="487" spans="1:20" ht="12.75">
      <c r="A487" s="1491"/>
      <c r="B487" s="1491"/>
      <c r="C487" s="1531">
        <v>-5218.02</v>
      </c>
      <c r="D487" s="1491" t="s">
        <v>279</v>
      </c>
      <c r="E487" s="1491"/>
      <c r="F487" s="1491"/>
      <c r="G487" s="1491"/>
      <c r="H487" s="1491"/>
      <c r="I487" s="1493"/>
      <c r="J487" s="1511"/>
      <c r="K487" s="1503"/>
      <c r="L487" s="1493"/>
      <c r="M487" s="1493"/>
      <c r="N487" s="1493"/>
      <c r="O487" s="1493"/>
      <c r="P487" s="1493"/>
      <c r="Q487" s="1493"/>
      <c r="R487" s="1493"/>
      <c r="S487" s="1493"/>
      <c r="T487" s="1490"/>
    </row>
    <row r="488" spans="1:20" ht="12.75">
      <c r="A488" s="1491"/>
      <c r="B488" s="1491"/>
      <c r="C488" s="1531">
        <v>-163.12</v>
      </c>
      <c r="D488" s="1491" t="s">
        <v>354</v>
      </c>
      <c r="E488" s="1491"/>
      <c r="F488" s="1491"/>
      <c r="G488" s="1491"/>
      <c r="H488" s="1491"/>
      <c r="I488" s="1493"/>
      <c r="J488" s="1511"/>
      <c r="K488" s="1503"/>
      <c r="L488" s="1493"/>
      <c r="M488" s="1493"/>
      <c r="N488" s="1511">
        <v>163.12</v>
      </c>
      <c r="O488" s="1493"/>
      <c r="P488" s="1493"/>
      <c r="Q488" s="1493"/>
      <c r="R488" s="1493"/>
      <c r="S488" s="1493"/>
      <c r="T488" s="1490"/>
    </row>
    <row r="489" spans="1:20" ht="12.75">
      <c r="A489" s="1491"/>
      <c r="B489" s="1491"/>
      <c r="C489" s="1531">
        <v>-1210</v>
      </c>
      <c r="D489" s="1491" t="s">
        <v>1061</v>
      </c>
      <c r="E489" s="1491"/>
      <c r="F489" s="1491"/>
      <c r="G489" s="1491"/>
      <c r="H489" s="1491"/>
      <c r="I489" s="1493"/>
      <c r="J489" s="1511"/>
      <c r="K489" s="1503"/>
      <c r="L489" s="1493"/>
      <c r="M489" s="1493"/>
      <c r="N489" s="1493"/>
      <c r="O489" s="1493"/>
      <c r="P489" s="1493"/>
      <c r="Q489" s="1493"/>
      <c r="R489" s="1493"/>
      <c r="S489" s="1493"/>
      <c r="T489" s="1490"/>
    </row>
    <row r="490" spans="1:20" ht="12.75">
      <c r="A490" s="1491"/>
      <c r="B490" s="1491"/>
      <c r="C490" s="1531">
        <v>-1929.7</v>
      </c>
      <c r="D490" s="1491" t="s">
        <v>361</v>
      </c>
      <c r="E490" s="1491"/>
      <c r="F490" s="1491"/>
      <c r="G490" s="1491"/>
      <c r="H490" s="1491"/>
      <c r="I490" s="1493"/>
      <c r="J490" s="1511"/>
      <c r="K490" s="1503"/>
      <c r="L490" s="1493"/>
      <c r="M490" s="1493"/>
      <c r="N490" s="1493"/>
      <c r="O490" s="1493"/>
      <c r="P490" s="1493"/>
      <c r="Q490" s="1493"/>
      <c r="R490" s="1493"/>
      <c r="S490" s="1493"/>
      <c r="T490" s="1490"/>
    </row>
    <row r="491" spans="1:20" ht="12.75">
      <c r="A491" s="1491"/>
      <c r="B491" s="1491"/>
      <c r="C491" s="1531">
        <v>-2522.82</v>
      </c>
      <c r="D491" s="1491" t="s">
        <v>350</v>
      </c>
      <c r="E491" s="1491"/>
      <c r="F491" s="1491"/>
      <c r="G491" s="1491"/>
      <c r="H491" s="1491"/>
      <c r="I491" s="1493"/>
      <c r="J491" s="1511"/>
      <c r="K491" s="1503"/>
      <c r="L491" s="1493"/>
      <c r="M491" s="1493"/>
      <c r="N491" s="1493"/>
      <c r="O491" s="1493"/>
      <c r="P491" s="1493"/>
      <c r="Q491" s="1493"/>
      <c r="R491" s="1493"/>
      <c r="S491" s="1493"/>
      <c r="T491" s="1490"/>
    </row>
    <row r="492" spans="1:20" ht="12.75">
      <c r="A492" s="1491"/>
      <c r="B492" s="1491"/>
      <c r="C492" s="1531">
        <v>-721.25</v>
      </c>
      <c r="D492" s="1491" t="s">
        <v>346</v>
      </c>
      <c r="E492" s="1491"/>
      <c r="F492" s="1491"/>
      <c r="G492" s="1491"/>
      <c r="H492" s="1491"/>
      <c r="I492" s="1493"/>
      <c r="J492" s="1511"/>
      <c r="K492" s="1503"/>
      <c r="L492" s="1493"/>
      <c r="M492" s="1493"/>
      <c r="N492" s="1493"/>
      <c r="O492" s="1511">
        <v>721.25</v>
      </c>
      <c r="P492" s="1493"/>
      <c r="Q492" s="1493"/>
      <c r="R492" s="1493"/>
      <c r="S492" s="1493"/>
      <c r="T492" s="1490"/>
    </row>
    <row r="493" spans="1:20" ht="12.75">
      <c r="A493" s="1491"/>
      <c r="B493" s="1491"/>
      <c r="C493" s="1531">
        <v>-320.51</v>
      </c>
      <c r="D493" s="1491" t="s">
        <v>365</v>
      </c>
      <c r="E493" s="1491"/>
      <c r="F493" s="1491"/>
      <c r="G493" s="1491"/>
      <c r="H493" s="1491"/>
      <c r="I493" s="1493"/>
      <c r="J493" s="1511"/>
      <c r="K493" s="1503"/>
      <c r="L493" s="1493"/>
      <c r="M493" s="1493"/>
      <c r="N493" s="1493"/>
      <c r="O493" s="1493"/>
      <c r="P493" s="1493"/>
      <c r="Q493" s="1493"/>
      <c r="R493" s="1493"/>
      <c r="S493" s="1493"/>
      <c r="T493" s="1490"/>
    </row>
    <row r="494" spans="1:20" ht="12.75">
      <c r="A494" s="1491"/>
      <c r="B494" s="1491"/>
      <c r="C494" s="1531">
        <v>4186.09</v>
      </c>
      <c r="D494" s="1491" t="s">
        <v>366</v>
      </c>
      <c r="E494" s="1491"/>
      <c r="F494" s="1491"/>
      <c r="G494" s="1491"/>
      <c r="H494" s="1491"/>
      <c r="I494" s="1493"/>
      <c r="J494" s="1511"/>
      <c r="K494" s="1503"/>
      <c r="L494" s="1493"/>
      <c r="M494" s="1493"/>
      <c r="N494" s="1493"/>
      <c r="O494" s="1493"/>
      <c r="P494" s="1493"/>
      <c r="Q494" s="1493"/>
      <c r="R494" s="1493"/>
      <c r="S494" s="1493"/>
      <c r="T494" s="1490"/>
    </row>
    <row r="495" spans="1:20" ht="12.75">
      <c r="A495" s="1491"/>
      <c r="B495" s="1491"/>
      <c r="C495" s="1531">
        <v>3488.82</v>
      </c>
      <c r="D495" s="1491" t="s">
        <v>367</v>
      </c>
      <c r="E495" s="1491"/>
      <c r="F495" s="1491"/>
      <c r="G495" s="1491"/>
      <c r="H495" s="1491"/>
      <c r="I495" s="1493"/>
      <c r="J495" s="1511"/>
      <c r="K495" s="1503"/>
      <c r="L495" s="1493"/>
      <c r="M495" s="1493"/>
      <c r="N495" s="1493"/>
      <c r="O495" s="1493"/>
      <c r="P495" s="1493"/>
      <c r="Q495" s="1493"/>
      <c r="R495" s="1493"/>
      <c r="S495" s="1493"/>
      <c r="T495" s="1490"/>
    </row>
    <row r="496" spans="1:20" ht="12.75">
      <c r="A496" s="1491"/>
      <c r="B496" s="1491"/>
      <c r="C496" s="1531">
        <v>-0.74</v>
      </c>
      <c r="D496" s="1491" t="s">
        <v>368</v>
      </c>
      <c r="E496" s="1491"/>
      <c r="F496" s="1491"/>
      <c r="G496" s="1491"/>
      <c r="H496" s="1491"/>
      <c r="I496" s="1493"/>
      <c r="J496" s="1511"/>
      <c r="K496" s="1503"/>
      <c r="L496" s="1493"/>
      <c r="M496" s="1493"/>
      <c r="N496" s="1493"/>
      <c r="O496" s="1493"/>
      <c r="P496" s="1493"/>
      <c r="Q496" s="1493"/>
      <c r="R496" s="1493"/>
      <c r="S496" s="1493"/>
      <c r="T496" s="1490"/>
    </row>
    <row r="497" spans="1:20" ht="12.75">
      <c r="A497" s="1491"/>
      <c r="B497" s="1506"/>
      <c r="C497" s="1506">
        <v>-274.58</v>
      </c>
      <c r="D497" s="1491" t="s">
        <v>1046</v>
      </c>
      <c r="E497" s="1491"/>
      <c r="F497" s="1491"/>
      <c r="G497" s="1491"/>
      <c r="H497" s="1491"/>
      <c r="I497" s="1493"/>
      <c r="J497" s="1511"/>
      <c r="K497" s="1503"/>
      <c r="L497" s="1493"/>
      <c r="M497" s="1493"/>
      <c r="N497" s="1493"/>
      <c r="O497" s="1493"/>
      <c r="P497" s="1493"/>
      <c r="Q497" s="1493"/>
      <c r="R497" s="1493"/>
      <c r="S497" s="1493"/>
      <c r="T497" s="1490"/>
    </row>
    <row r="498" spans="1:20" ht="12.75">
      <c r="A498" s="1491"/>
      <c r="B498" s="1491"/>
      <c r="C498" s="1506">
        <v>-0.01</v>
      </c>
      <c r="D498" s="1491" t="s">
        <v>290</v>
      </c>
      <c r="E498" s="1491"/>
      <c r="F498" s="1491"/>
      <c r="G498" s="1491"/>
      <c r="H498" s="1491"/>
      <c r="I498" s="1493"/>
      <c r="J498" s="1511"/>
      <c r="K498" s="1503"/>
      <c r="L498" s="1492">
        <f>-C498</f>
        <v>0.01</v>
      </c>
      <c r="M498" s="1493"/>
      <c r="N498" s="1493"/>
      <c r="O498" s="1493"/>
      <c r="P498" s="1493"/>
      <c r="Q498" s="1493"/>
      <c r="R498" s="1493"/>
      <c r="S498" s="1493"/>
      <c r="T498" s="1490"/>
    </row>
    <row r="499" spans="1:20" ht="12.75">
      <c r="A499" s="1491"/>
      <c r="B499" s="1491"/>
      <c r="C499" s="1506">
        <v>-11371</v>
      </c>
      <c r="D499" s="1491" t="s">
        <v>1047</v>
      </c>
      <c r="E499" s="1491"/>
      <c r="F499" s="1491"/>
      <c r="G499" s="1491"/>
      <c r="H499" s="1491"/>
      <c r="I499" s="1493"/>
      <c r="J499" s="1511"/>
      <c r="K499" s="1503"/>
      <c r="L499" s="1493"/>
      <c r="M499" s="1493"/>
      <c r="N499" s="1493"/>
      <c r="O499" s="1493"/>
      <c r="P499" s="1493"/>
      <c r="Q499" s="1493"/>
      <c r="R499" s="1493"/>
      <c r="S499" s="1493"/>
      <c r="T499" s="1490"/>
    </row>
    <row r="500" spans="1:20" ht="12.75">
      <c r="A500" s="1491"/>
      <c r="B500" s="1506"/>
      <c r="C500" s="1506">
        <v>307.91</v>
      </c>
      <c r="D500" s="1491" t="s">
        <v>319</v>
      </c>
      <c r="E500" s="1491"/>
      <c r="F500" s="1491"/>
      <c r="G500" s="1491"/>
      <c r="H500" s="1491"/>
      <c r="I500" s="1493"/>
      <c r="J500" s="1511"/>
      <c r="K500" s="1503"/>
      <c r="L500" s="1493"/>
      <c r="M500" s="1493"/>
      <c r="N500" s="1493"/>
      <c r="O500" s="1493"/>
      <c r="P500" s="1493"/>
      <c r="Q500" s="1493"/>
      <c r="R500" s="1493"/>
      <c r="S500" s="1493"/>
      <c r="T500" s="1490"/>
    </row>
    <row r="501" spans="1:20" ht="12.75">
      <c r="A501" s="1491"/>
      <c r="B501" s="1491"/>
      <c r="C501" s="1506">
        <v>-1832.63</v>
      </c>
      <c r="D501" s="1491" t="s">
        <v>1035</v>
      </c>
      <c r="E501" s="1491"/>
      <c r="F501" s="1491"/>
      <c r="G501" s="1491"/>
      <c r="H501" s="1491"/>
      <c r="I501" s="1493"/>
      <c r="J501" s="1511"/>
      <c r="K501" s="1503"/>
      <c r="L501" s="1493"/>
      <c r="M501" s="1493"/>
      <c r="N501" s="1493"/>
      <c r="O501" s="1493"/>
      <c r="P501" s="1493"/>
      <c r="Q501" s="1493"/>
      <c r="R501" s="1493"/>
      <c r="S501" s="1493"/>
      <c r="T501" s="1490"/>
    </row>
    <row r="502" spans="1:20" ht="12.75">
      <c r="A502" s="1491"/>
      <c r="B502" s="1491"/>
      <c r="C502" s="1506">
        <v>-237.720000000011</v>
      </c>
      <c r="D502" s="1491" t="s">
        <v>288</v>
      </c>
      <c r="E502" s="1491"/>
      <c r="F502" s="1491"/>
      <c r="G502" s="1491"/>
      <c r="H502" s="1491"/>
      <c r="I502" s="1493"/>
      <c r="J502" s="1511"/>
      <c r="K502" s="1503"/>
      <c r="L502" s="1493"/>
      <c r="M502" s="1493"/>
      <c r="N502" s="1493"/>
      <c r="O502" s="1493"/>
      <c r="P502" s="1493"/>
      <c r="Q502" s="1492">
        <v>237.720000000011</v>
      </c>
      <c r="R502" s="1493"/>
      <c r="S502" s="1493"/>
      <c r="T502" s="1490"/>
    </row>
    <row r="503" spans="1:20" ht="12.75">
      <c r="A503" s="1491"/>
      <c r="B503" s="1491"/>
      <c r="C503" s="1506">
        <v>8846.89</v>
      </c>
      <c r="D503" s="1491" t="s">
        <v>1037</v>
      </c>
      <c r="E503" s="1491"/>
      <c r="F503" s="1491"/>
      <c r="G503" s="1491"/>
      <c r="H503" s="1491"/>
      <c r="I503" s="1493"/>
      <c r="J503" s="1511"/>
      <c r="K503" s="1503"/>
      <c r="L503" s="1493"/>
      <c r="M503" s="1493"/>
      <c r="N503" s="1493"/>
      <c r="O503" s="1493"/>
      <c r="P503" s="1493"/>
      <c r="Q503" s="1493"/>
      <c r="R503" s="1493"/>
      <c r="S503" s="1493"/>
      <c r="T503" s="1490"/>
    </row>
    <row r="504" spans="1:20" ht="12.75">
      <c r="A504" s="1491"/>
      <c r="B504" s="1491"/>
      <c r="C504" s="1506">
        <v>842.82</v>
      </c>
      <c r="D504" s="1491" t="s">
        <v>333</v>
      </c>
      <c r="E504" s="1491"/>
      <c r="F504" s="1491"/>
      <c r="G504" s="1491"/>
      <c r="H504" s="1491"/>
      <c r="I504" s="1493"/>
      <c r="J504" s="1511"/>
      <c r="K504" s="1503"/>
      <c r="L504" s="1493"/>
      <c r="M504" s="1493"/>
      <c r="N504" s="1493"/>
      <c r="O504" s="1493"/>
      <c r="P504" s="1493"/>
      <c r="Q504" s="1493"/>
      <c r="R504" s="1493"/>
      <c r="S504" s="1493"/>
      <c r="T504" s="1490"/>
    </row>
    <row r="505" spans="1:20" ht="12.75">
      <c r="A505" s="1491"/>
      <c r="B505" s="1491"/>
      <c r="C505" s="1520">
        <v>1599.36</v>
      </c>
      <c r="D505" s="1491" t="s">
        <v>20</v>
      </c>
      <c r="E505" s="1491"/>
      <c r="F505" s="1491"/>
      <c r="G505" s="1491"/>
      <c r="H505" s="1491"/>
      <c r="I505" s="1493"/>
      <c r="J505" s="1511"/>
      <c r="K505" s="1503"/>
      <c r="L505" s="1493"/>
      <c r="M505" s="1493"/>
      <c r="N505" s="1493"/>
      <c r="O505" s="1493"/>
      <c r="P505" s="1493"/>
      <c r="Q505" s="1493"/>
      <c r="R505" s="1493"/>
      <c r="S505" s="1493"/>
      <c r="T505" s="1490"/>
    </row>
    <row r="506" spans="1:20" ht="12.75">
      <c r="A506" s="1491"/>
      <c r="B506" s="1491"/>
      <c r="C506" s="1520">
        <v>-12.2</v>
      </c>
      <c r="D506" s="1491" t="s">
        <v>19</v>
      </c>
      <c r="E506" s="1491"/>
      <c r="F506" s="1491"/>
      <c r="G506" s="1491"/>
      <c r="H506" s="1491"/>
      <c r="I506" s="1493"/>
      <c r="J506" s="1511"/>
      <c r="K506" s="1503"/>
      <c r="L506" s="1493"/>
      <c r="M506" s="1493"/>
      <c r="N506" s="1493"/>
      <c r="O506" s="1493"/>
      <c r="P506" s="1493"/>
      <c r="Q506" s="1493"/>
      <c r="R506" s="1492">
        <v>12.2</v>
      </c>
      <c r="S506" s="1493"/>
      <c r="T506" s="1490"/>
    </row>
    <row r="507" spans="1:20" ht="12.75">
      <c r="A507" s="1491"/>
      <c r="B507" s="1491"/>
      <c r="C507" s="1520">
        <v>38656.31</v>
      </c>
      <c r="D507" s="1491" t="s">
        <v>293</v>
      </c>
      <c r="E507" s="1491"/>
      <c r="F507" s="1491"/>
      <c r="G507" s="1491"/>
      <c r="H507" s="1491"/>
      <c r="I507" s="1493"/>
      <c r="J507" s="1511"/>
      <c r="K507" s="1503"/>
      <c r="L507" s="1493"/>
      <c r="M507" s="1493"/>
      <c r="N507" s="1493"/>
      <c r="O507" s="1493"/>
      <c r="P507" s="1493"/>
      <c r="Q507" s="1493"/>
      <c r="R507" s="1493"/>
      <c r="S507" s="1493"/>
      <c r="T507" s="1490"/>
    </row>
    <row r="508" spans="1:20" ht="12.75">
      <c r="A508" s="1491"/>
      <c r="B508" s="1491"/>
      <c r="C508" s="1520">
        <v>-12231.28</v>
      </c>
      <c r="D508" s="1491" t="s">
        <v>22</v>
      </c>
      <c r="E508" s="1491"/>
      <c r="F508" s="1491"/>
      <c r="G508" s="1491"/>
      <c r="H508" s="1491"/>
      <c r="I508" s="1493"/>
      <c r="J508" s="1511"/>
      <c r="K508" s="1492">
        <v>0</v>
      </c>
      <c r="L508" s="1493"/>
      <c r="M508" s="1493"/>
      <c r="N508" s="1493"/>
      <c r="O508" s="1493"/>
      <c r="P508" s="1493"/>
      <c r="Q508" s="1493"/>
      <c r="R508" s="1493"/>
      <c r="S508" s="1493"/>
      <c r="T508" s="1490"/>
    </row>
    <row r="509" spans="1:20" ht="12.75">
      <c r="A509" s="1491"/>
      <c r="B509" s="1491"/>
      <c r="C509" s="1520">
        <v>641.32</v>
      </c>
      <c r="D509" s="1491" t="s">
        <v>28</v>
      </c>
      <c r="E509" s="1491"/>
      <c r="F509" s="1491"/>
      <c r="G509" s="1491"/>
      <c r="H509" s="1491"/>
      <c r="I509" s="1493"/>
      <c r="J509" s="1511"/>
      <c r="K509" s="1503"/>
      <c r="L509" s="1493"/>
      <c r="M509" s="1493"/>
      <c r="N509" s="1493"/>
      <c r="O509" s="1493"/>
      <c r="P509" s="1493"/>
      <c r="Q509" s="1493"/>
      <c r="R509" s="1493"/>
      <c r="S509" s="1493"/>
      <c r="T509" s="1490"/>
    </row>
    <row r="510" spans="1:20" ht="12.75">
      <c r="A510" s="1491"/>
      <c r="B510" s="1491"/>
      <c r="C510" s="1441">
        <v>12237.689999999999</v>
      </c>
      <c r="D510" t="s">
        <v>706</v>
      </c>
      <c r="E510" s="1491"/>
      <c r="F510" s="1491"/>
      <c r="G510" s="1491"/>
      <c r="H510" s="1491"/>
      <c r="I510" s="1493"/>
      <c r="J510" s="1511"/>
      <c r="K510" s="1503"/>
      <c r="L510" s="1493"/>
      <c r="M510" s="1492"/>
      <c r="N510" s="1493"/>
      <c r="O510" s="1493"/>
      <c r="P510" s="1493"/>
      <c r="Q510" s="1493"/>
      <c r="R510" s="1493"/>
      <c r="S510" s="1493"/>
      <c r="T510" s="1490"/>
    </row>
    <row r="511" spans="1:20" ht="12.75">
      <c r="A511" s="1491"/>
      <c r="B511" s="1491"/>
      <c r="C511" s="1441">
        <v>974.35</v>
      </c>
      <c r="D511" t="s">
        <v>18</v>
      </c>
      <c r="E511" s="1491"/>
      <c r="F511" s="1491"/>
      <c r="G511" s="1491"/>
      <c r="H511" s="1491"/>
      <c r="I511" s="1493"/>
      <c r="J511" s="1511"/>
      <c r="K511" s="1503"/>
      <c r="L511" s="1493"/>
      <c r="M511" s="1492"/>
      <c r="N511" s="1493"/>
      <c r="O511" s="1493"/>
      <c r="P511" s="1493"/>
      <c r="Q511" s="1493"/>
      <c r="R511" s="1493"/>
      <c r="S511" s="1493"/>
      <c r="T511" s="1490"/>
    </row>
    <row r="512" spans="1:20" ht="12.75">
      <c r="A512" s="1491"/>
      <c r="B512" s="1491"/>
      <c r="C512" s="1441">
        <v>5542.7</v>
      </c>
      <c r="D512" t="s">
        <v>745</v>
      </c>
      <c r="E512" s="1491"/>
      <c r="F512" s="1491"/>
      <c r="G512" s="1491"/>
      <c r="H512" s="1491"/>
      <c r="I512" s="1493"/>
      <c r="J512" s="1511"/>
      <c r="K512" s="1503"/>
      <c r="L512" s="1493"/>
      <c r="M512" s="1492"/>
      <c r="N512" s="1493"/>
      <c r="O512" s="1493"/>
      <c r="P512" s="1493"/>
      <c r="Q512" s="1493"/>
      <c r="R512" s="1493"/>
      <c r="S512" s="1493"/>
      <c r="T512" s="1490"/>
    </row>
    <row r="513" spans="1:20" ht="12.75">
      <c r="A513" s="1491"/>
      <c r="B513" s="1491"/>
      <c r="C513" s="1441">
        <v>-1664.2</v>
      </c>
      <c r="D513" t="s">
        <v>745</v>
      </c>
      <c r="E513" s="1491"/>
      <c r="F513" s="1491"/>
      <c r="G513" s="1491"/>
      <c r="H513" s="1491"/>
      <c r="I513" s="1493"/>
      <c r="J513" s="1511"/>
      <c r="K513" s="1503"/>
      <c r="L513" s="1493"/>
      <c r="M513" s="1492"/>
      <c r="N513" s="1493"/>
      <c r="O513" s="1493"/>
      <c r="P513" s="1493"/>
      <c r="Q513" s="1493"/>
      <c r="R513" s="1493"/>
      <c r="S513" s="1493"/>
      <c r="T513" s="1490"/>
    </row>
    <row r="514" spans="1:20" ht="12.75">
      <c r="A514" s="1491"/>
      <c r="B514" s="1491"/>
      <c r="C514" s="1441">
        <v>25877</v>
      </c>
      <c r="D514" t="s">
        <v>722</v>
      </c>
      <c r="E514" s="1491"/>
      <c r="F514" s="1491"/>
      <c r="G514" s="1491"/>
      <c r="H514" s="1491"/>
      <c r="I514" s="1493"/>
      <c r="J514" s="1511"/>
      <c r="K514" s="1503"/>
      <c r="L514" s="1493"/>
      <c r="M514" s="1492"/>
      <c r="N514" s="1493"/>
      <c r="O514" s="1493"/>
      <c r="P514" s="1493"/>
      <c r="Q514" s="1493"/>
      <c r="R514" s="1493"/>
      <c r="S514" s="1493"/>
      <c r="T514" s="1490"/>
    </row>
    <row r="515" spans="1:20" ht="12.75">
      <c r="A515" s="1491"/>
      <c r="B515" s="1491"/>
      <c r="C515" s="1441">
        <v>-10971.26</v>
      </c>
      <c r="D515" t="s">
        <v>704</v>
      </c>
      <c r="E515" s="1491"/>
      <c r="F515" s="1491"/>
      <c r="G515" s="1491"/>
      <c r="H515" s="1491"/>
      <c r="I515" s="1493"/>
      <c r="J515" s="1511"/>
      <c r="K515" s="1503"/>
      <c r="L515" s="1493"/>
      <c r="M515" s="1492"/>
      <c r="N515" s="1493"/>
      <c r="O515" s="1493"/>
      <c r="P515" s="1493"/>
      <c r="Q515" s="1493"/>
      <c r="R515" s="1493"/>
      <c r="S515" s="1493"/>
      <c r="T515" s="1529">
        <f>-C515</f>
        <v>10971.26</v>
      </c>
    </row>
    <row r="516" spans="1:20" ht="12.75">
      <c r="A516" s="1491"/>
      <c r="B516" s="1491"/>
      <c r="C516" s="1441">
        <v>-14278.32</v>
      </c>
      <c r="D516" t="s">
        <v>748</v>
      </c>
      <c r="E516" s="1491"/>
      <c r="F516" s="1491"/>
      <c r="G516" s="1491"/>
      <c r="H516" s="1491"/>
      <c r="I516" s="1492">
        <f>-C516</f>
        <v>14278.32</v>
      </c>
      <c r="J516" s="1511"/>
      <c r="K516" s="1503"/>
      <c r="L516" s="1493"/>
      <c r="M516" s="1492"/>
      <c r="N516" s="1493"/>
      <c r="O516" s="1493"/>
      <c r="P516" s="1493"/>
      <c r="Q516" s="1493"/>
      <c r="R516" s="1493"/>
      <c r="S516" s="1493"/>
      <c r="T516" s="1490"/>
    </row>
    <row r="517" spans="1:20" ht="12.75">
      <c r="A517" s="1491"/>
      <c r="B517" s="1491"/>
      <c r="C517" s="1441">
        <v>-56095.63</v>
      </c>
      <c r="D517" t="s">
        <v>746</v>
      </c>
      <c r="E517" s="1491"/>
      <c r="F517" s="1491"/>
      <c r="G517" s="1491"/>
      <c r="H517" s="1491"/>
      <c r="I517" s="1493"/>
      <c r="J517" s="1511"/>
      <c r="K517" s="1503">
        <f>-C517</f>
        <v>56095.63</v>
      </c>
      <c r="L517" s="1493"/>
      <c r="M517" s="1492"/>
      <c r="N517" s="1493"/>
      <c r="O517" s="1493"/>
      <c r="P517" s="1493"/>
      <c r="Q517" s="1493"/>
      <c r="R517" s="1493"/>
      <c r="S517" s="1493"/>
      <c r="T517" s="1490"/>
    </row>
    <row r="518" spans="1:20" ht="12.75">
      <c r="A518" s="1491"/>
      <c r="B518" s="1491"/>
      <c r="C518" s="1441">
        <v>-3256.4</v>
      </c>
      <c r="D518" t="s">
        <v>730</v>
      </c>
      <c r="E518" s="1491"/>
      <c r="F518" s="1491"/>
      <c r="G518" s="1491"/>
      <c r="H518" s="1491"/>
      <c r="I518" s="1493"/>
      <c r="J518" s="1511">
        <f>-C518</f>
        <v>3256.4</v>
      </c>
      <c r="K518" s="1503"/>
      <c r="L518" s="1493"/>
      <c r="M518" s="1492"/>
      <c r="N518" s="1493"/>
      <c r="O518" s="1493"/>
      <c r="P518" s="1493"/>
      <c r="Q518" s="1493"/>
      <c r="R518" s="1493"/>
      <c r="S518" s="1493"/>
      <c r="T518" s="1490"/>
    </row>
    <row r="519" spans="1:20" ht="12.75">
      <c r="A519" s="1491"/>
      <c r="B519" s="1491"/>
      <c r="C519" s="1441">
        <v>-5.83</v>
      </c>
      <c r="D519" t="s">
        <v>264</v>
      </c>
      <c r="E519" s="1491"/>
      <c r="F519" s="1491"/>
      <c r="G519" s="1491"/>
      <c r="H519" s="1491"/>
      <c r="I519" s="1493"/>
      <c r="J519" s="1511"/>
      <c r="K519" s="1503"/>
      <c r="L519" s="1493"/>
      <c r="M519" s="1492"/>
      <c r="N519" s="1493"/>
      <c r="O519" s="1493"/>
      <c r="P519" s="1493"/>
      <c r="Q519" s="1493"/>
      <c r="R519" s="1493"/>
      <c r="S519" s="1493"/>
      <c r="T519" s="1490"/>
    </row>
    <row r="520" spans="1:20" ht="12.75">
      <c r="A520" s="1491"/>
      <c r="B520" s="1491"/>
      <c r="C520" s="1531">
        <f>+SUM(C487:C519)</f>
        <v>-21115.96000000002</v>
      </c>
      <c r="D520" s="1491" t="s">
        <v>340</v>
      </c>
      <c r="E520" s="1491"/>
      <c r="F520" s="1491"/>
      <c r="G520" s="1491"/>
      <c r="H520" s="1491"/>
      <c r="I520" s="1493"/>
      <c r="J520" s="1511"/>
      <c r="K520" s="1503"/>
      <c r="L520" s="1493"/>
      <c r="M520" s="1493"/>
      <c r="N520" s="1493"/>
      <c r="O520" s="1493"/>
      <c r="P520" s="1493"/>
      <c r="Q520" s="1493"/>
      <c r="R520" s="1493"/>
      <c r="S520" s="1493"/>
      <c r="T520" s="1490"/>
    </row>
    <row r="521" spans="1:20" ht="12.75">
      <c r="A521" s="1491"/>
      <c r="B521" s="1491"/>
      <c r="C521" s="1531"/>
      <c r="D521" s="1491"/>
      <c r="E521" s="1491"/>
      <c r="F521" s="1491"/>
      <c r="G521" s="1491"/>
      <c r="H521" s="1491"/>
      <c r="I521" s="1493"/>
      <c r="J521" s="1511"/>
      <c r="K521" s="1503"/>
      <c r="L521" s="1493"/>
      <c r="M521" s="1493"/>
      <c r="N521" s="1493"/>
      <c r="O521" s="1493"/>
      <c r="P521" s="1493"/>
      <c r="Q521" s="1493"/>
      <c r="R521" s="1493"/>
      <c r="S521" s="1493"/>
      <c r="T521" s="1490"/>
    </row>
    <row r="522" spans="1:21" ht="12.75">
      <c r="A522" s="1491"/>
      <c r="B522" s="1491"/>
      <c r="C522" s="1531"/>
      <c r="D522" s="1491"/>
      <c r="E522" s="1491"/>
      <c r="F522" s="1491"/>
      <c r="G522" s="1491"/>
      <c r="H522" s="1491"/>
      <c r="I522" s="1492">
        <f>+SUM(I149:I521)</f>
        <v>14278.32</v>
      </c>
      <c r="J522" s="1492">
        <f aca="true" t="shared" si="0" ref="J522:U522">+SUM(J149:J521)</f>
        <v>18949.4</v>
      </c>
      <c r="K522" s="1492">
        <f t="shared" si="0"/>
        <v>104692.03</v>
      </c>
      <c r="L522" s="1492">
        <f t="shared" si="0"/>
        <v>0.09</v>
      </c>
      <c r="M522" s="1492">
        <f t="shared" si="0"/>
        <v>0</v>
      </c>
      <c r="N522" s="1492">
        <f t="shared" si="0"/>
        <v>15391.84</v>
      </c>
      <c r="O522" s="1492">
        <f t="shared" si="0"/>
        <v>6699.17</v>
      </c>
      <c r="P522" s="1492">
        <f t="shared" si="0"/>
        <v>9331.310000000001</v>
      </c>
      <c r="Q522" s="1492">
        <f t="shared" si="0"/>
        <v>776.7100000000376</v>
      </c>
      <c r="R522" s="1492">
        <f t="shared" si="0"/>
        <v>24.849999999999998</v>
      </c>
      <c r="S522" s="1492">
        <f t="shared" si="0"/>
        <v>1.25</v>
      </c>
      <c r="T522" s="1492">
        <f t="shared" si="0"/>
        <v>139399.08000000002</v>
      </c>
      <c r="U522" s="1492">
        <f t="shared" si="0"/>
        <v>5194.179999999999</v>
      </c>
    </row>
    <row r="523" spans="1:21" ht="12.75">
      <c r="A523" s="1491"/>
      <c r="B523" s="1491"/>
      <c r="C523" s="1531"/>
      <c r="D523" s="1491"/>
      <c r="E523" s="1491"/>
      <c r="F523" s="1491"/>
      <c r="G523" s="1491"/>
      <c r="H523" s="1491"/>
      <c r="I523" s="1493"/>
      <c r="J523" s="1493"/>
      <c r="K523" s="1493"/>
      <c r="L523" s="1493"/>
      <c r="M523" s="1493"/>
      <c r="N523" s="1493"/>
      <c r="O523" s="1493"/>
      <c r="P523" s="1493"/>
      <c r="Q523" s="1493"/>
      <c r="R523" s="1493"/>
      <c r="S523" s="1493"/>
      <c r="T523" s="1493"/>
      <c r="U523" s="1493"/>
    </row>
    <row r="524" spans="1:21" ht="12.75">
      <c r="A524" s="1491"/>
      <c r="B524" s="1491"/>
      <c r="C524" s="1531"/>
      <c r="D524" s="1491"/>
      <c r="E524" s="1491"/>
      <c r="F524" s="1491"/>
      <c r="G524" s="1491"/>
      <c r="H524" s="1491"/>
      <c r="I524" s="1492"/>
      <c r="J524" s="1492"/>
      <c r="K524" s="1492"/>
      <c r="L524" s="1492"/>
      <c r="M524" s="1492"/>
      <c r="N524" s="1492"/>
      <c r="O524" s="1492"/>
      <c r="P524" s="1492"/>
      <c r="Q524" s="1492"/>
      <c r="R524" s="1492"/>
      <c r="S524" s="1492"/>
      <c r="T524" s="1492"/>
      <c r="U524" s="1492"/>
    </row>
    <row r="525" spans="1:20" ht="12.75">
      <c r="A525" s="1491"/>
      <c r="B525" s="1491"/>
      <c r="C525" s="1531"/>
      <c r="D525" s="1491"/>
      <c r="E525" s="1491"/>
      <c r="F525" s="1491"/>
      <c r="G525" s="1491"/>
      <c r="H525" s="1491"/>
      <c r="I525" s="1493"/>
      <c r="J525" s="1511"/>
      <c r="K525" s="1503"/>
      <c r="L525" s="1493"/>
      <c r="M525" s="1493"/>
      <c r="N525" s="1493"/>
      <c r="O525" s="1493"/>
      <c r="P525" s="1493"/>
      <c r="Q525" s="1493"/>
      <c r="R525" s="1493"/>
      <c r="S525" s="1493"/>
      <c r="T525" s="1490"/>
    </row>
    <row r="526" spans="1:20" ht="12.75">
      <c r="A526" s="1491"/>
      <c r="B526" s="1491"/>
      <c r="C526" s="1531"/>
      <c r="D526" s="1491"/>
      <c r="E526" s="1491"/>
      <c r="F526" s="1491"/>
      <c r="G526" s="1491"/>
      <c r="H526" s="1491"/>
      <c r="I526" s="1493"/>
      <c r="J526" s="1511"/>
      <c r="K526" s="1503"/>
      <c r="L526" s="1493"/>
      <c r="M526" s="1493"/>
      <c r="N526" s="1493"/>
      <c r="O526" s="1493"/>
      <c r="P526" s="1493"/>
      <c r="Q526" s="1493"/>
      <c r="R526" s="1493"/>
      <c r="S526" s="1493"/>
      <c r="T526" s="1490"/>
    </row>
    <row r="527" spans="1:20" ht="12.75">
      <c r="A527" s="1511"/>
      <c r="B527" s="1503"/>
      <c r="C527" s="1493"/>
      <c r="D527" s="1493"/>
      <c r="E527" s="1539"/>
      <c r="F527" s="1539"/>
      <c r="G527" s="1539"/>
      <c r="H527" s="1539"/>
      <c r="I527" s="1493"/>
      <c r="J527" s="1511"/>
      <c r="K527" s="1503"/>
      <c r="L527" s="1493"/>
      <c r="M527" s="1493"/>
      <c r="N527" s="1493"/>
      <c r="O527" s="1493"/>
      <c r="P527" s="1493"/>
      <c r="Q527" s="1493"/>
      <c r="R527" s="1493"/>
      <c r="S527" s="1493"/>
      <c r="T527" s="1490"/>
    </row>
    <row r="528" spans="1:20" ht="12.75">
      <c r="A528" s="1511"/>
      <c r="B528" s="1503"/>
      <c r="C528" s="1493"/>
      <c r="D528" s="1493"/>
      <c r="E528" s="1539"/>
      <c r="F528" s="1539"/>
      <c r="G528" s="1539"/>
      <c r="H528" s="1539"/>
      <c r="I528" s="1493"/>
      <c r="J528" s="1511"/>
      <c r="K528" s="1503"/>
      <c r="L528" s="1540"/>
      <c r="M528" s="1493"/>
      <c r="N528" s="1493"/>
      <c r="O528" s="1493"/>
      <c r="P528" s="1493"/>
      <c r="Q528" s="1493"/>
      <c r="R528" s="1493"/>
      <c r="S528" s="1493"/>
      <c r="T528" s="1490"/>
    </row>
    <row r="529" spans="1:20" ht="12.75">
      <c r="A529" s="2062"/>
      <c r="B529" s="2062"/>
      <c r="C529" s="2062"/>
      <c r="D529" s="2062"/>
      <c r="E529" s="1539"/>
      <c r="F529" s="1539"/>
      <c r="G529" s="1539"/>
      <c r="H529" s="1539"/>
      <c r="I529" s="1493"/>
      <c r="J529" s="2062"/>
      <c r="K529" s="2062"/>
      <c r="L529" s="2062"/>
      <c r="M529" s="2062"/>
      <c r="N529" s="1493"/>
      <c r="O529" s="1493"/>
      <c r="P529" s="1493"/>
      <c r="Q529" s="1493"/>
      <c r="R529" s="1493"/>
      <c r="S529" s="1493"/>
      <c r="T529" s="1490"/>
    </row>
    <row r="530" spans="1:20" ht="12.75">
      <c r="A530" s="1511"/>
      <c r="B530" s="1503"/>
      <c r="C530" s="1493"/>
      <c r="D530" s="1493"/>
      <c r="E530" s="1539"/>
      <c r="F530" s="1539"/>
      <c r="G530" s="1539"/>
      <c r="H530" s="1539"/>
      <c r="I530" s="1493"/>
      <c r="J530" s="1511"/>
      <c r="K530" s="1503"/>
      <c r="L530" s="1493"/>
      <c r="M530" s="1493"/>
      <c r="N530" s="1493"/>
      <c r="O530" s="1493"/>
      <c r="P530" s="1493"/>
      <c r="Q530" s="1493"/>
      <c r="R530" s="1493"/>
      <c r="S530" s="1493"/>
      <c r="T530" s="1490"/>
    </row>
    <row r="531" spans="1:20" ht="12.75">
      <c r="A531" s="1511"/>
      <c r="B531" s="1503"/>
      <c r="C531" s="1493"/>
      <c r="D531" s="1493"/>
      <c r="E531" s="1539"/>
      <c r="F531" s="1539"/>
      <c r="G531" s="1539"/>
      <c r="H531" s="1539"/>
      <c r="I531" s="1493"/>
      <c r="J531" s="1511"/>
      <c r="K531" s="1503"/>
      <c r="L531" s="1493"/>
      <c r="M531" s="1493"/>
      <c r="N531" s="1493"/>
      <c r="O531" s="1493"/>
      <c r="P531" s="1493"/>
      <c r="Q531" s="1493"/>
      <c r="R531" s="1493"/>
      <c r="S531" s="1493"/>
      <c r="T531" s="1490"/>
    </row>
    <row r="532" spans="1:20" ht="12.75">
      <c r="A532" s="1511"/>
      <c r="B532" s="1503"/>
      <c r="C532" s="1493"/>
      <c r="D532" s="1492"/>
      <c r="E532" s="1539"/>
      <c r="F532" s="1539"/>
      <c r="G532" s="1539"/>
      <c r="H532" s="1539"/>
      <c r="I532" s="1493"/>
      <c r="J532" s="1511"/>
      <c r="K532" s="1503"/>
      <c r="L532" s="1493"/>
      <c r="M532" s="1492"/>
      <c r="N532" s="1493"/>
      <c r="O532" s="1493"/>
      <c r="P532" s="1493"/>
      <c r="Q532" s="1493"/>
      <c r="R532" s="1493"/>
      <c r="S532" s="1493"/>
      <c r="T532" s="1490"/>
    </row>
    <row r="533" spans="1:20" ht="12.75">
      <c r="A533" s="1511"/>
      <c r="B533" s="1503"/>
      <c r="C533" s="1493"/>
      <c r="D533" s="1492"/>
      <c r="E533" s="1539"/>
      <c r="F533" s="1539"/>
      <c r="G533" s="1539"/>
      <c r="H533" s="1539"/>
      <c r="I533" s="1493"/>
      <c r="J533" s="1511"/>
      <c r="K533" s="1503"/>
      <c r="L533" s="1493"/>
      <c r="M533" s="1492"/>
      <c r="N533" s="1493"/>
      <c r="O533" s="1493"/>
      <c r="P533" s="1493"/>
      <c r="Q533" s="1493"/>
      <c r="R533" s="1493"/>
      <c r="S533" s="1493"/>
      <c r="T533" s="1490"/>
    </row>
    <row r="534" spans="1:20" ht="12.75">
      <c r="A534" s="1511"/>
      <c r="B534" s="1503"/>
      <c r="C534" s="1493"/>
      <c r="D534" s="1492"/>
      <c r="E534" s="1539"/>
      <c r="F534" s="1539"/>
      <c r="G534" s="1539"/>
      <c r="H534" s="1539"/>
      <c r="I534" s="1493"/>
      <c r="J534" s="1511"/>
      <c r="K534" s="1503"/>
      <c r="L534" s="1493"/>
      <c r="M534" s="1492"/>
      <c r="N534" s="1493"/>
      <c r="O534" s="1493"/>
      <c r="P534" s="1493"/>
      <c r="Q534" s="1493"/>
      <c r="R534" s="1493"/>
      <c r="S534" s="1493"/>
      <c r="T534" s="1490"/>
    </row>
    <row r="535" spans="1:20" ht="12.75">
      <c r="A535" s="1511"/>
      <c r="B535" s="1503"/>
      <c r="C535" s="1493"/>
      <c r="D535" s="1492"/>
      <c r="E535" s="1539"/>
      <c r="F535" s="1539"/>
      <c r="G535" s="1539"/>
      <c r="H535" s="1539"/>
      <c r="I535" s="1493"/>
      <c r="J535" s="1511"/>
      <c r="K535" s="1503"/>
      <c r="L535" s="1493"/>
      <c r="M535" s="1492"/>
      <c r="N535" s="1493"/>
      <c r="O535" s="1493"/>
      <c r="P535" s="1493"/>
      <c r="Q535" s="1493"/>
      <c r="R535" s="1493"/>
      <c r="S535" s="1493"/>
      <c r="T535" s="1490"/>
    </row>
    <row r="536" spans="1:20" ht="12.75">
      <c r="A536" s="1511"/>
      <c r="B536" s="1503"/>
      <c r="C536" s="1493"/>
      <c r="D536" s="1492"/>
      <c r="E536" s="1539"/>
      <c r="F536" s="1539"/>
      <c r="G536" s="1539"/>
      <c r="H536" s="1539"/>
      <c r="I536" s="1493"/>
      <c r="J536" s="1511"/>
      <c r="K536" s="1503"/>
      <c r="L536" s="1493"/>
      <c r="M536" s="1492"/>
      <c r="N536" s="1493"/>
      <c r="O536" s="1493"/>
      <c r="P536" s="1493"/>
      <c r="Q536" s="1493"/>
      <c r="R536" s="1493"/>
      <c r="S536" s="1493"/>
      <c r="T536" s="1490"/>
    </row>
    <row r="537" spans="1:20" ht="12.75">
      <c r="A537" s="1511"/>
      <c r="B537" s="1503"/>
      <c r="C537" s="1493"/>
      <c r="D537" s="1492"/>
      <c r="E537" s="1539"/>
      <c r="F537" s="1539"/>
      <c r="G537" s="1539"/>
      <c r="H537" s="1539"/>
      <c r="I537" s="1493"/>
      <c r="J537" s="1511"/>
      <c r="K537" s="1503"/>
      <c r="L537" s="1493"/>
      <c r="M537" s="1492"/>
      <c r="N537" s="1493"/>
      <c r="O537" s="1493"/>
      <c r="P537" s="1493"/>
      <c r="Q537" s="1493"/>
      <c r="R537" s="1493"/>
      <c r="S537" s="1493"/>
      <c r="T537" s="1490"/>
    </row>
    <row r="538" spans="1:20" ht="12.75">
      <c r="A538" s="1511"/>
      <c r="B538" s="1503"/>
      <c r="C538" s="1493"/>
      <c r="D538" s="1492"/>
      <c r="E538" s="1539"/>
      <c r="F538" s="1539"/>
      <c r="G538" s="1539"/>
      <c r="H538" s="1539"/>
      <c r="I538" s="1493"/>
      <c r="J538" s="1511"/>
      <c r="K538" s="1503"/>
      <c r="L538" s="1493"/>
      <c r="M538" s="1492"/>
      <c r="N538" s="1493"/>
      <c r="O538" s="1493"/>
      <c r="P538" s="1493"/>
      <c r="Q538" s="1493"/>
      <c r="R538" s="1493"/>
      <c r="S538" s="1493"/>
      <c r="T538" s="1490"/>
    </row>
    <row r="539" spans="1:20" ht="12.75">
      <c r="A539" s="1511"/>
      <c r="B539" s="1503"/>
      <c r="C539" s="1493"/>
      <c r="D539" s="1492"/>
      <c r="E539" s="1539"/>
      <c r="F539" s="1539"/>
      <c r="G539" s="1539"/>
      <c r="H539" s="1539"/>
      <c r="I539" s="1493"/>
      <c r="J539" s="1511"/>
      <c r="K539" s="1503"/>
      <c r="L539" s="1493"/>
      <c r="M539" s="1492"/>
      <c r="N539" s="1493"/>
      <c r="O539" s="1493"/>
      <c r="P539" s="1493"/>
      <c r="Q539" s="1493"/>
      <c r="R539" s="1493"/>
      <c r="S539" s="1493"/>
      <c r="T539" s="1490"/>
    </row>
    <row r="540" spans="1:20" ht="12.75">
      <c r="A540" s="2058"/>
      <c r="B540" s="2058"/>
      <c r="C540" s="2058"/>
      <c r="D540" s="1492"/>
      <c r="E540" s="1539"/>
      <c r="F540" s="1539"/>
      <c r="G540" s="1539"/>
      <c r="H540" s="1539"/>
      <c r="I540" s="1493"/>
      <c r="J540" s="2058"/>
      <c r="K540" s="2058"/>
      <c r="L540" s="2058"/>
      <c r="M540" s="1492"/>
      <c r="N540" s="1493"/>
      <c r="O540" s="1493"/>
      <c r="P540" s="1493"/>
      <c r="Q540" s="1493"/>
      <c r="R540" s="1493"/>
      <c r="S540" s="1493"/>
      <c r="T540" s="1490"/>
    </row>
    <row r="541" spans="1:20" ht="12.75">
      <c r="A541" s="1511"/>
      <c r="B541" s="1503"/>
      <c r="C541" s="1493"/>
      <c r="D541" s="1492"/>
      <c r="E541" s="1539"/>
      <c r="F541" s="1539"/>
      <c r="G541" s="1539"/>
      <c r="H541" s="1539"/>
      <c r="I541" s="1493"/>
      <c r="J541" s="1511"/>
      <c r="K541" s="1503"/>
      <c r="L541" s="1493"/>
      <c r="M541" s="1492"/>
      <c r="N541" s="1493"/>
      <c r="O541" s="1493"/>
      <c r="P541" s="1493"/>
      <c r="Q541" s="1493"/>
      <c r="R541" s="1493"/>
      <c r="S541" s="1493"/>
      <c r="T541" s="1490"/>
    </row>
    <row r="542" spans="1:20" ht="12.75">
      <c r="A542" s="1491"/>
      <c r="B542" s="1491"/>
      <c r="C542" s="1539"/>
      <c r="D542" s="1539"/>
      <c r="E542" s="1539"/>
      <c r="F542" s="1539"/>
      <c r="G542" s="1539"/>
      <c r="H542" s="1539"/>
      <c r="I542" s="1493"/>
      <c r="J542" s="1511"/>
      <c r="K542" s="1503"/>
      <c r="L542" s="1493"/>
      <c r="M542" s="1492"/>
      <c r="N542" s="1493"/>
      <c r="O542" s="1493"/>
      <c r="P542" s="1493"/>
      <c r="Q542" s="1493"/>
      <c r="R542" s="1493"/>
      <c r="S542" s="1493"/>
      <c r="T542" s="1490"/>
    </row>
    <row r="543" spans="1:20" ht="12.75">
      <c r="A543" s="1491"/>
      <c r="B543" s="1491"/>
      <c r="C543" s="1539"/>
      <c r="D543" s="1539"/>
      <c r="E543" s="1539"/>
      <c r="F543" s="1539"/>
      <c r="G543" s="1539"/>
      <c r="H543" s="1539"/>
      <c r="I543" s="1493"/>
      <c r="J543" s="1511"/>
      <c r="K543" s="1503"/>
      <c r="L543" s="1493"/>
      <c r="M543" s="1492"/>
      <c r="N543" s="1493"/>
      <c r="O543" s="1493"/>
      <c r="P543" s="1493"/>
      <c r="Q543" s="1493"/>
      <c r="R543" s="1493"/>
      <c r="S543" s="1493"/>
      <c r="T543" s="1490"/>
    </row>
    <row r="544" spans="1:20" ht="12.75">
      <c r="A544" s="1491"/>
      <c r="B544" s="1491"/>
      <c r="C544" s="1539"/>
      <c r="D544" s="1539"/>
      <c r="E544" s="1539"/>
      <c r="F544" s="1539"/>
      <c r="G544" s="1539"/>
      <c r="H544" s="1539"/>
      <c r="I544" s="1493"/>
      <c r="J544" s="1511"/>
      <c r="K544" s="1503"/>
      <c r="L544" s="1493"/>
      <c r="M544" s="1493"/>
      <c r="N544" s="1493"/>
      <c r="O544" s="1493"/>
      <c r="P544" s="1493"/>
      <c r="Q544" s="1493"/>
      <c r="R544" s="1493"/>
      <c r="S544" s="1493"/>
      <c r="T544" s="1490"/>
    </row>
    <row r="545" spans="1:20" ht="12.75">
      <c r="A545" s="1491"/>
      <c r="B545" s="1491"/>
      <c r="C545" s="1539"/>
      <c r="D545" s="1539"/>
      <c r="E545" s="1539"/>
      <c r="F545" s="1539"/>
      <c r="G545" s="1539"/>
      <c r="H545" s="1539"/>
      <c r="I545" s="1493"/>
      <c r="J545" s="1511"/>
      <c r="K545" s="1503"/>
      <c r="L545" s="1493"/>
      <c r="M545" s="1493"/>
      <c r="N545" s="1493"/>
      <c r="O545" s="1493"/>
      <c r="P545" s="1493"/>
      <c r="Q545" s="1493"/>
      <c r="R545" s="1493"/>
      <c r="S545" s="1493"/>
      <c r="T545" s="1490"/>
    </row>
    <row r="546" spans="1:20" ht="12.75">
      <c r="A546" s="1491"/>
      <c r="B546" s="1491"/>
      <c r="C546" s="1539"/>
      <c r="D546" s="1539"/>
      <c r="E546" s="1539"/>
      <c r="F546" s="1539"/>
      <c r="G546" s="1539"/>
      <c r="H546" s="1539"/>
      <c r="I546" s="1493"/>
      <c r="J546" s="1511"/>
      <c r="K546" s="1503"/>
      <c r="L546" s="1493"/>
      <c r="M546" s="1493"/>
      <c r="N546" s="1493"/>
      <c r="O546" s="1493"/>
      <c r="P546" s="1493"/>
      <c r="Q546" s="1493"/>
      <c r="R546" s="1493"/>
      <c r="S546" s="1493"/>
      <c r="T546" s="1490"/>
    </row>
    <row r="547" spans="1:20" ht="12.75">
      <c r="A547" s="1493"/>
      <c r="B547" s="1492"/>
      <c r="C547" s="1539"/>
      <c r="D547" s="1492"/>
      <c r="E547" s="1539"/>
      <c r="F547" s="1539"/>
      <c r="G547" s="1539"/>
      <c r="H547" s="1539"/>
      <c r="I547" s="1493"/>
      <c r="J547" s="1511"/>
      <c r="K547" s="1503"/>
      <c r="L547" s="1493"/>
      <c r="M547" s="1493"/>
      <c r="N547" s="1493"/>
      <c r="O547" s="1493"/>
      <c r="P547" s="1493"/>
      <c r="Q547" s="1493"/>
      <c r="R547" s="1493"/>
      <c r="S547" s="1493"/>
      <c r="T547" s="1490"/>
    </row>
    <row r="548" spans="1:20" ht="12.75">
      <c r="A548" s="1493"/>
      <c r="B548" s="1492"/>
      <c r="C548" s="1539"/>
      <c r="D548" s="1492"/>
      <c r="E548" s="1539"/>
      <c r="F548" s="1539"/>
      <c r="G548" s="1539"/>
      <c r="H548" s="1539"/>
      <c r="I548" s="1493"/>
      <c r="J548" s="1511"/>
      <c r="K548" s="1503"/>
      <c r="L548" s="1493"/>
      <c r="M548" s="1493"/>
      <c r="N548" s="1493"/>
      <c r="O548" s="1493"/>
      <c r="P548" s="1493"/>
      <c r="Q548" s="1493"/>
      <c r="R548" s="1493"/>
      <c r="S548" s="1493"/>
      <c r="T548" s="1490"/>
    </row>
    <row r="549" spans="1:20" ht="12.75">
      <c r="A549" s="1493"/>
      <c r="B549" s="1492"/>
      <c r="C549" s="1539"/>
      <c r="D549" s="1492"/>
      <c r="E549" s="1539"/>
      <c r="F549" s="1539"/>
      <c r="G549" s="1539"/>
      <c r="H549" s="1539"/>
      <c r="I549" s="1493"/>
      <c r="J549" s="1511"/>
      <c r="K549" s="1503"/>
      <c r="L549" s="1493"/>
      <c r="M549" s="1492"/>
      <c r="N549" s="1493"/>
      <c r="O549" s="1493"/>
      <c r="P549" s="1493"/>
      <c r="Q549" s="1493"/>
      <c r="R549" s="1493"/>
      <c r="S549" s="1493"/>
      <c r="T549" s="1490"/>
    </row>
    <row r="550" spans="1:20" ht="12.75">
      <c r="A550" s="1493"/>
      <c r="B550" s="1492"/>
      <c r="C550" s="1531"/>
      <c r="D550" s="1492"/>
      <c r="E550" s="1491"/>
      <c r="F550" s="1491"/>
      <c r="G550" s="1491"/>
      <c r="H550" s="1491"/>
      <c r="I550" s="1493"/>
      <c r="J550" s="1511"/>
      <c r="K550" s="1503"/>
      <c r="L550" s="1493"/>
      <c r="M550" s="1492"/>
      <c r="N550" s="1493"/>
      <c r="O550" s="1493"/>
      <c r="P550" s="1493"/>
      <c r="Q550" s="1493"/>
      <c r="R550" s="1493"/>
      <c r="S550" s="1493"/>
      <c r="T550" s="1490"/>
    </row>
    <row r="551" spans="1:20" ht="12.75">
      <c r="A551" s="1493"/>
      <c r="B551" s="1492"/>
      <c r="C551" s="1531"/>
      <c r="D551" s="1492"/>
      <c r="E551" s="1491"/>
      <c r="F551" s="1491"/>
      <c r="G551" s="1491"/>
      <c r="H551" s="1491"/>
      <c r="I551" s="1493"/>
      <c r="J551" s="1511"/>
      <c r="K551" s="1503"/>
      <c r="L551" s="1493"/>
      <c r="M551" s="1492"/>
      <c r="N551" s="1493"/>
      <c r="O551" s="1493"/>
      <c r="P551" s="1493"/>
      <c r="Q551" s="1493"/>
      <c r="R551" s="1493"/>
      <c r="S551" s="1493"/>
      <c r="T551" s="1490"/>
    </row>
    <row r="552" spans="1:20" ht="12.75">
      <c r="A552" s="1493"/>
      <c r="B552" s="1492"/>
      <c r="C552" s="1531"/>
      <c r="D552" s="1492"/>
      <c r="E552" s="1491"/>
      <c r="F552" s="1491"/>
      <c r="G552" s="1491"/>
      <c r="H552" s="1491"/>
      <c r="I552" s="1493"/>
      <c r="J552" s="1511"/>
      <c r="K552" s="1503"/>
      <c r="L552" s="1493"/>
      <c r="M552" s="1492"/>
      <c r="N552" s="1493"/>
      <c r="O552" s="1493"/>
      <c r="P552" s="1493"/>
      <c r="Q552" s="1493"/>
      <c r="R552" s="1493"/>
      <c r="S552" s="1493"/>
      <c r="T552" s="1490"/>
    </row>
    <row r="553" spans="1:20" ht="12.75">
      <c r="A553" s="1493"/>
      <c r="B553" s="1492"/>
      <c r="C553" s="1531"/>
      <c r="D553" s="1492"/>
      <c r="E553" s="1491"/>
      <c r="F553" s="1491"/>
      <c r="G553" s="1491"/>
      <c r="H553" s="1491"/>
      <c r="I553" s="1493"/>
      <c r="J553" s="1511"/>
      <c r="K553" s="1503"/>
      <c r="L553" s="1493"/>
      <c r="M553" s="1492"/>
      <c r="N553" s="1493"/>
      <c r="O553" s="1493"/>
      <c r="P553" s="1493"/>
      <c r="Q553" s="1493"/>
      <c r="R553" s="1493"/>
      <c r="S553" s="1493"/>
      <c r="T553" s="1490"/>
    </row>
    <row r="554" spans="1:20" ht="12.75">
      <c r="A554" s="1493"/>
      <c r="B554" s="1492"/>
      <c r="C554" s="1531"/>
      <c r="D554" s="1492"/>
      <c r="E554" s="1491"/>
      <c r="F554" s="1491"/>
      <c r="G554" s="1491"/>
      <c r="H554" s="1491"/>
      <c r="I554" s="1493"/>
      <c r="J554" s="1493"/>
      <c r="K554" s="1503"/>
      <c r="L554" s="1493"/>
      <c r="M554" s="1492"/>
      <c r="N554" s="1493"/>
      <c r="O554" s="1493"/>
      <c r="P554" s="1493"/>
      <c r="Q554" s="1493"/>
      <c r="R554" s="1493"/>
      <c r="S554" s="1493"/>
      <c r="T554" s="1490"/>
    </row>
    <row r="555" spans="1:20" ht="12.75">
      <c r="A555" s="1493"/>
      <c r="B555" s="1492"/>
      <c r="C555" s="1531"/>
      <c r="D555" s="1492"/>
      <c r="E555" s="1491"/>
      <c r="F555" s="1491"/>
      <c r="G555" s="1491"/>
      <c r="H555" s="1491"/>
      <c r="I555" s="1493"/>
      <c r="J555" s="1493"/>
      <c r="K555" s="1503"/>
      <c r="L555" s="1493"/>
      <c r="M555" s="1492"/>
      <c r="N555" s="1492"/>
      <c r="O555" s="1493"/>
      <c r="P555" s="1493"/>
      <c r="Q555" s="1493"/>
      <c r="R555" s="1493"/>
      <c r="S555" s="1493"/>
      <c r="T555" s="1490"/>
    </row>
    <row r="556" spans="1:20" ht="12.75">
      <c r="A556" s="1493"/>
      <c r="B556" s="1492"/>
      <c r="C556" s="1491"/>
      <c r="D556" s="1492"/>
      <c r="E556" s="1491"/>
      <c r="F556" s="1491"/>
      <c r="G556" s="1491"/>
      <c r="H556" s="1491"/>
      <c r="I556" s="1493"/>
      <c r="J556" s="1493"/>
      <c r="K556" s="1493"/>
      <c r="L556" s="1493"/>
      <c r="M556" s="1492"/>
      <c r="N556" s="1493"/>
      <c r="O556" s="1493"/>
      <c r="P556" s="1493"/>
      <c r="Q556" s="1493"/>
      <c r="R556" s="1493"/>
      <c r="S556" s="1493"/>
      <c r="T556" s="1490"/>
    </row>
    <row r="557" spans="1:20" ht="12.75">
      <c r="A557" s="1493"/>
      <c r="B557" s="1492"/>
      <c r="C557" s="1491"/>
      <c r="D557" s="1492"/>
      <c r="E557" s="1491"/>
      <c r="F557" s="1491"/>
      <c r="G557" s="1491"/>
      <c r="H557" s="1491"/>
      <c r="I557" s="1493"/>
      <c r="J557" s="1493"/>
      <c r="K557" s="1493"/>
      <c r="L557" s="1493"/>
      <c r="M557" s="1492"/>
      <c r="N557" s="1493"/>
      <c r="O557" s="1493"/>
      <c r="P557" s="1493"/>
      <c r="Q557" s="1493"/>
      <c r="R557" s="1493"/>
      <c r="S557" s="1493"/>
      <c r="T557" s="1490"/>
    </row>
    <row r="558" spans="1:20" ht="12.75">
      <c r="A558" s="1493"/>
      <c r="B558" s="1492"/>
      <c r="C558" s="1491"/>
      <c r="D558" s="1492"/>
      <c r="E558" s="1491"/>
      <c r="F558" s="1491"/>
      <c r="G558" s="1491"/>
      <c r="H558" s="1491"/>
      <c r="I558" s="1493"/>
      <c r="J558" s="1493"/>
      <c r="K558" s="1493"/>
      <c r="L558" s="1493"/>
      <c r="M558" s="1492"/>
      <c r="N558" s="1493"/>
      <c r="O558" s="1493"/>
      <c r="P558" s="1493"/>
      <c r="Q558" s="1493"/>
      <c r="R558" s="1493"/>
      <c r="S558" s="1493"/>
      <c r="T558" s="1490"/>
    </row>
    <row r="559" spans="1:20" ht="12.75">
      <c r="A559" s="1493"/>
      <c r="B559" s="1492"/>
      <c r="C559" s="1541"/>
      <c r="D559" s="1492"/>
      <c r="E559" s="1491"/>
      <c r="F559" s="1491"/>
      <c r="G559" s="1491"/>
      <c r="H559" s="1491"/>
      <c r="I559" s="1493"/>
      <c r="J559" s="1493"/>
      <c r="K559" s="1493"/>
      <c r="L559" s="1493"/>
      <c r="M559" s="1492"/>
      <c r="N559" s="1493"/>
      <c r="O559" s="1493"/>
      <c r="P559" s="1493"/>
      <c r="Q559" s="1493"/>
      <c r="R559" s="1493"/>
      <c r="S559" s="1493"/>
      <c r="T559" s="1490"/>
    </row>
    <row r="560" spans="1:20" ht="12.75">
      <c r="A560" s="1493"/>
      <c r="B560" s="1492"/>
      <c r="C560" s="1491"/>
      <c r="D560" s="1492"/>
      <c r="E560" s="1491"/>
      <c r="F560" s="1491"/>
      <c r="G560" s="1491"/>
      <c r="H560" s="1491"/>
      <c r="I560" s="1493"/>
      <c r="J560" s="1493"/>
      <c r="K560" s="1493"/>
      <c r="L560" s="1493"/>
      <c r="M560" s="1492"/>
      <c r="N560" s="1493"/>
      <c r="O560" s="1493"/>
      <c r="P560" s="1493"/>
      <c r="Q560" s="1493"/>
      <c r="R560" s="1493"/>
      <c r="S560" s="1493"/>
      <c r="T560" s="1490"/>
    </row>
    <row r="561" spans="1:20" ht="12.75">
      <c r="A561" s="1493"/>
      <c r="B561" s="1492"/>
      <c r="C561" s="1491"/>
      <c r="D561" s="1492"/>
      <c r="E561" s="1491"/>
      <c r="F561" s="1491"/>
      <c r="G561" s="1491"/>
      <c r="H561" s="1491"/>
      <c r="I561" s="1493"/>
      <c r="J561" s="1493"/>
      <c r="K561" s="1493"/>
      <c r="L561" s="1493"/>
      <c r="M561" s="1492"/>
      <c r="N561" s="1493"/>
      <c r="O561" s="1493"/>
      <c r="P561" s="1493"/>
      <c r="Q561" s="1493"/>
      <c r="R561" s="1493"/>
      <c r="S561" s="1493"/>
      <c r="T561" s="1490"/>
    </row>
    <row r="562" spans="1:20" ht="12.75">
      <c r="A562" s="1493"/>
      <c r="B562" s="1492"/>
      <c r="C562" s="1531"/>
      <c r="D562" s="1492"/>
      <c r="E562" s="1491"/>
      <c r="F562" s="1491"/>
      <c r="G562" s="1491"/>
      <c r="H562" s="1491"/>
      <c r="I562" s="1493"/>
      <c r="J562" s="1493"/>
      <c r="K562" s="1493"/>
      <c r="L562" s="1493"/>
      <c r="M562" s="1492"/>
      <c r="N562" s="1493"/>
      <c r="O562" s="1493"/>
      <c r="P562" s="1493"/>
      <c r="Q562" s="1493"/>
      <c r="R562" s="1493"/>
      <c r="S562" s="1493"/>
      <c r="T562" s="1490"/>
    </row>
    <row r="563" spans="1:20" ht="12.75">
      <c r="A563" s="1493"/>
      <c r="B563" s="1492"/>
      <c r="C563" s="1541"/>
      <c r="D563" s="1492"/>
      <c r="E563" s="1491"/>
      <c r="F563" s="1491"/>
      <c r="G563" s="1491"/>
      <c r="H563" s="1491"/>
      <c r="I563" s="1493"/>
      <c r="J563" s="1493"/>
      <c r="K563" s="1493"/>
      <c r="L563" s="1493"/>
      <c r="M563" s="1492"/>
      <c r="N563" s="1493"/>
      <c r="O563" s="1493"/>
      <c r="P563" s="1493"/>
      <c r="Q563" s="1493"/>
      <c r="R563" s="1493"/>
      <c r="S563" s="1493"/>
      <c r="T563" s="1490"/>
    </row>
    <row r="564" spans="1:20" ht="12.75">
      <c r="A564" s="1493"/>
      <c r="B564" s="1492"/>
      <c r="C564" s="1541"/>
      <c r="D564" s="1492"/>
      <c r="E564" s="1491"/>
      <c r="F564" s="1491"/>
      <c r="G564" s="1491"/>
      <c r="H564" s="1491"/>
      <c r="I564" s="1493"/>
      <c r="J564" s="1493"/>
      <c r="K564" s="1493"/>
      <c r="L564" s="1493"/>
      <c r="M564" s="1492"/>
      <c r="N564" s="1493"/>
      <c r="O564" s="1493"/>
      <c r="P564" s="1493"/>
      <c r="Q564" s="1493"/>
      <c r="R564" s="1493"/>
      <c r="S564" s="1493"/>
      <c r="T564" s="1490"/>
    </row>
    <row r="565" spans="1:20" ht="12.75">
      <c r="A565" s="1493"/>
      <c r="B565" s="1492"/>
      <c r="C565" s="1541"/>
      <c r="D565" s="1492"/>
      <c r="E565" s="1491"/>
      <c r="F565" s="1491"/>
      <c r="G565" s="1491"/>
      <c r="H565" s="1491"/>
      <c r="I565" s="1493"/>
      <c r="J565" s="1493"/>
      <c r="K565" s="1493"/>
      <c r="L565" s="1493"/>
      <c r="M565" s="1492"/>
      <c r="N565" s="1493"/>
      <c r="O565" s="1493"/>
      <c r="P565" s="1493"/>
      <c r="Q565" s="1493"/>
      <c r="R565" s="1493"/>
      <c r="S565" s="1493"/>
      <c r="T565" s="1490"/>
    </row>
    <row r="566" spans="1:20" ht="12.75">
      <c r="A566" s="1491"/>
      <c r="B566" s="1491"/>
      <c r="C566" s="1541"/>
      <c r="D566" s="1506"/>
      <c r="E566" s="1491"/>
      <c r="F566" s="1491"/>
      <c r="G566" s="1491"/>
      <c r="H566" s="1491"/>
      <c r="I566" s="1493"/>
      <c r="J566" s="1493"/>
      <c r="K566" s="1493"/>
      <c r="L566" s="1493"/>
      <c r="M566" s="1492"/>
      <c r="N566" s="1493"/>
      <c r="O566" s="1493"/>
      <c r="P566" s="1493"/>
      <c r="Q566" s="1493"/>
      <c r="R566" s="1493"/>
      <c r="S566" s="1493"/>
      <c r="T566" s="1490"/>
    </row>
    <row r="567" spans="1:20" ht="12.75">
      <c r="A567" s="1491"/>
      <c r="B567" s="1491"/>
      <c r="C567" s="1541"/>
      <c r="D567" s="1491"/>
      <c r="E567" s="1491"/>
      <c r="F567" s="1491"/>
      <c r="G567" s="1491"/>
      <c r="H567" s="1491"/>
      <c r="I567" s="1493"/>
      <c r="J567" s="1493"/>
      <c r="K567" s="1493"/>
      <c r="L567" s="1493"/>
      <c r="M567" s="1492"/>
      <c r="N567" s="1493"/>
      <c r="O567" s="1493"/>
      <c r="P567" s="1493"/>
      <c r="Q567" s="1493"/>
      <c r="R567" s="1493"/>
      <c r="S567" s="1493"/>
      <c r="T567" s="1490"/>
    </row>
    <row r="568" spans="1:20" ht="12.75">
      <c r="A568" s="1491"/>
      <c r="B568" s="1491"/>
      <c r="C568" s="1491"/>
      <c r="D568" s="1491"/>
      <c r="E568" s="1491"/>
      <c r="F568" s="1491"/>
      <c r="G568" s="1491"/>
      <c r="H568" s="1491"/>
      <c r="I568" s="1493"/>
      <c r="J568" s="1493"/>
      <c r="K568" s="1493"/>
      <c r="L568" s="1493"/>
      <c r="M568" s="1493"/>
      <c r="N568" s="1493"/>
      <c r="O568" s="1493"/>
      <c r="P568" s="1493"/>
      <c r="Q568" s="1493"/>
      <c r="R568" s="1493"/>
      <c r="S568" s="1493"/>
      <c r="T568" s="1490"/>
    </row>
    <row r="569" spans="1:20" ht="12.75">
      <c r="A569" s="1491"/>
      <c r="B569" s="1491"/>
      <c r="C569" s="1491"/>
      <c r="D569" s="1491"/>
      <c r="E569" s="1491"/>
      <c r="F569" s="1491"/>
      <c r="G569" s="1491"/>
      <c r="H569" s="1491"/>
      <c r="I569" s="1493"/>
      <c r="J569" s="1493"/>
      <c r="K569" s="1493"/>
      <c r="L569" s="1493"/>
      <c r="M569" s="1493"/>
      <c r="N569" s="1493"/>
      <c r="O569" s="1493"/>
      <c r="P569" s="1493"/>
      <c r="Q569" s="1493"/>
      <c r="R569" s="1493"/>
      <c r="S569" s="1493"/>
      <c r="T569" s="1490"/>
    </row>
    <row r="570" spans="1:20" ht="12.75">
      <c r="A570" s="1491"/>
      <c r="B570" s="1491"/>
      <c r="C570" s="1491"/>
      <c r="D570" s="1491"/>
      <c r="E570" s="1491"/>
      <c r="F570" s="1491"/>
      <c r="G570" s="1491"/>
      <c r="H570" s="1491"/>
      <c r="I570" s="1493"/>
      <c r="J570" s="1493"/>
      <c r="K570" s="1493"/>
      <c r="L570" s="1493"/>
      <c r="M570" s="1493"/>
      <c r="N570" s="1493"/>
      <c r="O570" s="1493"/>
      <c r="P570" s="1493"/>
      <c r="Q570" s="1493"/>
      <c r="R570" s="1493"/>
      <c r="S570" s="1493"/>
      <c r="T570" s="1490"/>
    </row>
    <row r="571" spans="1:20" ht="12.75">
      <c r="A571" s="1491"/>
      <c r="B571" s="1491"/>
      <c r="C571" s="1515"/>
      <c r="D571" s="1491"/>
      <c r="E571" s="1491"/>
      <c r="F571" s="1491"/>
      <c r="G571" s="1491"/>
      <c r="H571" s="1491"/>
      <c r="I571" s="1493"/>
      <c r="J571" s="1511"/>
      <c r="K571" s="1511"/>
      <c r="L571" s="1493"/>
      <c r="M571" s="1493"/>
      <c r="N571" s="1493"/>
      <c r="O571" s="1493"/>
      <c r="P571" s="1493"/>
      <c r="Q571" s="1493"/>
      <c r="R571" s="1493"/>
      <c r="S571" s="1493"/>
      <c r="T571" s="1490"/>
    </row>
    <row r="572" spans="1:20" ht="12.75">
      <c r="A572" s="1491"/>
      <c r="B572" s="1491"/>
      <c r="C572" s="1515"/>
      <c r="D572" s="1491"/>
      <c r="E572" s="1491"/>
      <c r="F572" s="1491"/>
      <c r="G572" s="1491"/>
      <c r="H572" s="1491"/>
      <c r="I572" s="1493"/>
      <c r="J572" s="1493"/>
      <c r="K572" s="1493"/>
      <c r="L572" s="1493"/>
      <c r="M572" s="1493"/>
      <c r="N572" s="1493"/>
      <c r="O572" s="1493"/>
      <c r="P572" s="1493"/>
      <c r="Q572" s="1493"/>
      <c r="R572" s="1493"/>
      <c r="S572" s="1493"/>
      <c r="T572" s="1490"/>
    </row>
    <row r="573" spans="1:20" ht="12.75">
      <c r="A573" s="1491"/>
      <c r="B573" s="1491"/>
      <c r="C573" s="1515"/>
      <c r="D573" s="1491"/>
      <c r="E573" s="1491"/>
      <c r="F573" s="1491"/>
      <c r="G573" s="1491"/>
      <c r="H573" s="1491"/>
      <c r="I573" s="1511"/>
      <c r="J573" s="1493"/>
      <c r="K573" s="1493"/>
      <c r="L573" s="1493"/>
      <c r="M573" s="1493"/>
      <c r="N573" s="1493"/>
      <c r="O573" s="1493"/>
      <c r="P573" s="1493"/>
      <c r="Q573" s="1493"/>
      <c r="R573" s="1493"/>
      <c r="S573" s="1493"/>
      <c r="T573" s="1490"/>
    </row>
    <row r="574" spans="1:20" ht="12.75">
      <c r="A574" s="1491"/>
      <c r="B574" s="1491"/>
      <c r="C574" s="1515"/>
      <c r="D574" s="1491"/>
      <c r="E574" s="1491"/>
      <c r="F574" s="1491"/>
      <c r="G574" s="1491"/>
      <c r="H574" s="1491"/>
      <c r="I574" s="1493"/>
      <c r="J574" s="1493"/>
      <c r="K574" s="1493"/>
      <c r="L574" s="1493"/>
      <c r="M574" s="1493"/>
      <c r="N574" s="1493"/>
      <c r="O574" s="1493"/>
      <c r="P574" s="1493"/>
      <c r="Q574" s="1493"/>
      <c r="R574" s="1493"/>
      <c r="S574" s="1493"/>
      <c r="T574" s="1490"/>
    </row>
    <row r="575" spans="1:20" ht="12.75">
      <c r="A575" s="1491"/>
      <c r="B575" s="1491"/>
      <c r="C575" s="1515"/>
      <c r="D575" s="1491"/>
      <c r="E575" s="1491"/>
      <c r="F575" s="1491"/>
      <c r="G575" s="1491"/>
      <c r="H575" s="1491"/>
      <c r="I575" s="1493"/>
      <c r="J575" s="1511"/>
      <c r="K575" s="1511"/>
      <c r="L575" s="1493"/>
      <c r="M575" s="1493"/>
      <c r="N575" s="1493"/>
      <c r="O575" s="1493"/>
      <c r="P575" s="1493"/>
      <c r="Q575" s="1493"/>
      <c r="R575" s="1493"/>
      <c r="S575" s="1493"/>
      <c r="T575" s="1490"/>
    </row>
    <row r="576" spans="1:20" ht="12.75">
      <c r="A576" s="1491"/>
      <c r="B576" s="1491"/>
      <c r="C576" s="1515"/>
      <c r="D576" s="1491"/>
      <c r="E576" s="1491"/>
      <c r="F576" s="1491"/>
      <c r="G576" s="1491"/>
      <c r="H576" s="1491"/>
      <c r="I576" s="1493"/>
      <c r="J576" s="1493"/>
      <c r="K576" s="1493"/>
      <c r="L576" s="1493"/>
      <c r="M576" s="1493"/>
      <c r="N576" s="1493"/>
      <c r="O576" s="1493"/>
      <c r="P576" s="1493"/>
      <c r="Q576" s="1493"/>
      <c r="R576" s="1493"/>
      <c r="S576" s="1493"/>
      <c r="T576" s="1490"/>
    </row>
    <row r="577" spans="1:20" ht="12.75">
      <c r="A577" s="1491"/>
      <c r="B577" s="1491"/>
      <c r="C577" s="1515"/>
      <c r="D577" s="1491"/>
      <c r="E577" s="1491"/>
      <c r="F577" s="1491"/>
      <c r="G577" s="1491"/>
      <c r="H577" s="1491"/>
      <c r="I577" s="1493"/>
      <c r="J577" s="1511"/>
      <c r="K577" s="1493"/>
      <c r="L577" s="1493"/>
      <c r="M577" s="1493"/>
      <c r="N577" s="1493"/>
      <c r="O577" s="1493"/>
      <c r="P577" s="1493"/>
      <c r="Q577" s="1493"/>
      <c r="R577" s="1493"/>
      <c r="S577" s="1493"/>
      <c r="T577" s="1490"/>
    </row>
    <row r="578" spans="1:20" ht="12.75">
      <c r="A578" s="1491"/>
      <c r="B578" s="1491"/>
      <c r="C578" s="1515"/>
      <c r="D578" s="1491"/>
      <c r="E578" s="1491"/>
      <c r="F578" s="1491"/>
      <c r="G578" s="1491"/>
      <c r="H578" s="1491"/>
      <c r="I578" s="1493"/>
      <c r="J578" s="1493"/>
      <c r="K578" s="1493"/>
      <c r="L578" s="1493"/>
      <c r="M578" s="1493"/>
      <c r="N578" s="1493"/>
      <c r="O578" s="1493"/>
      <c r="P578" s="1493"/>
      <c r="Q578" s="1493"/>
      <c r="R578" s="1493"/>
      <c r="S578" s="1493"/>
      <c r="T578" s="1490"/>
    </row>
    <row r="579" spans="1:20" ht="12.75">
      <c r="A579" s="1491"/>
      <c r="B579" s="1491"/>
      <c r="C579" s="1515"/>
      <c r="D579" s="1491"/>
      <c r="E579" s="1491"/>
      <c r="F579" s="1491"/>
      <c r="G579" s="1491"/>
      <c r="H579" s="1491"/>
      <c r="I579" s="1493"/>
      <c r="J579" s="1493"/>
      <c r="K579" s="1493"/>
      <c r="L579" s="1493"/>
      <c r="M579" s="1493"/>
      <c r="N579" s="1493"/>
      <c r="O579" s="1493"/>
      <c r="P579" s="1493"/>
      <c r="Q579" s="1493"/>
      <c r="R579" s="1493"/>
      <c r="S579" s="1493"/>
      <c r="T579" s="1490"/>
    </row>
    <row r="580" spans="1:20" ht="12.75">
      <c r="A580" s="1491"/>
      <c r="B580" s="1491"/>
      <c r="C580" s="1515"/>
      <c r="D580" s="1491"/>
      <c r="E580" s="1491"/>
      <c r="F580" s="1491"/>
      <c r="G580" s="1491"/>
      <c r="H580" s="1491"/>
      <c r="I580" s="1493"/>
      <c r="J580" s="1493"/>
      <c r="K580" s="1493"/>
      <c r="L580" s="1493"/>
      <c r="M580" s="1493"/>
      <c r="N580" s="1493"/>
      <c r="O580" s="1493"/>
      <c r="P580" s="1493"/>
      <c r="Q580" s="1493"/>
      <c r="R580" s="1493"/>
      <c r="S580" s="1493"/>
      <c r="T580" s="1490"/>
    </row>
    <row r="581" spans="1:20" ht="12.75">
      <c r="A581" s="1491"/>
      <c r="B581" s="1491"/>
      <c r="C581" s="1515"/>
      <c r="D581" s="1491"/>
      <c r="E581" s="1491"/>
      <c r="F581" s="1491"/>
      <c r="G581" s="1491"/>
      <c r="H581" s="1491"/>
      <c r="I581" s="1493"/>
      <c r="J581" s="1493"/>
      <c r="K581" s="1493"/>
      <c r="L581" s="1493"/>
      <c r="M581" s="1493"/>
      <c r="N581" s="1493"/>
      <c r="O581" s="1493"/>
      <c r="P581" s="1493"/>
      <c r="Q581" s="1493"/>
      <c r="R581" s="1493"/>
      <c r="S581" s="1493"/>
      <c r="T581" s="1490"/>
    </row>
    <row r="582" spans="1:20" ht="12.75">
      <c r="A582" s="1491"/>
      <c r="B582" s="1491"/>
      <c r="C582" s="1515"/>
      <c r="D582" s="1491"/>
      <c r="E582" s="1491"/>
      <c r="F582" s="1491"/>
      <c r="G582" s="1491"/>
      <c r="H582" s="1491"/>
      <c r="I582" s="1493"/>
      <c r="J582" s="1493"/>
      <c r="K582" s="1493"/>
      <c r="L582" s="1493"/>
      <c r="M582" s="1493"/>
      <c r="N582" s="1493"/>
      <c r="O582" s="1493"/>
      <c r="P582" s="1493"/>
      <c r="Q582" s="1493"/>
      <c r="R582" s="1493"/>
      <c r="S582" s="1493"/>
      <c r="T582" s="1490"/>
    </row>
    <row r="583" spans="1:20" ht="12.75">
      <c r="A583" s="1491"/>
      <c r="B583" s="1491"/>
      <c r="C583" s="1515"/>
      <c r="D583" s="1491"/>
      <c r="E583" s="1491"/>
      <c r="F583" s="1491"/>
      <c r="G583" s="1515"/>
      <c r="H583" s="1515"/>
      <c r="I583" s="1493"/>
      <c r="J583" s="1493"/>
      <c r="K583" s="1493"/>
      <c r="L583" s="1493"/>
      <c r="M583" s="1493"/>
      <c r="N583" s="1493"/>
      <c r="O583" s="1493"/>
      <c r="P583" s="1493"/>
      <c r="Q583" s="1493"/>
      <c r="R583" s="1493"/>
      <c r="S583" s="1493"/>
      <c r="T583" s="1490"/>
    </row>
    <row r="584" spans="1:20" ht="12.75">
      <c r="A584" s="1491"/>
      <c r="B584" s="1542"/>
      <c r="C584" s="1491"/>
      <c r="D584" s="1491"/>
      <c r="E584" s="1491"/>
      <c r="F584" s="1491"/>
      <c r="G584" s="1491"/>
      <c r="H584" s="1491"/>
      <c r="I584" s="1493"/>
      <c r="J584" s="1493"/>
      <c r="K584" s="1543"/>
      <c r="L584" s="1493"/>
      <c r="M584" s="1493"/>
      <c r="N584" s="1493"/>
      <c r="O584" s="1493"/>
      <c r="P584" s="1493"/>
      <c r="Q584" s="1493"/>
      <c r="R584" s="1493"/>
      <c r="S584" s="1493"/>
      <c r="T584" s="1490"/>
    </row>
    <row r="585" spans="1:20" ht="12.75">
      <c r="A585" s="1491"/>
      <c r="B585" s="1491"/>
      <c r="C585" s="1531"/>
      <c r="D585" s="1491"/>
      <c r="E585" s="1491"/>
      <c r="F585" s="1491"/>
      <c r="G585" s="1491"/>
      <c r="H585" s="1491"/>
      <c r="I585" s="1493"/>
      <c r="J585" s="1493"/>
      <c r="K585" s="1543"/>
      <c r="L585" s="1493"/>
      <c r="M585" s="1493"/>
      <c r="N585" s="1493"/>
      <c r="O585" s="1493"/>
      <c r="P585" s="1493"/>
      <c r="Q585" s="1493"/>
      <c r="R585" s="1493"/>
      <c r="S585" s="1493"/>
      <c r="T585" s="1490"/>
    </row>
    <row r="586" spans="1:20" ht="12.75">
      <c r="A586" s="1491"/>
      <c r="B586" s="1491"/>
      <c r="C586" s="1531"/>
      <c r="D586" s="1491"/>
      <c r="E586" s="1491"/>
      <c r="F586" s="1491"/>
      <c r="G586" s="1491"/>
      <c r="H586" s="1491"/>
      <c r="I586" s="1493"/>
      <c r="J586" s="1493"/>
      <c r="K586" s="1543"/>
      <c r="L586" s="1493"/>
      <c r="M586" s="1493"/>
      <c r="N586" s="1493"/>
      <c r="O586" s="1493"/>
      <c r="P586" s="1493"/>
      <c r="Q586" s="1493"/>
      <c r="R586" s="1493"/>
      <c r="S586" s="1493"/>
      <c r="T586" s="1490"/>
    </row>
    <row r="587" spans="1:20" ht="12.75">
      <c r="A587" s="1491"/>
      <c r="B587" s="1491"/>
      <c r="C587" s="1531"/>
      <c r="D587" s="1491"/>
      <c r="E587" s="1491"/>
      <c r="F587" s="1491"/>
      <c r="G587" s="1491"/>
      <c r="H587" s="1491"/>
      <c r="I587" s="1493"/>
      <c r="J587" s="1493"/>
      <c r="K587" s="1543"/>
      <c r="L587" s="1493"/>
      <c r="M587" s="1493"/>
      <c r="N587" s="1493"/>
      <c r="O587" s="1493"/>
      <c r="P587" s="1493"/>
      <c r="Q587" s="1493"/>
      <c r="R587" s="1493"/>
      <c r="S587" s="1493"/>
      <c r="T587" s="1490"/>
    </row>
    <row r="588" spans="1:20" ht="12.75">
      <c r="A588" s="1491"/>
      <c r="B588" s="1491"/>
      <c r="C588" s="1515"/>
      <c r="D588" s="1491"/>
      <c r="E588" s="1491"/>
      <c r="F588" s="1491"/>
      <c r="G588" s="1491"/>
      <c r="H588" s="1491"/>
      <c r="I588" s="1511"/>
      <c r="J588" s="1493"/>
      <c r="K588" s="1543"/>
      <c r="L588" s="1493"/>
      <c r="M588" s="1493"/>
      <c r="N588" s="1493"/>
      <c r="O588" s="1493"/>
      <c r="P588" s="1493"/>
      <c r="Q588" s="1493"/>
      <c r="R588" s="1493"/>
      <c r="S588" s="1493"/>
      <c r="T588" s="1490"/>
    </row>
    <row r="589" spans="1:20" ht="12.75">
      <c r="A589" s="1491"/>
      <c r="B589" s="1491"/>
      <c r="C589" s="1515"/>
      <c r="D589" s="1491"/>
      <c r="E589" s="1491"/>
      <c r="F589" s="1491"/>
      <c r="G589" s="1491"/>
      <c r="H589" s="1491"/>
      <c r="I589" s="1493"/>
      <c r="J589" s="1493"/>
      <c r="K589" s="1543"/>
      <c r="L589" s="1493"/>
      <c r="M589" s="1493"/>
      <c r="N589" s="1493"/>
      <c r="O589" s="1493"/>
      <c r="P589" s="1493"/>
      <c r="Q589" s="1493"/>
      <c r="R589" s="1493"/>
      <c r="S589" s="1493"/>
      <c r="T589" s="1490"/>
    </row>
    <row r="590" spans="1:20" ht="12.75">
      <c r="A590" s="1491"/>
      <c r="B590" s="1491"/>
      <c r="C590" s="1515"/>
      <c r="D590" s="1491"/>
      <c r="E590" s="1491"/>
      <c r="F590" s="1491"/>
      <c r="G590" s="1491"/>
      <c r="H590" s="1491"/>
      <c r="I590" s="1493"/>
      <c r="J590" s="1493"/>
      <c r="K590" s="1543"/>
      <c r="L590" s="1493"/>
      <c r="M590" s="1493"/>
      <c r="N590" s="1493"/>
      <c r="O590" s="1493"/>
      <c r="P590" s="1493"/>
      <c r="Q590" s="1493"/>
      <c r="R590" s="1493"/>
      <c r="S590" s="1493"/>
      <c r="T590" s="1490"/>
    </row>
    <row r="591" spans="1:20" ht="12.75">
      <c r="A591" s="1491"/>
      <c r="B591" s="1491"/>
      <c r="C591" s="1515"/>
      <c r="D591" s="1491"/>
      <c r="E591" s="1491"/>
      <c r="F591" s="1491"/>
      <c r="G591" s="1491"/>
      <c r="H591" s="1491"/>
      <c r="I591" s="1493"/>
      <c r="J591" s="1493"/>
      <c r="K591" s="1543"/>
      <c r="L591" s="1493"/>
      <c r="M591" s="1493"/>
      <c r="N591" s="1493"/>
      <c r="O591" s="1493"/>
      <c r="P591" s="1493"/>
      <c r="Q591" s="1493"/>
      <c r="R591" s="1493"/>
      <c r="S591" s="1493"/>
      <c r="T591" s="1490"/>
    </row>
    <row r="592" spans="1:20" ht="12.75">
      <c r="A592" s="1491"/>
      <c r="B592" s="1491"/>
      <c r="C592" s="1515"/>
      <c r="D592" s="1491"/>
      <c r="E592" s="1491"/>
      <c r="F592" s="1491"/>
      <c r="G592" s="1491"/>
      <c r="H592" s="1491"/>
      <c r="I592" s="1493"/>
      <c r="J592" s="1493"/>
      <c r="K592" s="1543"/>
      <c r="L592" s="1493"/>
      <c r="M592" s="1493"/>
      <c r="N592" s="1493"/>
      <c r="O592" s="1493"/>
      <c r="P592" s="1493"/>
      <c r="Q592" s="1493"/>
      <c r="R592" s="1493"/>
      <c r="S592" s="1493"/>
      <c r="T592" s="1490"/>
    </row>
    <row r="593" spans="1:20" ht="12.75">
      <c r="A593" s="1491"/>
      <c r="B593" s="1491"/>
      <c r="C593" s="1515"/>
      <c r="D593" s="1491"/>
      <c r="E593" s="1491"/>
      <c r="F593" s="1491"/>
      <c r="G593" s="1491"/>
      <c r="H593" s="1491"/>
      <c r="I593" s="1493"/>
      <c r="J593" s="1493"/>
      <c r="K593" s="1543"/>
      <c r="L593" s="1493"/>
      <c r="M593" s="1493"/>
      <c r="N593" s="1493"/>
      <c r="O593" s="1493"/>
      <c r="P593" s="1493"/>
      <c r="Q593" s="1493"/>
      <c r="R593" s="1493"/>
      <c r="S593" s="1493"/>
      <c r="T593" s="1490"/>
    </row>
    <row r="594" spans="1:20" ht="12.75">
      <c r="A594" s="1491"/>
      <c r="B594" s="1491"/>
      <c r="C594" s="1531"/>
      <c r="D594" s="1491"/>
      <c r="E594" s="1491"/>
      <c r="F594" s="1491"/>
      <c r="G594" s="1491"/>
      <c r="H594" s="1491"/>
      <c r="I594" s="1493"/>
      <c r="J594" s="1493"/>
      <c r="K594" s="1543"/>
      <c r="L594" s="1493"/>
      <c r="M594" s="1493"/>
      <c r="N594" s="1493"/>
      <c r="O594" s="1493"/>
      <c r="P594" s="1493"/>
      <c r="Q594" s="1493"/>
      <c r="R594" s="1493"/>
      <c r="S594" s="1493"/>
      <c r="T594" s="1490"/>
    </row>
    <row r="595" spans="1:20" ht="12.75">
      <c r="A595" s="1491"/>
      <c r="B595" s="1491"/>
      <c r="C595" s="1531"/>
      <c r="D595" s="1491"/>
      <c r="E595" s="1491"/>
      <c r="F595" s="1491"/>
      <c r="G595" s="1491"/>
      <c r="H595" s="1491"/>
      <c r="I595" s="1493"/>
      <c r="J595" s="1493"/>
      <c r="K595" s="1543"/>
      <c r="L595" s="1493"/>
      <c r="M595" s="1493"/>
      <c r="N595" s="1493"/>
      <c r="O595" s="1493"/>
      <c r="P595" s="1493"/>
      <c r="Q595" s="1493"/>
      <c r="R595" s="1493"/>
      <c r="S595" s="1493"/>
      <c r="T595" s="1490"/>
    </row>
    <row r="596" spans="1:20" ht="12.75">
      <c r="A596" s="1491"/>
      <c r="B596" s="1491"/>
      <c r="C596" s="1515"/>
      <c r="D596" s="1491"/>
      <c r="E596" s="1491"/>
      <c r="F596" s="1491"/>
      <c r="G596" s="1491"/>
      <c r="H596" s="1491"/>
      <c r="I596" s="1493"/>
      <c r="J596" s="1493"/>
      <c r="K596" s="1543"/>
      <c r="L596" s="1493"/>
      <c r="M596" s="1493"/>
      <c r="N596" s="1493"/>
      <c r="O596" s="1493"/>
      <c r="P596" s="1493"/>
      <c r="Q596" s="1493"/>
      <c r="R596" s="1493"/>
      <c r="S596" s="1493"/>
      <c r="T596" s="1490"/>
    </row>
    <row r="597" spans="1:20" ht="12.75">
      <c r="A597" s="1491"/>
      <c r="B597" s="1491"/>
      <c r="C597" s="1531"/>
      <c r="D597" s="1491"/>
      <c r="E597" s="1491"/>
      <c r="F597" s="1491"/>
      <c r="G597" s="1491"/>
      <c r="H597" s="1491"/>
      <c r="I597" s="1493"/>
      <c r="J597" s="1493"/>
      <c r="K597" s="1543"/>
      <c r="L597" s="1493"/>
      <c r="M597" s="1493"/>
      <c r="N597" s="1493"/>
      <c r="O597" s="1493"/>
      <c r="P597" s="1493"/>
      <c r="Q597" s="1493"/>
      <c r="R597" s="1493"/>
      <c r="S597" s="1493"/>
      <c r="T597" s="1490"/>
    </row>
    <row r="598" spans="1:20" ht="12.75">
      <c r="A598" s="1491"/>
      <c r="B598" s="1491"/>
      <c r="C598" s="1531"/>
      <c r="D598" s="1491"/>
      <c r="E598" s="1491"/>
      <c r="F598" s="1491"/>
      <c r="G598" s="1491"/>
      <c r="H598" s="1491"/>
      <c r="I598" s="1493"/>
      <c r="J598" s="1493"/>
      <c r="K598" s="1493"/>
      <c r="L598" s="1493"/>
      <c r="M598" s="1493"/>
      <c r="N598" s="1493"/>
      <c r="O598" s="1493"/>
      <c r="P598" s="1493"/>
      <c r="Q598" s="1493"/>
      <c r="R598" s="1493"/>
      <c r="S598" s="1493"/>
      <c r="T598" s="1490"/>
    </row>
    <row r="599" spans="1:20" ht="12.75">
      <c r="A599" s="1491"/>
      <c r="B599" s="1491"/>
      <c r="C599" s="1531"/>
      <c r="D599" s="1491"/>
      <c r="E599" s="1491"/>
      <c r="F599" s="1491"/>
      <c r="G599" s="1491"/>
      <c r="H599" s="1491"/>
      <c r="I599" s="1493"/>
      <c r="J599" s="1493"/>
      <c r="K599" s="1493"/>
      <c r="L599" s="1492"/>
      <c r="M599" s="1493"/>
      <c r="N599" s="1493"/>
      <c r="O599" s="1493"/>
      <c r="P599" s="1493"/>
      <c r="Q599" s="1493"/>
      <c r="R599" s="1493"/>
      <c r="S599" s="1493"/>
      <c r="T599" s="1490"/>
    </row>
    <row r="600" spans="1:20" ht="12.75">
      <c r="A600" s="1491"/>
      <c r="B600" s="1491"/>
      <c r="C600" s="1531"/>
      <c r="D600" s="1491"/>
      <c r="E600" s="1491"/>
      <c r="F600" s="1525"/>
      <c r="G600" s="1491"/>
      <c r="H600" s="1491"/>
      <c r="I600" s="1493"/>
      <c r="J600" s="1493"/>
      <c r="K600" s="1493"/>
      <c r="L600" s="1493"/>
      <c r="M600" s="1493"/>
      <c r="N600" s="1493"/>
      <c r="O600" s="1493"/>
      <c r="P600" s="1493"/>
      <c r="Q600" s="1493"/>
      <c r="R600" s="1493"/>
      <c r="S600" s="1493"/>
      <c r="T600" s="1490"/>
    </row>
    <row r="601" spans="1:20" ht="12.75">
      <c r="A601" s="1491"/>
      <c r="B601" s="1544"/>
      <c r="C601" s="1491"/>
      <c r="D601" s="1491"/>
      <c r="E601" s="1491"/>
      <c r="F601" s="1525"/>
      <c r="G601" s="1491"/>
      <c r="H601" s="1491"/>
      <c r="I601" s="1493"/>
      <c r="J601" s="1493"/>
      <c r="K601" s="1493"/>
      <c r="L601" s="1493"/>
      <c r="M601" s="1493"/>
      <c r="N601" s="1493"/>
      <c r="O601" s="1493"/>
      <c r="P601" s="1493"/>
      <c r="Q601" s="1493"/>
      <c r="R601" s="1493"/>
      <c r="S601" s="1493"/>
      <c r="T601" s="1490"/>
    </row>
    <row r="602" spans="1:20" ht="12.75">
      <c r="A602" s="1491"/>
      <c r="B602" s="1491"/>
      <c r="C602" s="1491"/>
      <c r="D602" s="1491"/>
      <c r="E602" s="1491"/>
      <c r="F602" s="1525"/>
      <c r="G602" s="1491"/>
      <c r="H602" s="1491"/>
      <c r="I602" s="1493"/>
      <c r="J602" s="1493"/>
      <c r="K602" s="1493"/>
      <c r="L602" s="1493"/>
      <c r="M602" s="1493"/>
      <c r="N602" s="1493"/>
      <c r="O602" s="1493"/>
      <c r="P602" s="1493"/>
      <c r="Q602" s="1493"/>
      <c r="R602" s="1493"/>
      <c r="S602" s="1493"/>
      <c r="T602" s="1490"/>
    </row>
    <row r="603" spans="1:20" ht="12.75">
      <c r="A603" s="1491"/>
      <c r="B603" s="1491"/>
      <c r="C603" s="1491"/>
      <c r="D603" s="1491"/>
      <c r="E603" s="1491"/>
      <c r="F603" s="1491"/>
      <c r="G603" s="1491"/>
      <c r="H603" s="1491"/>
      <c r="I603" s="1493"/>
      <c r="J603" s="1493"/>
      <c r="K603" s="1493"/>
      <c r="L603" s="1493"/>
      <c r="M603" s="1493"/>
      <c r="N603" s="1493"/>
      <c r="O603" s="1493"/>
      <c r="P603" s="1493"/>
      <c r="Q603" s="1493"/>
      <c r="R603" s="1493"/>
      <c r="S603" s="1493"/>
      <c r="T603" s="1490"/>
    </row>
    <row r="604" spans="1:20" ht="12.75">
      <c r="A604" s="1491"/>
      <c r="B604" s="1491"/>
      <c r="C604" s="1491"/>
      <c r="D604" s="1491"/>
      <c r="E604" s="1491"/>
      <c r="F604" s="1491"/>
      <c r="G604" s="1491"/>
      <c r="H604" s="1491"/>
      <c r="I604" s="1493"/>
      <c r="J604" s="1493"/>
      <c r="K604" s="1493"/>
      <c r="L604" s="1493"/>
      <c r="M604" s="1493"/>
      <c r="N604" s="1493"/>
      <c r="O604" s="1493"/>
      <c r="P604" s="1493"/>
      <c r="Q604" s="1493"/>
      <c r="R604" s="1493"/>
      <c r="S604" s="1493"/>
      <c r="T604" s="1490"/>
    </row>
    <row r="605" spans="1:20" ht="12.75">
      <c r="A605" s="1491"/>
      <c r="B605" s="1491"/>
      <c r="C605" s="1491"/>
      <c r="D605" s="1491"/>
      <c r="E605" s="1491"/>
      <c r="F605" s="1491"/>
      <c r="G605" s="1491"/>
      <c r="H605" s="1491"/>
      <c r="I605" s="1493"/>
      <c r="J605" s="1493"/>
      <c r="K605" s="1493"/>
      <c r="L605" s="1493"/>
      <c r="M605" s="1493"/>
      <c r="N605" s="1493"/>
      <c r="O605" s="1493"/>
      <c r="P605" s="1493"/>
      <c r="Q605" s="1493"/>
      <c r="R605" s="1493"/>
      <c r="S605" s="1493"/>
      <c r="T605" s="1490"/>
    </row>
    <row r="606" spans="1:20" ht="12.75">
      <c r="A606" s="1491"/>
      <c r="B606" s="1491"/>
      <c r="C606" s="1491"/>
      <c r="D606" s="1491"/>
      <c r="E606" s="1491"/>
      <c r="F606" s="1491"/>
      <c r="G606" s="1491"/>
      <c r="H606" s="1491"/>
      <c r="I606" s="1493"/>
      <c r="J606" s="1493"/>
      <c r="K606" s="1493"/>
      <c r="L606" s="1493"/>
      <c r="M606" s="1493"/>
      <c r="N606" s="1493"/>
      <c r="O606" s="1493"/>
      <c r="P606" s="1493"/>
      <c r="Q606" s="1493"/>
      <c r="R606" s="1493"/>
      <c r="S606" s="1493"/>
      <c r="T606" s="1490"/>
    </row>
    <row r="607" spans="1:20" ht="12.75">
      <c r="A607" s="1491"/>
      <c r="B607" s="1491"/>
      <c r="C607" s="1491"/>
      <c r="D607" s="1491"/>
      <c r="E607" s="1491"/>
      <c r="F607" s="1491"/>
      <c r="G607" s="1491"/>
      <c r="H607" s="1491"/>
      <c r="I607" s="1493"/>
      <c r="J607" s="1493"/>
      <c r="K607" s="1493"/>
      <c r="L607" s="1493"/>
      <c r="M607" s="1493"/>
      <c r="N607" s="1493"/>
      <c r="O607" s="1493"/>
      <c r="P607" s="1493"/>
      <c r="Q607" s="1493"/>
      <c r="R607" s="1493"/>
      <c r="S607" s="1493"/>
      <c r="T607" s="1490"/>
    </row>
    <row r="608" spans="1:20" ht="12.75">
      <c r="A608" s="1491"/>
      <c r="B608" s="1491"/>
      <c r="C608" s="1491"/>
      <c r="D608" s="1491"/>
      <c r="E608" s="1491"/>
      <c r="F608" s="1491"/>
      <c r="G608" s="1491"/>
      <c r="H608" s="1491"/>
      <c r="I608" s="1493"/>
      <c r="J608" s="1493"/>
      <c r="K608" s="1493"/>
      <c r="L608" s="1493"/>
      <c r="M608" s="1493"/>
      <c r="N608" s="1493"/>
      <c r="O608" s="1493"/>
      <c r="P608" s="1493"/>
      <c r="Q608" s="1493"/>
      <c r="R608" s="1493"/>
      <c r="S608" s="1493"/>
      <c r="T608" s="1490"/>
    </row>
    <row r="609" spans="1:20" ht="12.75">
      <c r="A609" s="1491"/>
      <c r="B609" s="1491"/>
      <c r="C609" s="1491"/>
      <c r="D609" s="1491"/>
      <c r="E609" s="1491"/>
      <c r="F609" s="1491"/>
      <c r="G609" s="1491"/>
      <c r="H609" s="1491"/>
      <c r="I609" s="1493"/>
      <c r="J609" s="1493"/>
      <c r="K609" s="1493"/>
      <c r="L609" s="1493"/>
      <c r="M609" s="1493"/>
      <c r="N609" s="1493"/>
      <c r="O609" s="1493"/>
      <c r="P609" s="1493"/>
      <c r="Q609" s="1493"/>
      <c r="R609" s="1493"/>
      <c r="S609" s="1493"/>
      <c r="T609" s="1490"/>
    </row>
    <row r="610" spans="1:20" ht="12.75">
      <c r="A610" s="1491"/>
      <c r="B610" s="1491"/>
      <c r="C610" s="1491"/>
      <c r="D610" s="1491"/>
      <c r="E610" s="1491"/>
      <c r="F610" s="1491"/>
      <c r="G610" s="1491"/>
      <c r="H610" s="1491"/>
      <c r="I610" s="1493"/>
      <c r="J610" s="1493"/>
      <c r="K610" s="1493"/>
      <c r="L610" s="1493"/>
      <c r="M610" s="1493"/>
      <c r="N610" s="1493"/>
      <c r="O610" s="1493"/>
      <c r="P610" s="1493"/>
      <c r="Q610" s="1493"/>
      <c r="R610" s="1493"/>
      <c r="S610" s="1493"/>
      <c r="T610" s="1490"/>
    </row>
    <row r="611" spans="1:20" ht="12.75">
      <c r="A611" s="1491"/>
      <c r="B611" s="1491"/>
      <c r="C611" s="1491"/>
      <c r="D611" s="1491"/>
      <c r="E611" s="1491"/>
      <c r="F611" s="1491"/>
      <c r="G611" s="1491"/>
      <c r="H611" s="1491"/>
      <c r="I611" s="1493"/>
      <c r="J611" s="1493"/>
      <c r="K611" s="1493"/>
      <c r="L611" s="1493"/>
      <c r="M611" s="1493"/>
      <c r="N611" s="1493"/>
      <c r="O611" s="1493"/>
      <c r="P611" s="1493"/>
      <c r="Q611" s="1493"/>
      <c r="R611" s="1493"/>
      <c r="S611" s="1493"/>
      <c r="T611" s="1490"/>
    </row>
    <row r="612" spans="1:20" ht="12.75">
      <c r="A612" s="1491"/>
      <c r="B612" s="1491"/>
      <c r="C612" s="1491"/>
      <c r="D612" s="1491"/>
      <c r="E612" s="1491"/>
      <c r="F612" s="1491"/>
      <c r="G612" s="1491"/>
      <c r="H612" s="1491"/>
      <c r="I612" s="1493"/>
      <c r="J612" s="1493"/>
      <c r="K612" s="1493"/>
      <c r="L612" s="1493"/>
      <c r="M612" s="1493"/>
      <c r="N612" s="1493"/>
      <c r="O612" s="1493"/>
      <c r="P612" s="1493"/>
      <c r="Q612" s="1493"/>
      <c r="R612" s="1493"/>
      <c r="S612" s="1493"/>
      <c r="T612" s="1490"/>
    </row>
    <row r="613" spans="1:20" ht="12.75">
      <c r="A613" s="1491"/>
      <c r="B613" s="1491"/>
      <c r="C613" s="1491"/>
      <c r="D613" s="1491"/>
      <c r="E613" s="1491"/>
      <c r="F613" s="1491"/>
      <c r="G613" s="1491"/>
      <c r="H613" s="1491"/>
      <c r="I613" s="1493"/>
      <c r="J613" s="1493"/>
      <c r="K613" s="1493"/>
      <c r="L613" s="1493"/>
      <c r="M613" s="1493"/>
      <c r="N613" s="1493"/>
      <c r="O613" s="1493"/>
      <c r="P613" s="1493"/>
      <c r="Q613" s="1493"/>
      <c r="R613" s="1493"/>
      <c r="S613" s="1493"/>
      <c r="T613" s="1490"/>
    </row>
    <row r="614" spans="1:20" ht="12.75">
      <c r="A614" s="1491"/>
      <c r="B614" s="1491"/>
      <c r="C614" s="1491"/>
      <c r="D614" s="1491"/>
      <c r="E614" s="1491"/>
      <c r="F614" s="1491"/>
      <c r="G614" s="1491"/>
      <c r="H614" s="1491"/>
      <c r="I614" s="1493"/>
      <c r="J614" s="1493"/>
      <c r="K614" s="1493"/>
      <c r="L614" s="1493"/>
      <c r="M614" s="1493"/>
      <c r="N614" s="1493"/>
      <c r="O614" s="1493"/>
      <c r="P614" s="1493"/>
      <c r="Q614" s="1493"/>
      <c r="R614" s="1493"/>
      <c r="S614" s="1493"/>
      <c r="T614" s="1490"/>
    </row>
    <row r="615" spans="1:20" ht="12.75">
      <c r="A615" s="1491"/>
      <c r="B615" s="1491"/>
      <c r="C615" s="1491"/>
      <c r="D615" s="1491"/>
      <c r="E615" s="1491"/>
      <c r="F615" s="1491"/>
      <c r="G615" s="1491"/>
      <c r="H615" s="1491"/>
      <c r="I615" s="1493"/>
      <c r="J615" s="1493"/>
      <c r="K615" s="1493"/>
      <c r="L615" s="1493"/>
      <c r="M615" s="1493"/>
      <c r="N615" s="1493"/>
      <c r="O615" s="1493"/>
      <c r="P615" s="1493"/>
      <c r="Q615" s="1493"/>
      <c r="R615" s="1493"/>
      <c r="S615" s="1493"/>
      <c r="T615" s="1490"/>
    </row>
    <row r="616" spans="1:20" ht="12.75">
      <c r="A616" s="1491"/>
      <c r="B616" s="1491"/>
      <c r="C616" s="1491"/>
      <c r="D616" s="1491"/>
      <c r="E616" s="1491"/>
      <c r="F616" s="1491"/>
      <c r="G616" s="1491"/>
      <c r="H616" s="1491"/>
      <c r="I616" s="1493"/>
      <c r="J616" s="1493"/>
      <c r="K616" s="1493"/>
      <c r="L616" s="1493"/>
      <c r="M616" s="1493"/>
      <c r="N616" s="1493"/>
      <c r="O616" s="1493"/>
      <c r="P616" s="1493"/>
      <c r="Q616" s="1493"/>
      <c r="R616" s="1493"/>
      <c r="S616" s="1493"/>
      <c r="T616" s="1490"/>
    </row>
    <row r="617" spans="1:20" ht="12.75">
      <c r="A617" s="1491"/>
      <c r="B617" s="1491"/>
      <c r="C617" s="1491"/>
      <c r="D617" s="1491"/>
      <c r="E617" s="1491"/>
      <c r="F617" s="1491"/>
      <c r="G617" s="1491"/>
      <c r="H617" s="1491"/>
      <c r="I617" s="1493"/>
      <c r="J617" s="1493"/>
      <c r="K617" s="1493"/>
      <c r="L617" s="1493"/>
      <c r="M617" s="1493"/>
      <c r="N617" s="1493"/>
      <c r="O617" s="1493"/>
      <c r="P617" s="1493"/>
      <c r="Q617" s="1493"/>
      <c r="R617" s="1493"/>
      <c r="S617" s="1493"/>
      <c r="T617" s="1490"/>
    </row>
    <row r="618" spans="1:20" ht="12.75">
      <c r="A618" s="1491"/>
      <c r="B618" s="1491"/>
      <c r="C618" s="1491"/>
      <c r="D618" s="1491"/>
      <c r="E618" s="1491"/>
      <c r="F618" s="1491"/>
      <c r="G618" s="1491"/>
      <c r="H618" s="1491"/>
      <c r="I618" s="1493"/>
      <c r="J618" s="1493"/>
      <c r="K618" s="1493"/>
      <c r="L618" s="1493"/>
      <c r="M618" s="1493"/>
      <c r="N618" s="1493"/>
      <c r="O618" s="1493"/>
      <c r="P618" s="1493"/>
      <c r="Q618" s="1493"/>
      <c r="R618" s="1493"/>
      <c r="S618" s="1493"/>
      <c r="T618" s="1490"/>
    </row>
    <row r="619" spans="1:20" ht="12.75">
      <c r="A619" s="1491"/>
      <c r="B619" s="1491"/>
      <c r="C619" s="1491"/>
      <c r="D619" s="1491"/>
      <c r="E619" s="1491"/>
      <c r="F619" s="1491"/>
      <c r="G619" s="1491"/>
      <c r="H619" s="1491"/>
      <c r="I619" s="1493"/>
      <c r="J619" s="1493"/>
      <c r="K619" s="1493"/>
      <c r="L619" s="1493"/>
      <c r="M619" s="1493"/>
      <c r="N619" s="1493"/>
      <c r="O619" s="1493"/>
      <c r="P619" s="1493"/>
      <c r="Q619" s="1493"/>
      <c r="R619" s="1493"/>
      <c r="S619" s="1493"/>
      <c r="T619" s="1490"/>
    </row>
    <row r="620" spans="1:20" ht="12.75">
      <c r="A620" s="1491"/>
      <c r="B620" s="1491"/>
      <c r="C620" s="1491"/>
      <c r="D620" s="1491"/>
      <c r="E620" s="1491"/>
      <c r="F620" s="1491"/>
      <c r="G620" s="1491"/>
      <c r="H620" s="1491"/>
      <c r="I620" s="1493"/>
      <c r="J620" s="1493"/>
      <c r="K620" s="1493"/>
      <c r="L620" s="1493"/>
      <c r="M620" s="1493"/>
      <c r="N620" s="1493"/>
      <c r="O620" s="1493"/>
      <c r="P620" s="1493"/>
      <c r="Q620" s="1493"/>
      <c r="R620" s="1493"/>
      <c r="S620" s="1493"/>
      <c r="T620" s="1490"/>
    </row>
    <row r="621" spans="1:20" ht="12.75">
      <c r="A621" s="1491"/>
      <c r="B621" s="1491"/>
      <c r="C621" s="1491"/>
      <c r="D621" s="1491"/>
      <c r="E621" s="1491"/>
      <c r="F621" s="1491"/>
      <c r="G621" s="1491"/>
      <c r="H621" s="1491"/>
      <c r="I621" s="1493"/>
      <c r="J621" s="1493"/>
      <c r="K621" s="1493"/>
      <c r="L621" s="1493"/>
      <c r="M621" s="1493"/>
      <c r="N621" s="1493"/>
      <c r="O621" s="1493"/>
      <c r="P621" s="1493"/>
      <c r="Q621" s="1493"/>
      <c r="R621" s="1493"/>
      <c r="S621" s="1493"/>
      <c r="T621" s="1490"/>
    </row>
    <row r="622" spans="1:20" ht="12.75">
      <c r="A622" s="1491"/>
      <c r="B622" s="1491"/>
      <c r="C622" s="1491"/>
      <c r="D622" s="1491"/>
      <c r="E622" s="1491"/>
      <c r="F622" s="1491"/>
      <c r="G622" s="1491"/>
      <c r="H622" s="1491"/>
      <c r="I622" s="1493"/>
      <c r="J622" s="1493"/>
      <c r="K622" s="1493"/>
      <c r="L622" s="1493"/>
      <c r="M622" s="1493"/>
      <c r="N622" s="1493"/>
      <c r="O622" s="1493"/>
      <c r="P622" s="1493"/>
      <c r="Q622" s="1493"/>
      <c r="R622" s="1493"/>
      <c r="S622" s="1493"/>
      <c r="T622" s="1490"/>
    </row>
    <row r="623" spans="1:20" ht="12.75">
      <c r="A623" s="1491"/>
      <c r="B623" s="1491"/>
      <c r="C623" s="1491"/>
      <c r="D623" s="1491"/>
      <c r="E623" s="1491"/>
      <c r="F623" s="1491"/>
      <c r="G623" s="1491"/>
      <c r="H623" s="1491"/>
      <c r="I623" s="1493"/>
      <c r="J623" s="1493"/>
      <c r="K623" s="1493"/>
      <c r="L623" s="1493"/>
      <c r="M623" s="1493"/>
      <c r="N623" s="1493"/>
      <c r="O623" s="1493"/>
      <c r="P623" s="1493"/>
      <c r="Q623" s="1493"/>
      <c r="R623" s="1493"/>
      <c r="S623" s="1493"/>
      <c r="T623" s="1490"/>
    </row>
    <row r="624" spans="1:20" ht="12.75">
      <c r="A624" s="1491"/>
      <c r="B624" s="1491"/>
      <c r="C624" s="1491"/>
      <c r="D624" s="1491"/>
      <c r="E624" s="1491"/>
      <c r="F624" s="1491"/>
      <c r="G624" s="1491"/>
      <c r="H624" s="1491"/>
      <c r="I624" s="1493"/>
      <c r="J624" s="1493"/>
      <c r="K624" s="1493"/>
      <c r="L624" s="1493"/>
      <c r="M624" s="1493"/>
      <c r="N624" s="1493"/>
      <c r="O624" s="1493"/>
      <c r="P624" s="1493"/>
      <c r="Q624" s="1493"/>
      <c r="R624" s="1493"/>
      <c r="S624" s="1493"/>
      <c r="T624" s="1490"/>
    </row>
    <row r="625" spans="1:20" ht="12.75">
      <c r="A625" s="1491"/>
      <c r="B625" s="1491"/>
      <c r="C625" s="1491"/>
      <c r="D625" s="1491"/>
      <c r="E625" s="1491"/>
      <c r="F625" s="1491"/>
      <c r="G625" s="1491"/>
      <c r="H625" s="1491"/>
      <c r="I625" s="1493"/>
      <c r="J625" s="1493"/>
      <c r="K625" s="1493"/>
      <c r="L625" s="1493"/>
      <c r="M625" s="1493"/>
      <c r="N625" s="1493"/>
      <c r="O625" s="1493"/>
      <c r="P625" s="1493"/>
      <c r="Q625" s="1493"/>
      <c r="R625" s="1493"/>
      <c r="S625" s="1493"/>
      <c r="T625" s="1490"/>
    </row>
    <row r="626" spans="1:20" ht="12.75">
      <c r="A626" s="1491"/>
      <c r="B626" s="1491"/>
      <c r="C626" s="1491"/>
      <c r="D626" s="1491"/>
      <c r="E626" s="1491"/>
      <c r="F626" s="1491"/>
      <c r="G626" s="1491"/>
      <c r="H626" s="1491"/>
      <c r="I626" s="1493"/>
      <c r="J626" s="1493"/>
      <c r="K626" s="1493"/>
      <c r="L626" s="1493"/>
      <c r="M626" s="1493"/>
      <c r="N626" s="1493"/>
      <c r="O626" s="1493"/>
      <c r="P626" s="1493"/>
      <c r="Q626" s="1493"/>
      <c r="R626" s="1493"/>
      <c r="S626" s="1493"/>
      <c r="T626" s="1490"/>
    </row>
    <row r="627" spans="1:20" ht="12.75">
      <c r="A627" s="1491"/>
      <c r="B627" s="1491"/>
      <c r="C627" s="1491"/>
      <c r="D627" s="1491"/>
      <c r="E627" s="1491"/>
      <c r="F627" s="1491"/>
      <c r="G627" s="1491"/>
      <c r="H627" s="1491"/>
      <c r="I627" s="1493"/>
      <c r="J627" s="1493"/>
      <c r="K627" s="1493"/>
      <c r="L627" s="1493"/>
      <c r="M627" s="1493"/>
      <c r="N627" s="1493"/>
      <c r="O627" s="1493"/>
      <c r="P627" s="1493"/>
      <c r="Q627" s="1493"/>
      <c r="R627" s="1493"/>
      <c r="S627" s="1493"/>
      <c r="T627" s="1490"/>
    </row>
    <row r="628" spans="1:20" ht="12.75">
      <c r="A628" s="1491"/>
      <c r="B628" s="1491"/>
      <c r="C628" s="1491"/>
      <c r="D628" s="1491"/>
      <c r="E628" s="1491"/>
      <c r="F628" s="1491"/>
      <c r="G628" s="1491"/>
      <c r="H628" s="1491"/>
      <c r="I628" s="1493"/>
      <c r="J628" s="1493"/>
      <c r="K628" s="1493"/>
      <c r="L628" s="1493"/>
      <c r="M628" s="1493"/>
      <c r="N628" s="1493"/>
      <c r="O628" s="1493"/>
      <c r="P628" s="1493"/>
      <c r="Q628" s="1493"/>
      <c r="R628" s="1493"/>
      <c r="S628" s="1493"/>
      <c r="T628" s="1490"/>
    </row>
    <row r="629" spans="1:20" ht="12.75">
      <c r="A629" s="1491"/>
      <c r="B629" s="1491"/>
      <c r="C629" s="1491"/>
      <c r="D629" s="1491"/>
      <c r="E629" s="1491"/>
      <c r="F629" s="1491"/>
      <c r="G629" s="1491"/>
      <c r="H629" s="1491"/>
      <c r="I629" s="1493"/>
      <c r="J629" s="1493"/>
      <c r="K629" s="1493"/>
      <c r="L629" s="1493"/>
      <c r="M629" s="1493"/>
      <c r="N629" s="1493"/>
      <c r="O629" s="1493"/>
      <c r="P629" s="1493"/>
      <c r="Q629" s="1493"/>
      <c r="R629" s="1493"/>
      <c r="S629" s="1493"/>
      <c r="T629" s="1490"/>
    </row>
    <row r="630" spans="1:20" ht="12.75">
      <c r="A630" s="1491"/>
      <c r="B630" s="1491"/>
      <c r="C630" s="1491"/>
      <c r="D630" s="1491"/>
      <c r="E630" s="1491"/>
      <c r="F630" s="1491"/>
      <c r="G630" s="1491"/>
      <c r="H630" s="1491"/>
      <c r="I630" s="1493"/>
      <c r="J630" s="1493"/>
      <c r="K630" s="1493"/>
      <c r="L630" s="1493"/>
      <c r="M630" s="1493"/>
      <c r="N630" s="1493"/>
      <c r="O630" s="1493"/>
      <c r="P630" s="1493"/>
      <c r="Q630" s="1493"/>
      <c r="R630" s="1493"/>
      <c r="S630" s="1493"/>
      <c r="T630" s="1490"/>
    </row>
    <row r="631" spans="1:20" ht="12.75">
      <c r="A631" s="1491"/>
      <c r="B631" s="1491"/>
      <c r="C631" s="1491"/>
      <c r="D631" s="1491"/>
      <c r="E631" s="1491"/>
      <c r="F631" s="1491"/>
      <c r="G631" s="1491"/>
      <c r="H631" s="1491"/>
      <c r="I631" s="1493"/>
      <c r="J631" s="1493"/>
      <c r="K631" s="1493"/>
      <c r="L631" s="1493"/>
      <c r="M631" s="1493"/>
      <c r="N631" s="1493"/>
      <c r="O631" s="1493"/>
      <c r="P631" s="1493"/>
      <c r="Q631" s="1493"/>
      <c r="R631" s="1493"/>
      <c r="S631" s="1493"/>
      <c r="T631" s="1490"/>
    </row>
    <row r="632" spans="1:20" ht="12.75">
      <c r="A632" s="1491"/>
      <c r="B632" s="1491"/>
      <c r="C632" s="1491"/>
      <c r="D632" s="1491"/>
      <c r="E632" s="1491"/>
      <c r="F632" s="1491"/>
      <c r="G632" s="1491"/>
      <c r="H632" s="1491"/>
      <c r="I632" s="1493"/>
      <c r="J632" s="1493"/>
      <c r="K632" s="1493"/>
      <c r="L632" s="1493"/>
      <c r="M632" s="1493"/>
      <c r="N632" s="1493"/>
      <c r="O632" s="1493"/>
      <c r="P632" s="1493"/>
      <c r="Q632" s="1493"/>
      <c r="R632" s="1493"/>
      <c r="S632" s="1493"/>
      <c r="T632" s="1490"/>
    </row>
    <row r="633" spans="1:20" ht="12.75">
      <c r="A633" s="1491"/>
      <c r="B633" s="1491"/>
      <c r="C633" s="1491"/>
      <c r="D633" s="1491"/>
      <c r="E633" s="1491"/>
      <c r="F633" s="1491"/>
      <c r="G633" s="1491"/>
      <c r="H633" s="1491"/>
      <c r="I633" s="1493"/>
      <c r="J633" s="1493"/>
      <c r="K633" s="1493"/>
      <c r="L633" s="1493"/>
      <c r="M633" s="1493"/>
      <c r="N633" s="1493"/>
      <c r="O633" s="1493"/>
      <c r="P633" s="1493"/>
      <c r="Q633" s="1493"/>
      <c r="R633" s="1493"/>
      <c r="S633" s="1493"/>
      <c r="T633" s="1490"/>
    </row>
    <row r="634" spans="1:20" ht="12.75">
      <c r="A634" s="1491"/>
      <c r="B634" s="1491"/>
      <c r="C634" s="1491"/>
      <c r="D634" s="1491"/>
      <c r="E634" s="1491"/>
      <c r="F634" s="1491"/>
      <c r="G634" s="1491"/>
      <c r="H634" s="1491"/>
      <c r="I634" s="1493"/>
      <c r="J634" s="1493"/>
      <c r="K634" s="1493"/>
      <c r="L634" s="1493"/>
      <c r="M634" s="1493"/>
      <c r="N634" s="1493"/>
      <c r="O634" s="1493"/>
      <c r="P634" s="1493"/>
      <c r="Q634" s="1493"/>
      <c r="R634" s="1493"/>
      <c r="S634" s="1493"/>
      <c r="T634" s="1490"/>
    </row>
    <row r="635" spans="1:20" ht="12.75">
      <c r="A635" s="1491"/>
      <c r="B635" s="1491"/>
      <c r="C635" s="1491"/>
      <c r="D635" s="1491"/>
      <c r="E635" s="1491"/>
      <c r="F635" s="1491"/>
      <c r="G635" s="1491"/>
      <c r="H635" s="1491"/>
      <c r="I635" s="1493"/>
      <c r="J635" s="1493"/>
      <c r="K635" s="1493"/>
      <c r="L635" s="1493"/>
      <c r="M635" s="1493"/>
      <c r="N635" s="1493"/>
      <c r="O635" s="1493"/>
      <c r="P635" s="1493"/>
      <c r="Q635" s="1493"/>
      <c r="R635" s="1493"/>
      <c r="S635" s="1493"/>
      <c r="T635" s="1490"/>
    </row>
    <row r="636" spans="1:20" ht="12.75">
      <c r="A636" s="1491"/>
      <c r="B636" s="1491"/>
      <c r="C636" s="1491"/>
      <c r="D636" s="1491"/>
      <c r="E636" s="1491"/>
      <c r="F636" s="1491"/>
      <c r="G636" s="1491"/>
      <c r="H636" s="1491"/>
      <c r="I636" s="1493"/>
      <c r="J636" s="1493"/>
      <c r="K636" s="1493"/>
      <c r="L636" s="1493"/>
      <c r="M636" s="1493"/>
      <c r="N636" s="1493"/>
      <c r="O636" s="1493"/>
      <c r="P636" s="1493"/>
      <c r="Q636" s="1493"/>
      <c r="R636" s="1493"/>
      <c r="S636" s="1493"/>
      <c r="T636" s="1490"/>
    </row>
    <row r="637" spans="1:20" ht="12.75">
      <c r="A637" s="1491"/>
      <c r="B637" s="1491"/>
      <c r="C637" s="1491"/>
      <c r="D637" s="1491"/>
      <c r="E637" s="1491"/>
      <c r="F637" s="1491"/>
      <c r="G637" s="1491"/>
      <c r="H637" s="1491"/>
      <c r="I637" s="1493"/>
      <c r="J637" s="1493"/>
      <c r="K637" s="1493"/>
      <c r="L637" s="1493"/>
      <c r="M637" s="1493"/>
      <c r="N637" s="1493"/>
      <c r="O637" s="1493"/>
      <c r="P637" s="1493"/>
      <c r="Q637" s="1493"/>
      <c r="R637" s="1493"/>
      <c r="S637" s="1493"/>
      <c r="T637" s="1490"/>
    </row>
    <row r="638" spans="1:20" ht="12.75">
      <c r="A638" s="1491"/>
      <c r="B638" s="1491"/>
      <c r="C638" s="1491"/>
      <c r="D638" s="1491"/>
      <c r="E638" s="1491"/>
      <c r="F638" s="1491"/>
      <c r="G638" s="1491"/>
      <c r="H638" s="1491"/>
      <c r="I638" s="1493"/>
      <c r="J638" s="1493"/>
      <c r="K638" s="1493"/>
      <c r="L638" s="1493"/>
      <c r="M638" s="1493"/>
      <c r="N638" s="1493"/>
      <c r="O638" s="1493"/>
      <c r="P638" s="1493"/>
      <c r="Q638" s="1493"/>
      <c r="R638" s="1493"/>
      <c r="S638" s="1493"/>
      <c r="T638" s="1490"/>
    </row>
    <row r="639" spans="1:20" ht="12.75">
      <c r="A639" s="1491"/>
      <c r="B639" s="1491"/>
      <c r="C639" s="1491"/>
      <c r="D639" s="1491"/>
      <c r="E639" s="1491"/>
      <c r="F639" s="1491"/>
      <c r="G639" s="1491"/>
      <c r="H639" s="1491"/>
      <c r="I639" s="1493"/>
      <c r="J639" s="1493"/>
      <c r="K639" s="1493"/>
      <c r="L639" s="1493"/>
      <c r="M639" s="1493"/>
      <c r="N639" s="1493"/>
      <c r="O639" s="1493"/>
      <c r="P639" s="1493"/>
      <c r="Q639" s="1493"/>
      <c r="R639" s="1493"/>
      <c r="S639" s="1493"/>
      <c r="T639" s="1490"/>
    </row>
    <row r="640" spans="1:20" ht="12.75">
      <c r="A640" s="1491"/>
      <c r="B640" s="1491"/>
      <c r="C640" s="1491"/>
      <c r="D640" s="1491"/>
      <c r="E640" s="1491"/>
      <c r="F640" s="1491"/>
      <c r="G640" s="1491"/>
      <c r="H640" s="1491"/>
      <c r="I640" s="1493"/>
      <c r="J640" s="1493"/>
      <c r="K640" s="1493"/>
      <c r="L640" s="1493"/>
      <c r="M640" s="1493"/>
      <c r="N640" s="1493"/>
      <c r="O640" s="1493"/>
      <c r="P640" s="1493"/>
      <c r="Q640" s="1493"/>
      <c r="R640" s="1493"/>
      <c r="S640" s="1493"/>
      <c r="T640" s="1490"/>
    </row>
    <row r="641" spans="1:20" ht="12.75">
      <c r="A641" s="1491"/>
      <c r="B641" s="1491"/>
      <c r="C641" s="1491"/>
      <c r="D641" s="1491"/>
      <c r="E641" s="1491"/>
      <c r="F641" s="1491"/>
      <c r="G641" s="1491"/>
      <c r="H641" s="1491"/>
      <c r="I641" s="1493"/>
      <c r="J641" s="1493"/>
      <c r="K641" s="1493"/>
      <c r="L641" s="1493"/>
      <c r="M641" s="1493"/>
      <c r="N641" s="1493"/>
      <c r="O641" s="1493"/>
      <c r="P641" s="1493"/>
      <c r="Q641" s="1493"/>
      <c r="R641" s="1493"/>
      <c r="S641" s="1493"/>
      <c r="T641" s="1490"/>
    </row>
    <row r="642" spans="1:20" ht="12.75">
      <c r="A642" s="1491"/>
      <c r="B642" s="1491"/>
      <c r="C642" s="1491"/>
      <c r="D642" s="1491"/>
      <c r="E642" s="1491"/>
      <c r="F642" s="1491"/>
      <c r="G642" s="1491"/>
      <c r="H642" s="1491"/>
      <c r="I642" s="1493"/>
      <c r="J642" s="1493"/>
      <c r="K642" s="1493"/>
      <c r="L642" s="1493"/>
      <c r="M642" s="1493"/>
      <c r="N642" s="1493"/>
      <c r="O642" s="1493"/>
      <c r="P642" s="1493"/>
      <c r="Q642" s="1493"/>
      <c r="R642" s="1493"/>
      <c r="S642" s="1493"/>
      <c r="T642" s="1490"/>
    </row>
    <row r="643" spans="1:20" ht="12.75">
      <c r="A643" s="1491"/>
      <c r="B643" s="1491"/>
      <c r="C643" s="1491"/>
      <c r="D643" s="1491"/>
      <c r="E643" s="1491"/>
      <c r="F643" s="1491"/>
      <c r="G643" s="1491"/>
      <c r="H643" s="1491"/>
      <c r="I643" s="1493"/>
      <c r="J643" s="1493"/>
      <c r="K643" s="1493"/>
      <c r="L643" s="1493"/>
      <c r="M643" s="1493"/>
      <c r="N643" s="1493"/>
      <c r="O643" s="1493"/>
      <c r="P643" s="1493"/>
      <c r="Q643" s="1493"/>
      <c r="R643" s="1493"/>
      <c r="S643" s="1493"/>
      <c r="T643" s="1490"/>
    </row>
    <row r="644" spans="1:20" ht="12.75">
      <c r="A644" s="1491"/>
      <c r="B644" s="1491"/>
      <c r="C644" s="1491"/>
      <c r="D644" s="1491"/>
      <c r="E644" s="1491"/>
      <c r="F644" s="1491"/>
      <c r="G644" s="1491"/>
      <c r="H644" s="1491"/>
      <c r="I644" s="1493"/>
      <c r="J644" s="1493"/>
      <c r="K644" s="1493"/>
      <c r="L644" s="1493"/>
      <c r="M644" s="1493"/>
      <c r="N644" s="1493"/>
      <c r="O644" s="1493"/>
      <c r="P644" s="1493"/>
      <c r="Q644" s="1493"/>
      <c r="R644" s="1493"/>
      <c r="S644" s="1493"/>
      <c r="T644" s="1490"/>
    </row>
    <row r="645" spans="1:20" ht="12.75">
      <c r="A645" s="1491"/>
      <c r="B645" s="1491"/>
      <c r="C645" s="1491"/>
      <c r="D645" s="1491"/>
      <c r="E645" s="1491"/>
      <c r="F645" s="1491"/>
      <c r="G645" s="1491"/>
      <c r="H645" s="1491"/>
      <c r="I645" s="1493"/>
      <c r="J645" s="1493"/>
      <c r="K645" s="1493"/>
      <c r="L645" s="1493"/>
      <c r="M645" s="1493"/>
      <c r="N645" s="1493"/>
      <c r="O645" s="1493"/>
      <c r="P645" s="1493"/>
      <c r="Q645" s="1493"/>
      <c r="R645" s="1493"/>
      <c r="S645" s="1493"/>
      <c r="T645" s="1490"/>
    </row>
    <row r="646" spans="1:20" ht="12.75">
      <c r="A646" s="1491"/>
      <c r="B646" s="1491"/>
      <c r="C646" s="1491"/>
      <c r="D646" s="1491"/>
      <c r="E646" s="1491"/>
      <c r="F646" s="1491"/>
      <c r="G646" s="1491"/>
      <c r="H646" s="1491"/>
      <c r="I646" s="1493"/>
      <c r="J646" s="1493"/>
      <c r="K646" s="1493"/>
      <c r="L646" s="1493"/>
      <c r="M646" s="1493"/>
      <c r="N646" s="1493"/>
      <c r="O646" s="1493"/>
      <c r="P646" s="1493"/>
      <c r="Q646" s="1493"/>
      <c r="R646" s="1493"/>
      <c r="S646" s="1493"/>
      <c r="T646" s="1490"/>
    </row>
    <row r="647" spans="1:20" ht="12.75">
      <c r="A647" s="1491"/>
      <c r="B647" s="1491"/>
      <c r="C647" s="1491"/>
      <c r="D647" s="1491"/>
      <c r="E647" s="1491"/>
      <c r="F647" s="1491"/>
      <c r="G647" s="1491"/>
      <c r="H647" s="1491"/>
      <c r="I647" s="1493"/>
      <c r="J647" s="1493"/>
      <c r="K647" s="1493"/>
      <c r="L647" s="1493"/>
      <c r="M647" s="1493"/>
      <c r="N647" s="1493"/>
      <c r="O647" s="1493"/>
      <c r="P647" s="1493"/>
      <c r="Q647" s="1493"/>
      <c r="R647" s="1493"/>
      <c r="S647" s="1493"/>
      <c r="T647" s="1490"/>
    </row>
    <row r="648" spans="1:20" ht="12.75">
      <c r="A648" s="1491"/>
      <c r="B648" s="1491"/>
      <c r="C648" s="1491"/>
      <c r="D648" s="1491"/>
      <c r="E648" s="1491"/>
      <c r="F648" s="1491"/>
      <c r="G648" s="1491"/>
      <c r="H648" s="1491"/>
      <c r="I648" s="1493"/>
      <c r="J648" s="1493"/>
      <c r="K648" s="1493"/>
      <c r="L648" s="1493"/>
      <c r="M648" s="1493"/>
      <c r="N648" s="1493"/>
      <c r="O648" s="1493"/>
      <c r="P648" s="1493"/>
      <c r="Q648" s="1493"/>
      <c r="R648" s="1493"/>
      <c r="S648" s="1493"/>
      <c r="T648" s="1490"/>
    </row>
    <row r="649" spans="1:20" ht="12.75">
      <c r="A649" s="1491"/>
      <c r="B649" s="1491"/>
      <c r="C649" s="1491"/>
      <c r="D649" s="1491"/>
      <c r="E649" s="1491"/>
      <c r="F649" s="1491"/>
      <c r="G649" s="1491"/>
      <c r="H649" s="1491"/>
      <c r="I649" s="1493"/>
      <c r="J649" s="1493"/>
      <c r="K649" s="1493"/>
      <c r="L649" s="1493"/>
      <c r="M649" s="1493"/>
      <c r="N649" s="1493"/>
      <c r="O649" s="1493"/>
      <c r="P649" s="1493"/>
      <c r="Q649" s="1493"/>
      <c r="R649" s="1493"/>
      <c r="S649" s="1493"/>
      <c r="T649" s="1490"/>
    </row>
    <row r="650" spans="1:20" ht="12.75">
      <c r="A650" s="1491"/>
      <c r="B650" s="1491"/>
      <c r="C650" s="1491"/>
      <c r="D650" s="1491"/>
      <c r="E650" s="1491"/>
      <c r="F650" s="1491"/>
      <c r="G650" s="1491"/>
      <c r="H650" s="1491"/>
      <c r="I650" s="1493"/>
      <c r="J650" s="1493"/>
      <c r="K650" s="1493"/>
      <c r="L650" s="1493"/>
      <c r="M650" s="1493"/>
      <c r="N650" s="1493"/>
      <c r="O650" s="1493"/>
      <c r="P650" s="1493"/>
      <c r="Q650" s="1493"/>
      <c r="R650" s="1493"/>
      <c r="S650" s="1493"/>
      <c r="T650" s="1490"/>
    </row>
    <row r="651" spans="1:20" ht="12.75">
      <c r="A651" s="1491"/>
      <c r="B651" s="1491"/>
      <c r="C651" s="1491"/>
      <c r="D651" s="1491"/>
      <c r="E651" s="1491"/>
      <c r="F651" s="1491"/>
      <c r="G651" s="1491"/>
      <c r="H651" s="1491"/>
      <c r="I651" s="1493"/>
      <c r="J651" s="1493"/>
      <c r="K651" s="1493"/>
      <c r="L651" s="1493"/>
      <c r="M651" s="1493"/>
      <c r="N651" s="1493"/>
      <c r="O651" s="1493"/>
      <c r="P651" s="1493"/>
      <c r="Q651" s="1493"/>
      <c r="R651" s="1493"/>
      <c r="S651" s="1493"/>
      <c r="T651" s="1490"/>
    </row>
    <row r="652" spans="1:20" ht="12.75">
      <c r="A652" s="1491"/>
      <c r="B652" s="1491"/>
      <c r="C652" s="1491"/>
      <c r="D652" s="1491"/>
      <c r="E652" s="1491"/>
      <c r="F652" s="1491"/>
      <c r="G652" s="1491"/>
      <c r="H652" s="1491"/>
      <c r="I652" s="1493"/>
      <c r="J652" s="1493"/>
      <c r="K652" s="1493"/>
      <c r="L652" s="1493"/>
      <c r="M652" s="1493"/>
      <c r="N652" s="1493"/>
      <c r="O652" s="1493"/>
      <c r="P652" s="1493"/>
      <c r="Q652" s="1493"/>
      <c r="R652" s="1493"/>
      <c r="S652" s="1493"/>
      <c r="T652" s="1490"/>
    </row>
    <row r="653" spans="1:20" ht="12.75">
      <c r="A653" s="1491"/>
      <c r="B653" s="1491"/>
      <c r="C653" s="1491"/>
      <c r="D653" s="1491"/>
      <c r="E653" s="1491"/>
      <c r="F653" s="1491"/>
      <c r="G653" s="1491"/>
      <c r="H653" s="1491"/>
      <c r="I653" s="1493"/>
      <c r="J653" s="1493"/>
      <c r="K653" s="1493"/>
      <c r="L653" s="1493"/>
      <c r="M653" s="1493"/>
      <c r="N653" s="1493"/>
      <c r="O653" s="1493"/>
      <c r="P653" s="1493"/>
      <c r="Q653" s="1493"/>
      <c r="R653" s="1493"/>
      <c r="S653" s="1493"/>
      <c r="T653" s="1490"/>
    </row>
    <row r="654" spans="1:20" ht="12.75">
      <c r="A654" s="1491"/>
      <c r="B654" s="1491"/>
      <c r="C654" s="1491"/>
      <c r="D654" s="1491"/>
      <c r="E654" s="1491"/>
      <c r="F654" s="1491"/>
      <c r="G654" s="1491"/>
      <c r="H654" s="1491"/>
      <c r="I654" s="1493"/>
      <c r="J654" s="1493"/>
      <c r="K654" s="1493"/>
      <c r="L654" s="1493"/>
      <c r="M654" s="1493"/>
      <c r="N654" s="1493"/>
      <c r="O654" s="1493"/>
      <c r="P654" s="1493"/>
      <c r="Q654" s="1493"/>
      <c r="R654" s="1493"/>
      <c r="S654" s="1493"/>
      <c r="T654" s="1490"/>
    </row>
    <row r="655" spans="1:20" ht="12.75">
      <c r="A655" s="1491"/>
      <c r="B655" s="1491"/>
      <c r="C655" s="1491"/>
      <c r="D655" s="1491"/>
      <c r="E655" s="1491"/>
      <c r="F655" s="1491"/>
      <c r="G655" s="1491"/>
      <c r="H655" s="1491"/>
      <c r="I655" s="1493"/>
      <c r="J655" s="1493"/>
      <c r="K655" s="1493"/>
      <c r="L655" s="1493"/>
      <c r="M655" s="1493"/>
      <c r="N655" s="1493"/>
      <c r="O655" s="1493"/>
      <c r="P655" s="1493"/>
      <c r="Q655" s="1493"/>
      <c r="R655" s="1493"/>
      <c r="S655" s="1493"/>
      <c r="T655" s="1490"/>
    </row>
    <row r="656" spans="1:20" ht="12.75">
      <c r="A656" s="1491"/>
      <c r="B656" s="1491"/>
      <c r="C656" s="1491"/>
      <c r="D656" s="1491"/>
      <c r="E656" s="1491"/>
      <c r="F656" s="1491"/>
      <c r="G656" s="1491"/>
      <c r="H656" s="1491"/>
      <c r="I656" s="1493"/>
      <c r="J656" s="1493"/>
      <c r="K656" s="1493"/>
      <c r="L656" s="1493"/>
      <c r="M656" s="1493"/>
      <c r="N656" s="1493"/>
      <c r="O656" s="1493"/>
      <c r="P656" s="1493"/>
      <c r="Q656" s="1493"/>
      <c r="R656" s="1493"/>
      <c r="S656" s="1493"/>
      <c r="T656" s="1490"/>
    </row>
    <row r="657" spans="1:20" ht="12.75">
      <c r="A657" s="1491"/>
      <c r="B657" s="1491"/>
      <c r="C657" s="1491"/>
      <c r="D657" s="1491"/>
      <c r="E657" s="1491"/>
      <c r="F657" s="1491"/>
      <c r="G657" s="1491"/>
      <c r="H657" s="1491"/>
      <c r="I657" s="1493"/>
      <c r="J657" s="1493"/>
      <c r="K657" s="1493"/>
      <c r="L657" s="1493"/>
      <c r="M657" s="1493"/>
      <c r="N657" s="1493"/>
      <c r="O657" s="1493"/>
      <c r="P657" s="1493"/>
      <c r="Q657" s="1493"/>
      <c r="R657" s="1493"/>
      <c r="S657" s="1493"/>
      <c r="T657" s="1490"/>
    </row>
    <row r="658" spans="1:20" ht="12.75">
      <c r="A658" s="1491"/>
      <c r="B658" s="1491"/>
      <c r="C658" s="1491"/>
      <c r="D658" s="1491"/>
      <c r="E658" s="1491"/>
      <c r="F658" s="1491"/>
      <c r="G658" s="1491"/>
      <c r="H658" s="1491"/>
      <c r="I658" s="1493"/>
      <c r="J658" s="1493"/>
      <c r="K658" s="1493"/>
      <c r="L658" s="1493"/>
      <c r="M658" s="1493"/>
      <c r="N658" s="1493"/>
      <c r="O658" s="1493"/>
      <c r="P658" s="1493"/>
      <c r="Q658" s="1493"/>
      <c r="R658" s="1493"/>
      <c r="S658" s="1493"/>
      <c r="T658" s="1490"/>
    </row>
    <row r="659" spans="1:20" ht="12.75">
      <c r="A659" s="1491"/>
      <c r="B659" s="1491"/>
      <c r="C659" s="1491"/>
      <c r="D659" s="1491"/>
      <c r="E659" s="1491"/>
      <c r="F659" s="1491"/>
      <c r="G659" s="1491"/>
      <c r="H659" s="1491"/>
      <c r="I659" s="1493"/>
      <c r="J659" s="1493"/>
      <c r="K659" s="1493"/>
      <c r="L659" s="1493"/>
      <c r="M659" s="1493"/>
      <c r="N659" s="1493"/>
      <c r="O659" s="1493"/>
      <c r="P659" s="1493"/>
      <c r="Q659" s="1493"/>
      <c r="R659" s="1493"/>
      <c r="S659" s="1493"/>
      <c r="T659" s="1490"/>
    </row>
    <row r="660" spans="1:20" ht="12.75">
      <c r="A660" s="1491"/>
      <c r="B660" s="1491"/>
      <c r="C660" s="1491"/>
      <c r="D660" s="1491"/>
      <c r="E660" s="1491"/>
      <c r="F660" s="1491"/>
      <c r="G660" s="1491"/>
      <c r="H660" s="1491"/>
      <c r="I660" s="1493"/>
      <c r="J660" s="1493"/>
      <c r="K660" s="1493"/>
      <c r="L660" s="1493"/>
      <c r="M660" s="1493"/>
      <c r="N660" s="1493"/>
      <c r="O660" s="1493"/>
      <c r="P660" s="1493"/>
      <c r="Q660" s="1493"/>
      <c r="R660" s="1493"/>
      <c r="S660" s="1493"/>
      <c r="T660" s="1490"/>
    </row>
    <row r="661" spans="1:20" ht="12.75">
      <c r="A661" s="1491"/>
      <c r="B661" s="1491"/>
      <c r="C661" s="1491"/>
      <c r="D661" s="1491"/>
      <c r="E661" s="1491"/>
      <c r="F661" s="1491"/>
      <c r="G661" s="1491"/>
      <c r="H661" s="1491"/>
      <c r="I661" s="1491"/>
      <c r="J661" s="1491"/>
      <c r="K661" s="1491"/>
      <c r="L661" s="1491"/>
      <c r="M661" s="1491"/>
      <c r="N661" s="1491"/>
      <c r="O661" s="1491"/>
      <c r="P661" s="1491"/>
      <c r="Q661" s="1491"/>
      <c r="R661" s="1491"/>
      <c r="S661" s="1491"/>
      <c r="T661" s="1489"/>
    </row>
    <row r="662" spans="1:20" ht="12.75">
      <c r="A662" s="1491"/>
      <c r="B662" s="1491"/>
      <c r="C662" s="1491"/>
      <c r="D662" s="1491"/>
      <c r="E662" s="1491"/>
      <c r="F662" s="1491"/>
      <c r="G662" s="1491"/>
      <c r="H662" s="1491"/>
      <c r="I662" s="1491"/>
      <c r="J662" s="1491"/>
      <c r="K662" s="1491"/>
      <c r="L662" s="1491"/>
      <c r="M662" s="1491"/>
      <c r="N662" s="1491"/>
      <c r="O662" s="1491"/>
      <c r="P662" s="1491"/>
      <c r="Q662" s="1491"/>
      <c r="R662" s="1491"/>
      <c r="S662" s="1491"/>
      <c r="T662" s="1489"/>
    </row>
    <row r="663" spans="1:20" ht="12.75">
      <c r="A663" s="1491"/>
      <c r="B663" s="1491"/>
      <c r="C663" s="1491"/>
      <c r="D663" s="1491"/>
      <c r="E663" s="1491"/>
      <c r="F663" s="1491"/>
      <c r="G663" s="1491"/>
      <c r="H663" s="1491"/>
      <c r="I663" s="1491"/>
      <c r="J663" s="1491"/>
      <c r="K663" s="1491"/>
      <c r="L663" s="1491"/>
      <c r="M663" s="1491"/>
      <c r="N663" s="1491"/>
      <c r="O663" s="1491"/>
      <c r="P663" s="1491"/>
      <c r="Q663" s="1491"/>
      <c r="R663" s="1491"/>
      <c r="S663" s="1491"/>
      <c r="T663" s="1489"/>
    </row>
    <row r="664" spans="1:20" ht="12.75">
      <c r="A664" s="1491"/>
      <c r="B664" s="1491"/>
      <c r="C664" s="1491"/>
      <c r="D664" s="1491"/>
      <c r="E664" s="1491"/>
      <c r="F664" s="1491"/>
      <c r="G664" s="1491"/>
      <c r="H664" s="1491"/>
      <c r="I664" s="1491"/>
      <c r="J664" s="1491"/>
      <c r="K664" s="1491"/>
      <c r="L664" s="1491"/>
      <c r="M664" s="1491"/>
      <c r="N664" s="1491"/>
      <c r="O664" s="1491"/>
      <c r="P664" s="1491"/>
      <c r="Q664" s="1491"/>
      <c r="R664" s="1491"/>
      <c r="S664" s="1491"/>
      <c r="T664" s="1489"/>
    </row>
    <row r="665" spans="1:20" ht="12.75">
      <c r="A665" s="1491"/>
      <c r="B665" s="1491"/>
      <c r="C665" s="1491"/>
      <c r="D665" s="1491"/>
      <c r="E665" s="1491"/>
      <c r="F665" s="1491"/>
      <c r="G665" s="1491"/>
      <c r="H665" s="1491"/>
      <c r="I665" s="1491"/>
      <c r="J665" s="1491"/>
      <c r="K665" s="1491"/>
      <c r="L665" s="1491"/>
      <c r="M665" s="1491"/>
      <c r="N665" s="1491"/>
      <c r="O665" s="1491"/>
      <c r="P665" s="1491"/>
      <c r="Q665" s="1491"/>
      <c r="R665" s="1491"/>
      <c r="S665" s="1491"/>
      <c r="T665" s="1489"/>
    </row>
    <row r="666" spans="1:20" ht="12.75">
      <c r="A666" s="1491"/>
      <c r="B666" s="1491"/>
      <c r="C666" s="1491"/>
      <c r="D666" s="1491"/>
      <c r="E666" s="1491"/>
      <c r="F666" s="1491"/>
      <c r="G666" s="1491"/>
      <c r="H666" s="1491"/>
      <c r="I666" s="1491"/>
      <c r="J666" s="1491"/>
      <c r="K666" s="1491"/>
      <c r="L666" s="1491"/>
      <c r="M666" s="1491"/>
      <c r="N666" s="1491"/>
      <c r="O666" s="1491"/>
      <c r="P666" s="1491"/>
      <c r="Q666" s="1491"/>
      <c r="R666" s="1491"/>
      <c r="S666" s="1491"/>
      <c r="T666" s="1489"/>
    </row>
    <row r="667" spans="1:20" ht="12.75">
      <c r="A667" s="1491"/>
      <c r="B667" s="1491"/>
      <c r="C667" s="1491"/>
      <c r="D667" s="1491"/>
      <c r="E667" s="1491"/>
      <c r="F667" s="1491"/>
      <c r="G667" s="1491"/>
      <c r="H667" s="1491"/>
      <c r="I667" s="1491"/>
      <c r="J667" s="1491"/>
      <c r="K667" s="1491"/>
      <c r="L667" s="1491"/>
      <c r="M667" s="1491"/>
      <c r="N667" s="1491"/>
      <c r="O667" s="1491"/>
      <c r="P667" s="1491"/>
      <c r="Q667" s="1491"/>
      <c r="R667" s="1491"/>
      <c r="S667" s="1491"/>
      <c r="T667" s="1489"/>
    </row>
    <row r="668" spans="1:20" ht="12.75">
      <c r="A668" s="1491"/>
      <c r="B668" s="1491"/>
      <c r="C668" s="1491"/>
      <c r="D668" s="1491"/>
      <c r="E668" s="1491"/>
      <c r="F668" s="1491"/>
      <c r="G668" s="1491"/>
      <c r="H668" s="1491"/>
      <c r="I668" s="1491"/>
      <c r="J668" s="1491"/>
      <c r="K668" s="1491"/>
      <c r="L668" s="1491"/>
      <c r="M668" s="1491"/>
      <c r="N668" s="1491"/>
      <c r="O668" s="1491"/>
      <c r="P668" s="1491"/>
      <c r="Q668" s="1491"/>
      <c r="R668" s="1491"/>
      <c r="S668" s="1491"/>
      <c r="T668" s="1489"/>
    </row>
    <row r="669" spans="1:20" ht="12.75">
      <c r="A669" s="1491"/>
      <c r="B669" s="1491"/>
      <c r="C669" s="1491"/>
      <c r="D669" s="1491"/>
      <c r="E669" s="1491"/>
      <c r="F669" s="1491"/>
      <c r="G669" s="1491"/>
      <c r="H669" s="1491"/>
      <c r="I669" s="1491"/>
      <c r="J669" s="1491"/>
      <c r="K669" s="1491"/>
      <c r="L669" s="1491"/>
      <c r="M669" s="1491"/>
      <c r="N669" s="1491"/>
      <c r="O669" s="1491"/>
      <c r="P669" s="1491"/>
      <c r="Q669" s="1491"/>
      <c r="R669" s="1491"/>
      <c r="S669" s="1491"/>
      <c r="T669" s="1489"/>
    </row>
    <row r="670" spans="1:20" ht="12.75">
      <c r="A670" s="1491"/>
      <c r="B670" s="1491"/>
      <c r="C670" s="1491"/>
      <c r="D670" s="1491"/>
      <c r="E670" s="1491"/>
      <c r="F670" s="1491"/>
      <c r="G670" s="1491"/>
      <c r="H670" s="1491"/>
      <c r="I670" s="1491"/>
      <c r="J670" s="1491"/>
      <c r="K670" s="1491"/>
      <c r="L670" s="1491"/>
      <c r="M670" s="1491"/>
      <c r="N670" s="1491"/>
      <c r="O670" s="1491"/>
      <c r="P670" s="1491"/>
      <c r="Q670" s="1491"/>
      <c r="R670" s="1491"/>
      <c r="S670" s="1491"/>
      <c r="T670" s="1489"/>
    </row>
    <row r="671" spans="1:20" ht="12.75">
      <c r="A671" s="1491"/>
      <c r="B671" s="1491"/>
      <c r="C671" s="1491"/>
      <c r="D671" s="1491"/>
      <c r="E671" s="1491"/>
      <c r="F671" s="1491"/>
      <c r="G671" s="1491"/>
      <c r="H671" s="1491"/>
      <c r="I671" s="1491"/>
      <c r="J671" s="1491"/>
      <c r="K671" s="1491"/>
      <c r="L671" s="1491"/>
      <c r="M671" s="1491"/>
      <c r="N671" s="1491"/>
      <c r="O671" s="1491"/>
      <c r="P671" s="1491"/>
      <c r="Q671" s="1491"/>
      <c r="R671" s="1491"/>
      <c r="S671" s="1491"/>
      <c r="T671" s="1489"/>
    </row>
    <row r="672" spans="1:20" ht="12.75">
      <c r="A672" s="1491"/>
      <c r="B672" s="1491"/>
      <c r="C672" s="1491"/>
      <c r="D672" s="1491"/>
      <c r="E672" s="1491"/>
      <c r="F672" s="1491"/>
      <c r="G672" s="1491"/>
      <c r="H672" s="1491"/>
      <c r="I672" s="1491"/>
      <c r="J672" s="1491"/>
      <c r="K672" s="1491"/>
      <c r="L672" s="1491"/>
      <c r="M672" s="1491"/>
      <c r="N672" s="1491"/>
      <c r="O672" s="1491"/>
      <c r="P672" s="1491"/>
      <c r="Q672" s="1491"/>
      <c r="R672" s="1491"/>
      <c r="S672" s="1491"/>
      <c r="T672" s="1489"/>
    </row>
    <row r="673" spans="1:20" ht="12.75">
      <c r="A673" s="1491"/>
      <c r="B673" s="1491"/>
      <c r="C673" s="1491"/>
      <c r="D673" s="1491"/>
      <c r="E673" s="1491"/>
      <c r="F673" s="1491"/>
      <c r="G673" s="1491"/>
      <c r="H673" s="1491"/>
      <c r="I673" s="1491"/>
      <c r="J673" s="1491"/>
      <c r="K673" s="1491"/>
      <c r="L673" s="1491"/>
      <c r="M673" s="1491"/>
      <c r="N673" s="1491"/>
      <c r="O673" s="1491"/>
      <c r="P673" s="1491"/>
      <c r="Q673" s="1491"/>
      <c r="R673" s="1491"/>
      <c r="S673" s="1491"/>
      <c r="T673" s="1489"/>
    </row>
    <row r="674" spans="1:20" ht="12.75">
      <c r="A674" s="1491"/>
      <c r="B674" s="1491"/>
      <c r="C674" s="1491"/>
      <c r="D674" s="1491"/>
      <c r="E674" s="1491"/>
      <c r="F674" s="1491"/>
      <c r="G674" s="1491"/>
      <c r="H674" s="1491"/>
      <c r="I674" s="1491"/>
      <c r="J674" s="1491"/>
      <c r="K674" s="1491"/>
      <c r="L674" s="1491"/>
      <c r="M674" s="1491"/>
      <c r="N674" s="1491"/>
      <c r="O674" s="1491"/>
      <c r="P674" s="1491"/>
      <c r="Q674" s="1491"/>
      <c r="R674" s="1491"/>
      <c r="S674" s="1491"/>
      <c r="T674" s="1489"/>
    </row>
    <row r="675" spans="1:20" ht="12.75">
      <c r="A675" s="1491"/>
      <c r="B675" s="1491"/>
      <c r="C675" s="1491"/>
      <c r="D675" s="1491"/>
      <c r="E675" s="1491"/>
      <c r="F675" s="1491"/>
      <c r="G675" s="1491"/>
      <c r="H675" s="1491"/>
      <c r="I675" s="1491"/>
      <c r="J675" s="1491"/>
      <c r="K675" s="1491"/>
      <c r="L675" s="1491"/>
      <c r="M675" s="1491"/>
      <c r="N675" s="1491"/>
      <c r="O675" s="1491"/>
      <c r="P675" s="1491"/>
      <c r="Q675" s="1491"/>
      <c r="R675" s="1491"/>
      <c r="S675" s="1491"/>
      <c r="T675" s="1489"/>
    </row>
    <row r="676" spans="1:20" ht="12.75">
      <c r="A676" s="1491"/>
      <c r="B676" s="1491"/>
      <c r="C676" s="1491"/>
      <c r="D676" s="1491"/>
      <c r="E676" s="1491"/>
      <c r="F676" s="1491"/>
      <c r="G676" s="1491"/>
      <c r="H676" s="1491"/>
      <c r="I676" s="1491"/>
      <c r="J676" s="1491"/>
      <c r="K676" s="1491"/>
      <c r="L676" s="1491"/>
      <c r="M676" s="1491"/>
      <c r="N676" s="1491"/>
      <c r="O676" s="1491"/>
      <c r="P676" s="1491"/>
      <c r="Q676" s="1491"/>
      <c r="R676" s="1491"/>
      <c r="S676" s="1491"/>
      <c r="T676" s="1489"/>
    </row>
    <row r="677" spans="1:20" ht="12.75">
      <c r="A677" s="1491"/>
      <c r="B677" s="1491"/>
      <c r="C677" s="1491"/>
      <c r="D677" s="1491"/>
      <c r="E677" s="1491"/>
      <c r="F677" s="1491"/>
      <c r="G677" s="1491"/>
      <c r="H677" s="1491"/>
      <c r="I677" s="1491"/>
      <c r="J677" s="1491"/>
      <c r="K677" s="1491"/>
      <c r="L677" s="1491"/>
      <c r="M677" s="1491"/>
      <c r="N677" s="1491"/>
      <c r="O677" s="1491"/>
      <c r="P677" s="1491"/>
      <c r="Q677" s="1491"/>
      <c r="R677" s="1491"/>
      <c r="S677" s="1491"/>
      <c r="T677" s="1489"/>
    </row>
    <row r="678" spans="1:20" ht="12.75">
      <c r="A678" s="1491"/>
      <c r="B678" s="1491"/>
      <c r="C678" s="1491"/>
      <c r="D678" s="1491"/>
      <c r="E678" s="1491"/>
      <c r="F678" s="1491"/>
      <c r="G678" s="1491"/>
      <c r="H678" s="1491"/>
      <c r="I678" s="1491"/>
      <c r="J678" s="1491"/>
      <c r="K678" s="1491"/>
      <c r="L678" s="1491"/>
      <c r="M678" s="1491"/>
      <c r="N678" s="1491"/>
      <c r="O678" s="1491"/>
      <c r="P678" s="1491"/>
      <c r="Q678" s="1491"/>
      <c r="R678" s="1491"/>
      <c r="S678" s="1491"/>
      <c r="T678" s="1489"/>
    </row>
    <row r="679" spans="1:20" ht="12.75">
      <c r="A679" s="1491"/>
      <c r="B679" s="1491"/>
      <c r="C679" s="1491"/>
      <c r="D679" s="1491"/>
      <c r="E679" s="1491"/>
      <c r="F679" s="1491"/>
      <c r="G679" s="1491"/>
      <c r="H679" s="1491"/>
      <c r="I679" s="1491"/>
      <c r="J679" s="1491"/>
      <c r="K679" s="1491"/>
      <c r="L679" s="1491"/>
      <c r="M679" s="1491"/>
      <c r="N679" s="1491"/>
      <c r="O679" s="1491"/>
      <c r="P679" s="1491"/>
      <c r="Q679" s="1491"/>
      <c r="R679" s="1491"/>
      <c r="S679" s="1491"/>
      <c r="T679" s="1489"/>
    </row>
    <row r="680" spans="1:20" ht="12.75">
      <c r="A680" s="1491"/>
      <c r="B680" s="1491"/>
      <c r="C680" s="1491"/>
      <c r="D680" s="1491"/>
      <c r="E680" s="1491"/>
      <c r="F680" s="1491"/>
      <c r="G680" s="1491"/>
      <c r="H680" s="1491"/>
      <c r="I680" s="1491"/>
      <c r="J680" s="1491"/>
      <c r="K680" s="1491"/>
      <c r="L680" s="1491"/>
      <c r="M680" s="1491"/>
      <c r="N680" s="1491"/>
      <c r="O680" s="1491"/>
      <c r="P680" s="1491"/>
      <c r="Q680" s="1491"/>
      <c r="R680" s="1491"/>
      <c r="S680" s="1491"/>
      <c r="T680" s="1489"/>
    </row>
    <row r="681" spans="1:20" ht="12.75">
      <c r="A681" s="1491"/>
      <c r="B681" s="1491"/>
      <c r="C681" s="1491"/>
      <c r="D681" s="1491"/>
      <c r="E681" s="1491"/>
      <c r="F681" s="1491"/>
      <c r="G681" s="1491"/>
      <c r="H681" s="1491"/>
      <c r="I681" s="1491"/>
      <c r="J681" s="1491"/>
      <c r="K681" s="1491"/>
      <c r="L681" s="1491"/>
      <c r="M681" s="1491"/>
      <c r="N681" s="1491"/>
      <c r="O681" s="1491"/>
      <c r="P681" s="1491"/>
      <c r="Q681" s="1491"/>
      <c r="R681" s="1491"/>
      <c r="S681" s="1491"/>
      <c r="T681" s="1489"/>
    </row>
    <row r="682" spans="1:20" ht="12.75">
      <c r="A682" s="1491"/>
      <c r="B682" s="1491"/>
      <c r="C682" s="1491"/>
      <c r="D682" s="1491"/>
      <c r="E682" s="1491"/>
      <c r="F682" s="1491"/>
      <c r="G682" s="1491"/>
      <c r="H682" s="1491"/>
      <c r="I682" s="1491"/>
      <c r="J682" s="1491"/>
      <c r="K682" s="1491"/>
      <c r="L682" s="1491"/>
      <c r="M682" s="1491"/>
      <c r="N682" s="1491"/>
      <c r="O682" s="1491"/>
      <c r="P682" s="1491"/>
      <c r="Q682" s="1491"/>
      <c r="R682" s="1491"/>
      <c r="S682" s="1491"/>
      <c r="T682" s="1489"/>
    </row>
    <row r="683" spans="1:20" ht="12.75">
      <c r="A683" s="1491"/>
      <c r="B683" s="1491"/>
      <c r="C683" s="1491"/>
      <c r="D683" s="1491"/>
      <c r="E683" s="1491"/>
      <c r="F683" s="1491"/>
      <c r="G683" s="1491"/>
      <c r="H683" s="1491"/>
      <c r="I683" s="1491"/>
      <c r="J683" s="1491"/>
      <c r="K683" s="1491"/>
      <c r="L683" s="1491"/>
      <c r="M683" s="1491"/>
      <c r="N683" s="1491"/>
      <c r="O683" s="1491"/>
      <c r="P683" s="1491"/>
      <c r="Q683" s="1491"/>
      <c r="R683" s="1491"/>
      <c r="S683" s="1491"/>
      <c r="T683" s="1489"/>
    </row>
    <row r="684" spans="1:20" ht="12.75">
      <c r="A684" s="1491"/>
      <c r="B684" s="1491"/>
      <c r="C684" s="1491"/>
      <c r="D684" s="1491"/>
      <c r="E684" s="1491"/>
      <c r="F684" s="1491"/>
      <c r="G684" s="1491"/>
      <c r="H684" s="1491"/>
      <c r="I684" s="1491"/>
      <c r="J684" s="1491"/>
      <c r="K684" s="1491"/>
      <c r="L684" s="1491"/>
      <c r="M684" s="1491"/>
      <c r="N684" s="1491"/>
      <c r="O684" s="1491"/>
      <c r="P684" s="1491"/>
      <c r="Q684" s="1491"/>
      <c r="R684" s="1491"/>
      <c r="S684" s="1491"/>
      <c r="T684" s="1489"/>
    </row>
    <row r="685" spans="1:20" ht="12.75">
      <c r="A685" s="1491"/>
      <c r="B685" s="1491"/>
      <c r="C685" s="1491"/>
      <c r="D685" s="1491"/>
      <c r="E685" s="1491"/>
      <c r="F685" s="1491"/>
      <c r="G685" s="1491"/>
      <c r="H685" s="1491"/>
      <c r="I685" s="1491"/>
      <c r="J685" s="1491"/>
      <c r="K685" s="1491"/>
      <c r="L685" s="1491"/>
      <c r="M685" s="1491"/>
      <c r="N685" s="1491"/>
      <c r="O685" s="1491"/>
      <c r="P685" s="1491"/>
      <c r="Q685" s="1491"/>
      <c r="R685" s="1491"/>
      <c r="S685" s="1491"/>
      <c r="T685" s="1489"/>
    </row>
    <row r="686" spans="1:20" ht="12.75">
      <c r="A686" s="1491"/>
      <c r="B686" s="1491"/>
      <c r="C686" s="1491"/>
      <c r="D686" s="1491"/>
      <c r="E686" s="1491"/>
      <c r="F686" s="1491"/>
      <c r="G686" s="1491"/>
      <c r="H686" s="1491"/>
      <c r="I686" s="1491"/>
      <c r="J686" s="1491"/>
      <c r="K686" s="1491"/>
      <c r="L686" s="1491"/>
      <c r="M686" s="1491"/>
      <c r="N686" s="1491"/>
      <c r="O686" s="1491"/>
      <c r="P686" s="1491"/>
      <c r="Q686" s="1491"/>
      <c r="R686" s="1491"/>
      <c r="S686" s="1491"/>
      <c r="T686" s="1489"/>
    </row>
    <row r="687" spans="1:20" ht="12.75">
      <c r="A687" s="1491"/>
      <c r="B687" s="1491"/>
      <c r="C687" s="1491"/>
      <c r="D687" s="1491"/>
      <c r="E687" s="1491"/>
      <c r="F687" s="1491"/>
      <c r="G687" s="1491"/>
      <c r="H687" s="1491"/>
      <c r="I687" s="1491"/>
      <c r="J687" s="1491"/>
      <c r="K687" s="1491"/>
      <c r="L687" s="1491"/>
      <c r="M687" s="1491"/>
      <c r="N687" s="1491"/>
      <c r="O687" s="1491"/>
      <c r="P687" s="1491"/>
      <c r="Q687" s="1491"/>
      <c r="R687" s="1491"/>
      <c r="S687" s="1491"/>
      <c r="T687" s="1489"/>
    </row>
    <row r="688" spans="1:20" ht="12.75">
      <c r="A688" s="1491"/>
      <c r="B688" s="1491"/>
      <c r="C688" s="1491"/>
      <c r="D688" s="1491"/>
      <c r="E688" s="1491"/>
      <c r="F688" s="1491"/>
      <c r="G688" s="1491"/>
      <c r="H688" s="1491"/>
      <c r="I688" s="1491"/>
      <c r="J688" s="1491"/>
      <c r="K688" s="1491"/>
      <c r="L688" s="1491"/>
      <c r="M688" s="1491"/>
      <c r="N688" s="1491"/>
      <c r="O688" s="1491"/>
      <c r="P688" s="1491"/>
      <c r="Q688" s="1491"/>
      <c r="R688" s="1491"/>
      <c r="S688" s="1491"/>
      <c r="T688" s="1489"/>
    </row>
    <row r="689" spans="1:20" ht="12.75">
      <c r="A689" s="1491"/>
      <c r="B689" s="1491"/>
      <c r="C689" s="1491"/>
      <c r="D689" s="1491"/>
      <c r="E689" s="1491"/>
      <c r="F689" s="1491"/>
      <c r="G689" s="1491"/>
      <c r="H689" s="1491"/>
      <c r="I689" s="1491"/>
      <c r="J689" s="1491"/>
      <c r="K689" s="1491"/>
      <c r="L689" s="1491"/>
      <c r="M689" s="1491"/>
      <c r="N689" s="1491"/>
      <c r="O689" s="1491"/>
      <c r="P689" s="1491"/>
      <c r="Q689" s="1491"/>
      <c r="R689" s="1491"/>
      <c r="S689" s="1491"/>
      <c r="T689" s="1489"/>
    </row>
    <row r="690" spans="1:20" ht="12.75">
      <c r="A690" s="1491"/>
      <c r="B690" s="1491"/>
      <c r="C690" s="1491"/>
      <c r="D690" s="1491"/>
      <c r="E690" s="1491"/>
      <c r="F690" s="1491"/>
      <c r="G690" s="1491"/>
      <c r="H690" s="1491"/>
      <c r="I690" s="1491"/>
      <c r="J690" s="1491"/>
      <c r="K690" s="1491"/>
      <c r="L690" s="1491"/>
      <c r="M690" s="1491"/>
      <c r="N690" s="1491"/>
      <c r="O690" s="1491"/>
      <c r="P690" s="1491"/>
      <c r="Q690" s="1491"/>
      <c r="R690" s="1491"/>
      <c r="S690" s="1491"/>
      <c r="T690" s="1489"/>
    </row>
    <row r="691" spans="1:20" ht="12.75">
      <c r="A691" s="1491"/>
      <c r="B691" s="1491"/>
      <c r="C691" s="1491"/>
      <c r="D691" s="1491"/>
      <c r="E691" s="1491"/>
      <c r="F691" s="1491"/>
      <c r="G691" s="1491"/>
      <c r="H691" s="1491"/>
      <c r="I691" s="1491"/>
      <c r="J691" s="1491"/>
      <c r="K691" s="1491"/>
      <c r="L691" s="1491"/>
      <c r="M691" s="1491"/>
      <c r="N691" s="1491"/>
      <c r="O691" s="1491"/>
      <c r="P691" s="1491"/>
      <c r="Q691" s="1491"/>
      <c r="R691" s="1491"/>
      <c r="S691" s="1491"/>
      <c r="T691" s="1489"/>
    </row>
    <row r="692" spans="1:20" ht="12.75">
      <c r="A692" s="1491"/>
      <c r="B692" s="1491"/>
      <c r="C692" s="1491"/>
      <c r="D692" s="1491"/>
      <c r="E692" s="1491"/>
      <c r="F692" s="1491"/>
      <c r="G692" s="1491"/>
      <c r="H692" s="1491"/>
      <c r="I692" s="1491"/>
      <c r="J692" s="1491"/>
      <c r="K692" s="1491"/>
      <c r="L692" s="1491"/>
      <c r="M692" s="1491"/>
      <c r="N692" s="1491"/>
      <c r="O692" s="1491"/>
      <c r="P692" s="1491"/>
      <c r="Q692" s="1491"/>
      <c r="R692" s="1491"/>
      <c r="S692" s="1491"/>
      <c r="T692" s="1489"/>
    </row>
    <row r="693" spans="1:20" ht="12.75">
      <c r="A693" s="1491"/>
      <c r="B693" s="1491"/>
      <c r="C693" s="1491"/>
      <c r="D693" s="1491"/>
      <c r="E693" s="1491"/>
      <c r="F693" s="1491"/>
      <c r="G693" s="1491"/>
      <c r="H693" s="1491"/>
      <c r="I693" s="1491"/>
      <c r="J693" s="1491"/>
      <c r="K693" s="1491"/>
      <c r="L693" s="1491"/>
      <c r="M693" s="1491"/>
      <c r="N693" s="1491"/>
      <c r="O693" s="1491"/>
      <c r="P693" s="1491"/>
      <c r="Q693" s="1491"/>
      <c r="R693" s="1491"/>
      <c r="S693" s="1491"/>
      <c r="T693" s="1489"/>
    </row>
    <row r="694" spans="1:20" ht="12.75">
      <c r="A694" s="1491"/>
      <c r="B694" s="1491"/>
      <c r="C694" s="1491"/>
      <c r="D694" s="1491"/>
      <c r="E694" s="1491"/>
      <c r="F694" s="1491"/>
      <c r="G694" s="1491"/>
      <c r="H694" s="1491"/>
      <c r="I694" s="1491"/>
      <c r="J694" s="1491"/>
      <c r="K694" s="1491"/>
      <c r="L694" s="1491"/>
      <c r="M694" s="1491"/>
      <c r="N694" s="1491"/>
      <c r="O694" s="1491"/>
      <c r="P694" s="1491"/>
      <c r="Q694" s="1491"/>
      <c r="R694" s="1491"/>
      <c r="S694" s="1491"/>
      <c r="T694" s="1489"/>
    </row>
    <row r="695" spans="1:20" ht="12.75">
      <c r="A695" s="1491"/>
      <c r="B695" s="1491"/>
      <c r="C695" s="1491"/>
      <c r="D695" s="1491"/>
      <c r="E695" s="1491"/>
      <c r="F695" s="1491"/>
      <c r="G695" s="1491"/>
      <c r="H695" s="1491"/>
      <c r="I695" s="1491"/>
      <c r="J695" s="1491"/>
      <c r="K695" s="1491"/>
      <c r="L695" s="1491"/>
      <c r="M695" s="1491"/>
      <c r="N695" s="1491"/>
      <c r="O695" s="1491"/>
      <c r="P695" s="1491"/>
      <c r="Q695" s="1491"/>
      <c r="R695" s="1491"/>
      <c r="S695" s="1491"/>
      <c r="T695" s="1489"/>
    </row>
    <row r="696" spans="1:20" ht="12.75">
      <c r="A696" s="1491"/>
      <c r="B696" s="1491"/>
      <c r="C696" s="1491"/>
      <c r="D696" s="1491"/>
      <c r="E696" s="1491"/>
      <c r="F696" s="1491"/>
      <c r="G696" s="1491"/>
      <c r="H696" s="1491"/>
      <c r="I696" s="1491"/>
      <c r="J696" s="1491"/>
      <c r="K696" s="1491"/>
      <c r="L696" s="1491"/>
      <c r="M696" s="1491"/>
      <c r="N696" s="1491"/>
      <c r="O696" s="1491"/>
      <c r="P696" s="1491"/>
      <c r="Q696" s="1491"/>
      <c r="R696" s="1491"/>
      <c r="S696" s="1491"/>
      <c r="T696" s="1489"/>
    </row>
    <row r="697" spans="1:20" ht="12.75">
      <c r="A697" s="1491"/>
      <c r="B697" s="1491"/>
      <c r="C697" s="1491"/>
      <c r="D697" s="1491"/>
      <c r="E697" s="1491"/>
      <c r="F697" s="1491"/>
      <c r="G697" s="1491"/>
      <c r="H697" s="1491"/>
      <c r="I697" s="1491"/>
      <c r="J697" s="1491"/>
      <c r="K697" s="1491"/>
      <c r="L697" s="1491"/>
      <c r="M697" s="1491"/>
      <c r="N697" s="1491"/>
      <c r="O697" s="1491"/>
      <c r="P697" s="1491"/>
      <c r="Q697" s="1491"/>
      <c r="R697" s="1491"/>
      <c r="S697" s="1491"/>
      <c r="T697" s="1489"/>
    </row>
    <row r="698" spans="1:20" ht="12.75">
      <c r="A698" s="1491"/>
      <c r="B698" s="1491"/>
      <c r="C698" s="1491"/>
      <c r="D698" s="1491"/>
      <c r="E698" s="1491"/>
      <c r="F698" s="1491"/>
      <c r="G698" s="1491"/>
      <c r="H698" s="1491"/>
      <c r="I698" s="1491"/>
      <c r="J698" s="1491"/>
      <c r="K698" s="1491"/>
      <c r="L698" s="1491"/>
      <c r="M698" s="1491"/>
      <c r="N698" s="1491"/>
      <c r="O698" s="1491"/>
      <c r="P698" s="1491"/>
      <c r="Q698" s="1491"/>
      <c r="R698" s="1491"/>
      <c r="S698" s="1491"/>
      <c r="T698" s="1489"/>
    </row>
    <row r="699" spans="1:20" ht="12.75">
      <c r="A699" s="1491"/>
      <c r="B699" s="1491"/>
      <c r="C699" s="1491"/>
      <c r="D699" s="1491"/>
      <c r="E699" s="1491"/>
      <c r="F699" s="1491"/>
      <c r="G699" s="1491"/>
      <c r="H699" s="1491"/>
      <c r="I699" s="1491"/>
      <c r="J699" s="1491"/>
      <c r="K699" s="1491"/>
      <c r="L699" s="1491"/>
      <c r="M699" s="1491"/>
      <c r="N699" s="1491"/>
      <c r="O699" s="1491"/>
      <c r="P699" s="1491"/>
      <c r="Q699" s="1491"/>
      <c r="R699" s="1491"/>
      <c r="S699" s="1491"/>
      <c r="T699" s="1489"/>
    </row>
  </sheetData>
  <sheetProtection selectLockedCells="1" selectUnlockedCells="1"/>
  <mergeCells count="8">
    <mergeCell ref="A540:C540"/>
    <mergeCell ref="J540:L540"/>
    <mergeCell ref="D204:F204"/>
    <mergeCell ref="D361:E361"/>
    <mergeCell ref="B1:F1"/>
    <mergeCell ref="D172:G172"/>
    <mergeCell ref="A529:D529"/>
    <mergeCell ref="J529:M529"/>
  </mergeCells>
  <dataValidations count="3">
    <dataValidation type="list" allowBlank="1" showErrorMessage="1" sqref="C266 I447 C260:C261">
      <formula1>ListTB</formula1>
      <formula2>0</formula2>
    </dataValidation>
    <dataValidation type="list" allowBlank="1" sqref="D266 J447">
      <formula1>TBSDA</formula1>
      <formula2>0</formula2>
    </dataValidation>
    <dataValidation type="list" allowBlank="1" showInputMessage="1" promptTitle="SDA" prompt="YOU MUST SELECT THE PROPER MACRO-CATEGORY BEFORE SELECTING AN SDA.&#10;&#10;Please select the most appropriate SDA from the list below. If an SDA in the attachment to the grant agreement is not present, you may type in the name of this SDA." sqref="D260">
      <formula1>INDIRECT(#REF!)</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paperSize="9" scale="84" r:id="rId1"/>
  <rowBreaks count="3" manualBreakCount="3">
    <brk id="234" max="255" man="1"/>
    <brk id="267" max="255" man="1"/>
    <brk id="295" max="255" man="1"/>
  </rowBreaks>
</worksheet>
</file>

<file path=xl/worksheets/sheet31.xml><?xml version="1.0" encoding="utf-8"?>
<worksheet xmlns="http://schemas.openxmlformats.org/spreadsheetml/2006/main" xmlns:r="http://schemas.openxmlformats.org/officeDocument/2006/relationships">
  <dimension ref="A1:J27"/>
  <sheetViews>
    <sheetView zoomScale="70" zoomScaleNormal="70" zoomScalePageLayoutView="0" workbookViewId="0" topLeftCell="A1">
      <selection activeCell="A26" sqref="A2:A26"/>
    </sheetView>
  </sheetViews>
  <sheetFormatPr defaultColWidth="9.140625" defaultRowHeight="12.75"/>
  <cols>
    <col min="1" max="1" width="75.57421875" style="1247" customWidth="1"/>
    <col min="2" max="2" width="61.140625" style="1248" customWidth="1"/>
    <col min="3" max="3" width="0" style="1248" hidden="1" customWidth="1"/>
    <col min="4" max="4" width="49.8515625" style="1249" customWidth="1"/>
    <col min="5" max="5" width="42.421875" style="1249" customWidth="1"/>
    <col min="6" max="6" width="0" style="0" hidden="1" customWidth="1"/>
    <col min="7" max="7" width="12.57421875" style="0" customWidth="1"/>
    <col min="8" max="8" width="74.57421875" style="1250" customWidth="1"/>
    <col min="9" max="9" width="9.140625" style="0" customWidth="1"/>
    <col min="10" max="10" width="43.00390625" style="0" customWidth="1"/>
  </cols>
  <sheetData>
    <row r="1" spans="1:10" ht="15">
      <c r="A1" s="1251" t="s">
        <v>369</v>
      </c>
      <c r="B1" s="1251" t="s">
        <v>370</v>
      </c>
      <c r="C1" s="1252" t="s">
        <v>371</v>
      </c>
      <c r="D1" s="1253" t="s">
        <v>372</v>
      </c>
      <c r="E1" s="1254" t="s">
        <v>373</v>
      </c>
      <c r="F1" s="1255"/>
      <c r="G1" s="1246"/>
      <c r="H1" s="1256"/>
      <c r="J1" s="1257"/>
    </row>
    <row r="2" spans="1:10" ht="28.5">
      <c r="A2" s="1258" t="s">
        <v>374</v>
      </c>
      <c r="B2" s="1258" t="s">
        <v>374</v>
      </c>
      <c r="C2" s="1258" t="s">
        <v>374</v>
      </c>
      <c r="D2" s="1258" t="s">
        <v>374</v>
      </c>
      <c r="E2" s="1258" t="s">
        <v>374</v>
      </c>
      <c r="F2" s="1255"/>
      <c r="G2" s="1246"/>
      <c r="H2" s="1256"/>
      <c r="J2" s="1258" t="s">
        <v>374</v>
      </c>
    </row>
    <row r="3" spans="1:10" ht="85.5">
      <c r="A3" s="1258" t="s">
        <v>375</v>
      </c>
      <c r="B3" s="1259" t="s">
        <v>376</v>
      </c>
      <c r="C3" s="1260" t="s">
        <v>377</v>
      </c>
      <c r="D3" s="1261" t="s">
        <v>378</v>
      </c>
      <c r="E3" s="1262" t="s">
        <v>379</v>
      </c>
      <c r="F3" s="1248" t="s">
        <v>380</v>
      </c>
      <c r="G3" s="1246"/>
      <c r="H3" s="1256"/>
      <c r="J3" s="1258" t="s">
        <v>381</v>
      </c>
    </row>
    <row r="4" spans="1:10" ht="71.25">
      <c r="A4" s="1263" t="s">
        <v>382</v>
      </c>
      <c r="B4" s="1264" t="s">
        <v>383</v>
      </c>
      <c r="C4" s="1260" t="s">
        <v>384</v>
      </c>
      <c r="D4" s="1265" t="s">
        <v>385</v>
      </c>
      <c r="E4" s="1266" t="s">
        <v>386</v>
      </c>
      <c r="F4" s="1248" t="s">
        <v>387</v>
      </c>
      <c r="G4" s="1267"/>
      <c r="H4" s="1268"/>
      <c r="J4" s="1269"/>
    </row>
    <row r="5" spans="1:10" ht="57">
      <c r="A5" s="1263" t="s">
        <v>388</v>
      </c>
      <c r="B5" s="1264" t="s">
        <v>389</v>
      </c>
      <c r="C5" s="1249"/>
      <c r="D5" s="1265" t="s">
        <v>390</v>
      </c>
      <c r="E5" s="1266" t="s">
        <v>391</v>
      </c>
      <c r="F5" s="1248" t="s">
        <v>392</v>
      </c>
      <c r="G5" s="1267"/>
      <c r="H5" s="1268"/>
      <c r="J5" s="1269"/>
    </row>
    <row r="6" spans="1:10" ht="42.75">
      <c r="A6" s="1263" t="s">
        <v>393</v>
      </c>
      <c r="B6" s="1264" t="s">
        <v>394</v>
      </c>
      <c r="C6" s="1249"/>
      <c r="D6" s="1265" t="s">
        <v>395</v>
      </c>
      <c r="E6" s="1266" t="s">
        <v>396</v>
      </c>
      <c r="G6" s="1267"/>
      <c r="H6" s="1268"/>
      <c r="J6" s="1269"/>
    </row>
    <row r="7" spans="1:10" ht="42.75">
      <c r="A7" s="1263" t="s">
        <v>397</v>
      </c>
      <c r="B7" s="1264" t="s">
        <v>398</v>
      </c>
      <c r="C7" s="1249"/>
      <c r="D7" s="1265" t="s">
        <v>399</v>
      </c>
      <c r="E7" s="1266" t="s">
        <v>400</v>
      </c>
      <c r="G7" s="1267"/>
      <c r="H7" s="1268"/>
      <c r="J7" s="1269"/>
    </row>
    <row r="8" spans="1:10" ht="42.75">
      <c r="A8" s="1263" t="s">
        <v>401</v>
      </c>
      <c r="B8" s="1270" t="s">
        <v>402</v>
      </c>
      <c r="C8" s="1249"/>
      <c r="D8" s="1265" t="s">
        <v>403</v>
      </c>
      <c r="E8" s="1266" t="s">
        <v>404</v>
      </c>
      <c r="G8" s="1267"/>
      <c r="H8" s="1268"/>
      <c r="J8" s="1269"/>
    </row>
    <row r="9" spans="1:10" ht="28.5">
      <c r="A9" s="1263" t="s">
        <v>405</v>
      </c>
      <c r="B9" s="1271"/>
      <c r="C9" s="1249"/>
      <c r="D9" s="1265" t="s">
        <v>406</v>
      </c>
      <c r="E9" s="1266" t="s">
        <v>407</v>
      </c>
      <c r="G9" s="1267"/>
      <c r="H9" s="1268"/>
      <c r="J9" s="1269"/>
    </row>
    <row r="10" spans="1:10" ht="42.75">
      <c r="A10" s="1264" t="s">
        <v>408</v>
      </c>
      <c r="C10" s="1249"/>
      <c r="D10" s="1265" t="s">
        <v>409</v>
      </c>
      <c r="E10" s="1266" t="s">
        <v>410</v>
      </c>
      <c r="G10" s="1267"/>
      <c r="H10" s="1268"/>
      <c r="J10" s="1269"/>
    </row>
    <row r="11" spans="1:10" ht="42.75">
      <c r="A11" s="1263" t="s">
        <v>411</v>
      </c>
      <c r="C11" s="1249"/>
      <c r="D11" s="1265" t="s">
        <v>412</v>
      </c>
      <c r="E11" s="1266" t="s">
        <v>413</v>
      </c>
      <c r="G11" s="1267"/>
      <c r="H11" s="1268"/>
      <c r="J11" s="1269"/>
    </row>
    <row r="12" spans="1:10" ht="28.5">
      <c r="A12" s="1263" t="s">
        <v>414</v>
      </c>
      <c r="C12" s="1249"/>
      <c r="D12" s="1265" t="s">
        <v>415</v>
      </c>
      <c r="E12" s="1266" t="s">
        <v>416</v>
      </c>
      <c r="G12" s="1267"/>
      <c r="H12" s="1268"/>
      <c r="J12" s="1269"/>
    </row>
    <row r="13" spans="1:10" ht="28.5">
      <c r="A13" s="1263" t="s">
        <v>417</v>
      </c>
      <c r="C13" s="1249"/>
      <c r="D13" s="1265" t="s">
        <v>418</v>
      </c>
      <c r="E13" s="1266" t="s">
        <v>419</v>
      </c>
      <c r="G13" s="1267"/>
      <c r="H13" s="1268"/>
      <c r="J13" s="1269"/>
    </row>
    <row r="14" spans="1:10" ht="28.5">
      <c r="A14" s="1263" t="s">
        <v>420</v>
      </c>
      <c r="C14" s="1249"/>
      <c r="D14" s="1265" t="s">
        <v>421</v>
      </c>
      <c r="E14" s="1266" t="s">
        <v>422</v>
      </c>
      <c r="G14" s="1267"/>
      <c r="H14" s="1268"/>
      <c r="J14" s="1269"/>
    </row>
    <row r="15" spans="1:10" ht="42.75">
      <c r="A15" s="1264" t="s">
        <v>423</v>
      </c>
      <c r="B15" s="1264" t="s">
        <v>424</v>
      </c>
      <c r="C15" s="1249"/>
      <c r="D15" s="1272" t="s">
        <v>425</v>
      </c>
      <c r="E15" s="1266" t="s">
        <v>426</v>
      </c>
      <c r="G15" s="1267"/>
      <c r="H15" s="1268"/>
      <c r="J15" s="1269"/>
    </row>
    <row r="16" spans="1:10" ht="28.5">
      <c r="A16" s="1264" t="s">
        <v>427</v>
      </c>
      <c r="B16" s="1264" t="s">
        <v>428</v>
      </c>
      <c r="C16" s="1249"/>
      <c r="D16" s="1273"/>
      <c r="E16" s="1266" t="s">
        <v>67</v>
      </c>
      <c r="G16" s="1267"/>
      <c r="H16" s="1268"/>
      <c r="J16" s="1274"/>
    </row>
    <row r="17" spans="1:10" ht="28.5">
      <c r="A17" s="1264" t="s">
        <v>429</v>
      </c>
      <c r="B17" s="1264" t="s">
        <v>430</v>
      </c>
      <c r="C17" s="1249"/>
      <c r="D17" s="1275"/>
      <c r="E17" s="1266" t="s">
        <v>431</v>
      </c>
      <c r="G17" s="1267"/>
      <c r="H17" s="1268"/>
      <c r="J17" s="1269"/>
    </row>
    <row r="18" spans="1:10" ht="28.5">
      <c r="A18" s="1264" t="s">
        <v>432</v>
      </c>
      <c r="B18" s="1264" t="s">
        <v>433</v>
      </c>
      <c r="C18" s="1249"/>
      <c r="D18" s="1276"/>
      <c r="E18" s="1266" t="s">
        <v>434</v>
      </c>
      <c r="G18" s="1267"/>
      <c r="H18" s="1268"/>
      <c r="J18" s="1269"/>
    </row>
    <row r="19" spans="1:8" ht="14.25">
      <c r="A19" s="1264" t="s">
        <v>602</v>
      </c>
      <c r="C19" s="1249"/>
      <c r="E19" s="1266" t="s">
        <v>435</v>
      </c>
      <c r="G19" s="1267"/>
      <c r="H19" s="1268"/>
    </row>
    <row r="20" spans="1:8" ht="28.5">
      <c r="A20" s="1263" t="s">
        <v>436</v>
      </c>
      <c r="B20" s="1264" t="s">
        <v>437</v>
      </c>
      <c r="C20" s="1249"/>
      <c r="E20" s="1266" t="s">
        <v>438</v>
      </c>
      <c r="G20" s="1267"/>
      <c r="H20" s="1268"/>
    </row>
    <row r="21" spans="1:8" ht="42.75">
      <c r="A21" s="1263" t="s">
        <v>439</v>
      </c>
      <c r="B21" s="1263" t="s">
        <v>440</v>
      </c>
      <c r="C21" s="1249"/>
      <c r="E21" s="1266" t="s">
        <v>441</v>
      </c>
      <c r="G21" s="1267"/>
      <c r="H21" s="1268"/>
    </row>
    <row r="22" spans="1:8" ht="14.25">
      <c r="A22" s="1263" t="s">
        <v>442</v>
      </c>
      <c r="C22" s="1249"/>
      <c r="E22" s="1277" t="s">
        <v>443</v>
      </c>
      <c r="G22" s="1267"/>
      <c r="H22" s="1268"/>
    </row>
    <row r="23" spans="1:8" ht="14.25">
      <c r="A23" s="1263" t="s">
        <v>444</v>
      </c>
      <c r="C23" s="1249"/>
      <c r="E23" s="1278"/>
      <c r="G23" s="1246"/>
      <c r="H23" s="1279"/>
    </row>
    <row r="24" spans="1:8" ht="14.25">
      <c r="A24" s="1263" t="s">
        <v>445</v>
      </c>
      <c r="C24" s="1249"/>
      <c r="G24" s="1246"/>
      <c r="H24" s="1279"/>
    </row>
    <row r="25" spans="1:8" ht="14.25">
      <c r="A25" s="1280" t="s">
        <v>446</v>
      </c>
      <c r="C25" s="1249"/>
      <c r="G25" s="1246"/>
      <c r="H25" s="1279"/>
    </row>
    <row r="26" spans="1:3" ht="14.25">
      <c r="A26" s="1280" t="s">
        <v>447</v>
      </c>
      <c r="C26" s="1249"/>
    </row>
    <row r="27" spans="1:3" ht="14.25">
      <c r="A27" s="1281"/>
      <c r="C27" s="1249"/>
    </row>
  </sheetData>
  <sheetProtection selectLockedCells="1" selectUnlockedCells="1"/>
  <printOptions/>
  <pageMargins left="0.1701388888888889" right="0.1597222222222222" top="0.19027777777777777" bottom="0.1701388888888889" header="0.5118055555555555" footer="0.5118055555555555"/>
  <pageSetup horizontalDpi="300" verticalDpi="300" orientation="landscape" paperSize="9" scale="70"/>
</worksheet>
</file>

<file path=xl/worksheets/sheet32.xml><?xml version="1.0" encoding="utf-8"?>
<worksheet xmlns="http://schemas.openxmlformats.org/spreadsheetml/2006/main" xmlns:r="http://schemas.openxmlformats.org/officeDocument/2006/relationships">
  <dimension ref="A1:G27"/>
  <sheetViews>
    <sheetView zoomScale="85" zoomScaleNormal="85" zoomScalePageLayoutView="0" workbookViewId="0" topLeftCell="A1">
      <selection activeCell="A14" sqref="A14"/>
    </sheetView>
  </sheetViews>
  <sheetFormatPr defaultColWidth="9.140625" defaultRowHeight="12.75"/>
  <cols>
    <col min="1" max="1" width="69.28125" style="1282" customWidth="1"/>
    <col min="2" max="2" width="74.00390625" style="1282" customWidth="1"/>
    <col min="3" max="3" width="0" style="1283" hidden="1" customWidth="1"/>
    <col min="4" max="4" width="29.57421875" style="1283" customWidth="1"/>
    <col min="5" max="5" width="40.140625" style="1282" customWidth="1"/>
    <col min="6" max="6" width="41.7109375" style="0" customWidth="1"/>
  </cols>
  <sheetData>
    <row r="1" spans="1:7" ht="15">
      <c r="A1" s="1251" t="s">
        <v>369</v>
      </c>
      <c r="B1" s="1251" t="s">
        <v>370</v>
      </c>
      <c r="C1" s="1254" t="s">
        <v>371</v>
      </c>
      <c r="D1" s="1253" t="s">
        <v>372</v>
      </c>
      <c r="E1" s="1284" t="s">
        <v>373</v>
      </c>
      <c r="G1" s="101"/>
    </row>
    <row r="2" spans="1:7" ht="28.5">
      <c r="A2" s="1285" t="s">
        <v>448</v>
      </c>
      <c r="B2" s="1285" t="s">
        <v>448</v>
      </c>
      <c r="C2" s="1285" t="s">
        <v>448</v>
      </c>
      <c r="D2" s="1285" t="s">
        <v>448</v>
      </c>
      <c r="E2" s="1285" t="s">
        <v>448</v>
      </c>
      <c r="G2" s="101"/>
    </row>
    <row r="3" spans="1:7" ht="14.25">
      <c r="A3" s="1285" t="s">
        <v>595</v>
      </c>
      <c r="B3" s="1285" t="s">
        <v>449</v>
      </c>
      <c r="C3" s="1260" t="s">
        <v>377</v>
      </c>
      <c r="D3" s="1286" t="s">
        <v>450</v>
      </c>
      <c r="E3" s="1262" t="s">
        <v>379</v>
      </c>
      <c r="G3" s="1287"/>
    </row>
    <row r="4" spans="1:7" ht="28.5">
      <c r="A4" s="1288" t="s">
        <v>600</v>
      </c>
      <c r="B4" s="1288" t="s">
        <v>451</v>
      </c>
      <c r="C4" s="1260" t="s">
        <v>384</v>
      </c>
      <c r="D4" s="1289" t="s">
        <v>452</v>
      </c>
      <c r="E4" s="1266" t="s">
        <v>386</v>
      </c>
      <c r="G4" s="1287"/>
    </row>
    <row r="5" spans="1:7" ht="14.25">
      <c r="A5" s="1288" t="s">
        <v>589</v>
      </c>
      <c r="B5" s="1290" t="s">
        <v>453</v>
      </c>
      <c r="C5" s="1249"/>
      <c r="D5" s="1291" t="s">
        <v>454</v>
      </c>
      <c r="E5" s="1266" t="s">
        <v>391</v>
      </c>
      <c r="G5" s="1287"/>
    </row>
    <row r="6" spans="1:7" ht="14.25">
      <c r="A6" s="1288" t="s">
        <v>590</v>
      </c>
      <c r="B6" s="1292"/>
      <c r="C6" s="1249"/>
      <c r="D6" s="1249"/>
      <c r="E6" s="1266" t="s">
        <v>396</v>
      </c>
      <c r="G6" s="1287"/>
    </row>
    <row r="7" spans="1:7" ht="28.5">
      <c r="A7" s="1288" t="s">
        <v>597</v>
      </c>
      <c r="B7" s="1292"/>
      <c r="C7" s="1249"/>
      <c r="D7" s="1249"/>
      <c r="E7" s="1266" t="s">
        <v>400</v>
      </c>
      <c r="G7" s="1287"/>
    </row>
    <row r="8" spans="1:7" ht="28.5">
      <c r="A8" s="1288" t="s">
        <v>598</v>
      </c>
      <c r="B8" s="1292"/>
      <c r="C8" s="1249"/>
      <c r="D8" s="1249"/>
      <c r="E8" s="1266" t="s">
        <v>404</v>
      </c>
      <c r="G8" s="1287"/>
    </row>
    <row r="9" spans="1:7" ht="14.25">
      <c r="A9" s="1288" t="s">
        <v>594</v>
      </c>
      <c r="B9" s="1293"/>
      <c r="C9" s="1249"/>
      <c r="D9" s="1249"/>
      <c r="E9" s="1266" t="s">
        <v>407</v>
      </c>
      <c r="G9" s="1287"/>
    </row>
    <row r="10" spans="1:7" ht="14.25">
      <c r="A10" s="1288" t="s">
        <v>455</v>
      </c>
      <c r="B10" s="1293"/>
      <c r="C10" s="1249"/>
      <c r="D10" s="1249"/>
      <c r="E10" s="1266" t="s">
        <v>410</v>
      </c>
      <c r="G10" s="1287"/>
    </row>
    <row r="11" spans="1:7" ht="14.25">
      <c r="A11" s="1288" t="s">
        <v>456</v>
      </c>
      <c r="B11" s="1293"/>
      <c r="C11" s="1249"/>
      <c r="D11" s="1249"/>
      <c r="E11" s="1266" t="s">
        <v>413</v>
      </c>
      <c r="G11" s="1287"/>
    </row>
    <row r="12" spans="1:7" ht="28.5">
      <c r="A12" s="1288" t="s">
        <v>585</v>
      </c>
      <c r="B12" s="1293"/>
      <c r="C12" s="1249"/>
      <c r="D12" s="1249"/>
      <c r="E12" s="1266" t="s">
        <v>416</v>
      </c>
      <c r="G12" s="1287"/>
    </row>
    <row r="13" spans="1:7" ht="14.25">
      <c r="A13" s="1288" t="s">
        <v>588</v>
      </c>
      <c r="B13" s="1293"/>
      <c r="C13" s="1249"/>
      <c r="D13" s="1249"/>
      <c r="E13" s="1266" t="s">
        <v>419</v>
      </c>
      <c r="G13" s="1287"/>
    </row>
    <row r="14" spans="1:7" ht="14.25">
      <c r="A14" s="1288" t="s">
        <v>592</v>
      </c>
      <c r="B14" s="1293"/>
      <c r="C14" s="1249"/>
      <c r="D14" s="1249"/>
      <c r="E14" s="1266" t="s">
        <v>422</v>
      </c>
      <c r="G14" s="1287"/>
    </row>
    <row r="15" spans="1:7" ht="14.25">
      <c r="A15" s="1294" t="s">
        <v>457</v>
      </c>
      <c r="B15" s="1293"/>
      <c r="C15" s="1249"/>
      <c r="D15" s="1249"/>
      <c r="E15" s="1266"/>
      <c r="G15" s="1287"/>
    </row>
    <row r="16" spans="1:7" ht="14.25">
      <c r="A16" s="1294" t="s">
        <v>458</v>
      </c>
      <c r="B16" s="1293"/>
      <c r="C16" s="1249"/>
      <c r="D16" s="1249"/>
      <c r="E16" s="1266"/>
      <c r="G16" s="1287"/>
    </row>
    <row r="17" spans="1:7" ht="28.5">
      <c r="A17" s="1277" t="s">
        <v>602</v>
      </c>
      <c r="B17" s="1293"/>
      <c r="C17" s="1249"/>
      <c r="D17" s="1249"/>
      <c r="E17" s="1266" t="s">
        <v>426</v>
      </c>
      <c r="G17" s="1287"/>
    </row>
    <row r="18" spans="1:7" ht="14.25">
      <c r="A18" s="1293"/>
      <c r="B18" s="1293"/>
      <c r="C18" s="1249"/>
      <c r="D18" s="1249"/>
      <c r="E18" s="1266" t="s">
        <v>67</v>
      </c>
      <c r="G18" s="1287"/>
    </row>
    <row r="19" spans="1:7" ht="14.25">
      <c r="A19" s="1293"/>
      <c r="B19" s="1293"/>
      <c r="C19" s="1249"/>
      <c r="D19" s="1249"/>
      <c r="E19" s="1266" t="s">
        <v>431</v>
      </c>
      <c r="G19" s="1287"/>
    </row>
    <row r="20" spans="1:5" ht="14.25">
      <c r="A20" s="1293"/>
      <c r="B20" s="1293"/>
      <c r="C20" s="1249"/>
      <c r="D20" s="1249"/>
      <c r="E20" s="1266" t="s">
        <v>434</v>
      </c>
    </row>
    <row r="21" spans="1:5" ht="14.25">
      <c r="A21" s="1293"/>
      <c r="B21" s="1293"/>
      <c r="C21" s="1249"/>
      <c r="D21" s="1249"/>
      <c r="E21" s="1266" t="s">
        <v>435</v>
      </c>
    </row>
    <row r="22" spans="1:5" ht="14.25">
      <c r="A22" s="1293"/>
      <c r="B22" s="1293"/>
      <c r="C22" s="1249"/>
      <c r="D22" s="1249"/>
      <c r="E22" s="1266" t="s">
        <v>438</v>
      </c>
    </row>
    <row r="23" spans="1:5" ht="42.75">
      <c r="A23" s="1293"/>
      <c r="B23" s="1293"/>
      <c r="C23" s="1249"/>
      <c r="D23" s="1249"/>
      <c r="E23" s="1266" t="s">
        <v>441</v>
      </c>
    </row>
    <row r="24" spans="1:5" ht="14.25">
      <c r="A24" s="1293"/>
      <c r="B24" s="1248"/>
      <c r="C24" s="1249"/>
      <c r="D24" s="1249"/>
      <c r="E24" s="1266" t="s">
        <v>443</v>
      </c>
    </row>
    <row r="25" spans="1:5" ht="14.25">
      <c r="A25" s="1293"/>
      <c r="B25" s="1248"/>
      <c r="C25" s="1249"/>
      <c r="D25" s="1249"/>
      <c r="E25" s="1266" t="s">
        <v>459</v>
      </c>
    </row>
    <row r="26" spans="1:5" ht="28.5">
      <c r="A26" s="1248"/>
      <c r="B26" s="1248"/>
      <c r="C26" s="1249"/>
      <c r="D26" s="1249"/>
      <c r="E26" s="1266" t="s">
        <v>460</v>
      </c>
    </row>
    <row r="27" spans="1:5" ht="14.25">
      <c r="A27" s="1248"/>
      <c r="B27" s="1248"/>
      <c r="C27" s="1249"/>
      <c r="D27" s="1249"/>
      <c r="E27" s="1295" t="s">
        <v>461</v>
      </c>
    </row>
  </sheetData>
  <sheetProtection selectLockedCells="1" selectUnlockedCells="1"/>
  <printOptions/>
  <pageMargins left="0.1701388888888889" right="0.1597222222222222" top="0.1701388888888889" bottom="1" header="0.5118055555555555" footer="0.5118055555555555"/>
  <pageSetup horizontalDpi="300" verticalDpi="300" orientation="landscape" paperSize="9" scale="60"/>
</worksheet>
</file>

<file path=xl/worksheets/sheet33.xml><?xml version="1.0" encoding="utf-8"?>
<worksheet xmlns="http://schemas.openxmlformats.org/spreadsheetml/2006/main" xmlns:r="http://schemas.openxmlformats.org/officeDocument/2006/relationships">
  <dimension ref="A1:L25"/>
  <sheetViews>
    <sheetView zoomScalePageLayoutView="0" workbookViewId="0" topLeftCell="A3">
      <selection activeCell="A19" sqref="A19"/>
    </sheetView>
  </sheetViews>
  <sheetFormatPr defaultColWidth="9.140625" defaultRowHeight="12.75"/>
  <cols>
    <col min="1" max="1" width="51.00390625" style="1296" customWidth="1"/>
    <col min="2" max="2" width="72.140625" style="1297" customWidth="1"/>
    <col min="3" max="3" width="0" style="0" hidden="1" customWidth="1"/>
    <col min="4" max="4" width="50.57421875" style="0" customWidth="1"/>
    <col min="5" max="5" width="49.421875" style="0" customWidth="1"/>
    <col min="6" max="6" width="50.421875" style="0" customWidth="1"/>
  </cols>
  <sheetData>
    <row r="1" spans="1:10" ht="12.75">
      <c r="A1" s="1298" t="s">
        <v>369</v>
      </c>
      <c r="B1" s="1298" t="s">
        <v>370</v>
      </c>
      <c r="C1" s="1299" t="s">
        <v>371</v>
      </c>
      <c r="D1" s="1300" t="s">
        <v>372</v>
      </c>
      <c r="E1" s="1300" t="s">
        <v>373</v>
      </c>
      <c r="G1" s="101"/>
      <c r="H1" s="101"/>
      <c r="I1" s="101"/>
      <c r="J1" s="101"/>
    </row>
    <row r="2" spans="1:10" ht="28.5">
      <c r="A2" s="1301" t="s">
        <v>448</v>
      </c>
      <c r="B2" s="1301" t="s">
        <v>448</v>
      </c>
      <c r="C2" s="1301" t="s">
        <v>448</v>
      </c>
      <c r="D2" s="1301" t="s">
        <v>448</v>
      </c>
      <c r="E2" s="1301" t="s">
        <v>448</v>
      </c>
      <c r="G2" s="101"/>
      <c r="H2" s="101"/>
      <c r="I2" s="101"/>
      <c r="J2" s="101"/>
    </row>
    <row r="3" spans="1:10" ht="42.75">
      <c r="A3" s="1301" t="s">
        <v>462</v>
      </c>
      <c r="B3" s="1285" t="s">
        <v>463</v>
      </c>
      <c r="C3" s="1302" t="s">
        <v>377</v>
      </c>
      <c r="D3" s="1286" t="s">
        <v>464</v>
      </c>
      <c r="E3" s="1262" t="s">
        <v>379</v>
      </c>
      <c r="G3" s="1287"/>
      <c r="H3" s="1287"/>
      <c r="I3" s="1287"/>
      <c r="J3" s="1287"/>
    </row>
    <row r="4" spans="1:12" ht="42.75">
      <c r="A4" s="1303" t="s">
        <v>465</v>
      </c>
      <c r="B4" s="1288" t="s">
        <v>466</v>
      </c>
      <c r="C4" s="1302" t="s">
        <v>384</v>
      </c>
      <c r="D4" s="1289" t="s">
        <v>467</v>
      </c>
      <c r="E4" s="1266" t="s">
        <v>386</v>
      </c>
      <c r="G4" s="1287"/>
      <c r="H4" s="1287"/>
      <c r="I4" s="1287"/>
      <c r="J4" s="1287"/>
      <c r="K4" s="1245"/>
      <c r="L4" s="1245"/>
    </row>
    <row r="5" spans="1:12" ht="42.75">
      <c r="A5" s="1304" t="s">
        <v>468</v>
      </c>
      <c r="B5" s="1288" t="s">
        <v>469</v>
      </c>
      <c r="C5" s="101"/>
      <c r="D5" s="1289" t="s">
        <v>470</v>
      </c>
      <c r="E5" s="1266" t="s">
        <v>391</v>
      </c>
      <c r="G5" s="1287"/>
      <c r="H5" s="1287"/>
      <c r="I5" s="1287"/>
      <c r="J5" s="1287"/>
      <c r="K5" s="1245"/>
      <c r="L5" s="1245"/>
    </row>
    <row r="6" spans="1:12" ht="28.5">
      <c r="A6" s="1304" t="s">
        <v>471</v>
      </c>
      <c r="B6" s="1288" t="s">
        <v>472</v>
      </c>
      <c r="C6" s="101"/>
      <c r="D6" s="1289" t="s">
        <v>473</v>
      </c>
      <c r="E6" s="1266" t="s">
        <v>474</v>
      </c>
      <c r="G6" s="1287"/>
      <c r="H6" s="1287"/>
      <c r="I6" s="1287"/>
      <c r="J6" s="1287"/>
      <c r="K6" s="1245"/>
      <c r="L6" s="1245"/>
    </row>
    <row r="7" spans="1:12" ht="14.25">
      <c r="A7" s="1304" t="s">
        <v>475</v>
      </c>
      <c r="B7" s="1288" t="s">
        <v>476</v>
      </c>
      <c r="C7" s="101"/>
      <c r="D7" s="1289" t="s">
        <v>477</v>
      </c>
      <c r="E7" s="1266" t="s">
        <v>400</v>
      </c>
      <c r="G7" s="1287"/>
      <c r="H7" s="1287"/>
      <c r="I7" s="1287"/>
      <c r="J7" s="1287"/>
      <c r="K7" s="1245"/>
      <c r="L7" s="1245"/>
    </row>
    <row r="8" spans="1:12" ht="28.5">
      <c r="A8" s="1303" t="s">
        <v>478</v>
      </c>
      <c r="B8" s="1288" t="s">
        <v>479</v>
      </c>
      <c r="C8" s="101"/>
      <c r="D8" s="1289" t="s">
        <v>480</v>
      </c>
      <c r="E8" s="1266" t="s">
        <v>404</v>
      </c>
      <c r="G8" s="1287"/>
      <c r="H8" s="1287"/>
      <c r="I8" s="1287"/>
      <c r="J8" s="1287"/>
      <c r="K8" s="1245"/>
      <c r="L8" s="1245"/>
    </row>
    <row r="9" spans="1:12" ht="42.75">
      <c r="A9" s="1303" t="s">
        <v>481</v>
      </c>
      <c r="B9" s="1288" t="s">
        <v>482</v>
      </c>
      <c r="C9" s="101"/>
      <c r="D9" s="1289" t="s">
        <v>483</v>
      </c>
      <c r="E9" s="1266" t="s">
        <v>407</v>
      </c>
      <c r="G9" s="1287"/>
      <c r="H9" s="1287"/>
      <c r="I9" s="1287"/>
      <c r="J9" s="1287"/>
      <c r="K9" s="1245"/>
      <c r="L9" s="1245"/>
    </row>
    <row r="10" spans="1:12" ht="14.25">
      <c r="A10" s="1303" t="s">
        <v>484</v>
      </c>
      <c r="B10" s="1277" t="s">
        <v>485</v>
      </c>
      <c r="C10" s="101"/>
      <c r="D10" s="1291" t="s">
        <v>486</v>
      </c>
      <c r="E10" s="1266" t="s">
        <v>487</v>
      </c>
      <c r="G10" s="1287"/>
      <c r="H10" s="1287"/>
      <c r="I10" s="1287"/>
      <c r="J10" s="1287"/>
      <c r="K10" s="1245"/>
      <c r="L10" s="1245"/>
    </row>
    <row r="11" spans="1:12" ht="14.25">
      <c r="A11" s="1303" t="s">
        <v>488</v>
      </c>
      <c r="B11" s="1248"/>
      <c r="C11" s="101"/>
      <c r="D11" s="1249"/>
      <c r="E11" s="1266" t="s">
        <v>489</v>
      </c>
      <c r="G11" s="1287"/>
      <c r="H11" s="1287"/>
      <c r="I11" s="1287"/>
      <c r="J11" s="1287"/>
      <c r="K11" s="1245"/>
      <c r="L11" s="1245"/>
    </row>
    <row r="12" spans="1:12" ht="14.25">
      <c r="A12" s="1303" t="s">
        <v>490</v>
      </c>
      <c r="B12" s="1248"/>
      <c r="C12" s="101"/>
      <c r="D12" s="1249"/>
      <c r="E12" s="1266" t="s">
        <v>410</v>
      </c>
      <c r="G12" s="1287"/>
      <c r="H12" s="1287"/>
      <c r="I12" s="1287"/>
      <c r="J12" s="1287"/>
      <c r="K12" s="1245"/>
      <c r="L12" s="1245"/>
    </row>
    <row r="13" spans="1:12" ht="14.25">
      <c r="A13" s="1303" t="s">
        <v>491</v>
      </c>
      <c r="B13" s="1248"/>
      <c r="C13" s="101"/>
      <c r="D13" s="1249"/>
      <c r="E13" s="1266" t="s">
        <v>413</v>
      </c>
      <c r="G13" s="1287"/>
      <c r="H13" s="1287"/>
      <c r="I13" s="1287"/>
      <c r="J13" s="1287"/>
      <c r="K13" s="1245"/>
      <c r="L13" s="1245"/>
    </row>
    <row r="14" spans="1:12" ht="28.5">
      <c r="A14" s="1303" t="s">
        <v>492</v>
      </c>
      <c r="B14" s="1248"/>
      <c r="C14" s="101"/>
      <c r="D14" s="1249"/>
      <c r="E14" s="1266" t="s">
        <v>416</v>
      </c>
      <c r="G14" s="1287"/>
      <c r="H14" s="1287"/>
      <c r="I14" s="1287"/>
      <c r="J14" s="1287"/>
      <c r="K14" s="1245"/>
      <c r="L14" s="1245"/>
    </row>
    <row r="15" spans="1:12" ht="42.75">
      <c r="A15" s="1303" t="s">
        <v>493</v>
      </c>
      <c r="B15" s="1248"/>
      <c r="C15" s="101"/>
      <c r="D15" s="1249"/>
      <c r="E15" s="1266" t="s">
        <v>419</v>
      </c>
      <c r="G15" s="1287"/>
      <c r="H15" s="1287"/>
      <c r="I15" s="1287"/>
      <c r="J15" s="1287"/>
      <c r="K15" s="1245"/>
      <c r="L15" s="1245"/>
    </row>
    <row r="16" spans="1:12" ht="14.25">
      <c r="A16" s="1303" t="s">
        <v>494</v>
      </c>
      <c r="B16" s="1248"/>
      <c r="C16" s="101"/>
      <c r="D16" s="1249"/>
      <c r="E16" s="1266" t="s">
        <v>422</v>
      </c>
      <c r="G16" s="1287"/>
      <c r="H16" s="1287"/>
      <c r="I16" s="1287"/>
      <c r="J16" s="1287"/>
      <c r="K16" s="1245"/>
      <c r="L16" s="1245"/>
    </row>
    <row r="17" spans="1:12" ht="28.5">
      <c r="A17" s="1303" t="s">
        <v>602</v>
      </c>
      <c r="B17" s="1248"/>
      <c r="C17" s="101"/>
      <c r="D17" s="1249"/>
      <c r="E17" s="1266" t="s">
        <v>426</v>
      </c>
      <c r="G17" s="1287"/>
      <c r="H17" s="1287"/>
      <c r="I17" s="1287"/>
      <c r="J17" s="1287"/>
      <c r="K17" s="1245"/>
      <c r="L17" s="1245"/>
    </row>
    <row r="18" spans="1:12" ht="14.25">
      <c r="A18" s="1303" t="s">
        <v>436</v>
      </c>
      <c r="B18" s="1248"/>
      <c r="C18" s="101"/>
      <c r="D18" s="1249"/>
      <c r="E18" s="1266" t="s">
        <v>67</v>
      </c>
      <c r="G18" s="101"/>
      <c r="H18" s="101"/>
      <c r="I18" s="101"/>
      <c r="J18" s="101"/>
      <c r="K18" s="1245"/>
      <c r="L18" s="1245"/>
    </row>
    <row r="19" spans="1:10" ht="14.25">
      <c r="A19" s="1303" t="s">
        <v>439</v>
      </c>
      <c r="B19" s="1305"/>
      <c r="C19" s="101"/>
      <c r="D19" s="1249"/>
      <c r="E19" s="1266" t="s">
        <v>431</v>
      </c>
      <c r="G19" s="101"/>
      <c r="H19" s="101"/>
      <c r="I19" s="101"/>
      <c r="J19" s="101"/>
    </row>
    <row r="20" spans="1:10" ht="14.25">
      <c r="A20" s="1303" t="s">
        <v>442</v>
      </c>
      <c r="B20" s="1305"/>
      <c r="C20" s="101"/>
      <c r="D20" s="1249"/>
      <c r="E20" s="1266" t="s">
        <v>434</v>
      </c>
      <c r="G20" s="101"/>
      <c r="H20" s="101"/>
      <c r="I20" s="101"/>
      <c r="J20" s="101"/>
    </row>
    <row r="21" spans="1:10" ht="14.25">
      <c r="A21" s="1303" t="s">
        <v>444</v>
      </c>
      <c r="B21" s="1305"/>
      <c r="C21" s="101"/>
      <c r="D21" s="1249"/>
      <c r="E21" s="1266" t="s">
        <v>435</v>
      </c>
      <c r="G21" s="101"/>
      <c r="H21" s="101"/>
      <c r="I21" s="101"/>
      <c r="J21" s="101"/>
    </row>
    <row r="22" spans="1:10" ht="14.25">
      <c r="A22" s="1303" t="s">
        <v>445</v>
      </c>
      <c r="B22" s="1248"/>
      <c r="C22" s="101"/>
      <c r="D22" s="1249"/>
      <c r="E22" s="1266" t="s">
        <v>438</v>
      </c>
      <c r="G22" s="101"/>
      <c r="H22" s="101"/>
      <c r="I22" s="101"/>
      <c r="J22" s="101"/>
    </row>
    <row r="23" spans="1:10" ht="28.5">
      <c r="A23" s="1303" t="s">
        <v>446</v>
      </c>
      <c r="B23" s="1248"/>
      <c r="C23" s="101"/>
      <c r="D23" s="1249"/>
      <c r="E23" s="1266" t="s">
        <v>441</v>
      </c>
      <c r="G23" s="101"/>
      <c r="H23" s="101"/>
      <c r="I23" s="101"/>
      <c r="J23" s="101"/>
    </row>
    <row r="24" spans="1:10" ht="14.25">
      <c r="A24" s="1306" t="s">
        <v>495</v>
      </c>
      <c r="B24" s="1248"/>
      <c r="C24" s="101"/>
      <c r="D24" s="1249"/>
      <c r="E24" s="1266" t="s">
        <v>443</v>
      </c>
      <c r="G24" s="101"/>
      <c r="H24" s="101"/>
      <c r="I24" s="101"/>
      <c r="J24" s="101"/>
    </row>
    <row r="25" spans="1:10" ht="14.25">
      <c r="A25" s="1307"/>
      <c r="B25" s="1248"/>
      <c r="C25" s="101"/>
      <c r="D25" s="101"/>
      <c r="E25" s="1306" t="s">
        <v>496</v>
      </c>
      <c r="G25" s="101"/>
      <c r="H25" s="101"/>
      <c r="I25" s="101"/>
      <c r="J25" s="101"/>
    </row>
  </sheetData>
  <sheetProtection selectLockedCells="1" selectUnlockedCells="1"/>
  <printOptions/>
  <pageMargins left="0.1701388888888889" right="0.1597222222222222" top="0.1701388888888889" bottom="1" header="0.5118055555555555" footer="0.5118055555555555"/>
  <pageSetup horizontalDpi="300" verticalDpi="300" orientation="landscape" paperSize="9" scale="65"/>
</worksheet>
</file>

<file path=xl/worksheets/sheet34.xml><?xml version="1.0" encoding="utf-8"?>
<worksheet xmlns="http://schemas.openxmlformats.org/spreadsheetml/2006/main" xmlns:r="http://schemas.openxmlformats.org/officeDocument/2006/relationships">
  <dimension ref="A1:A65"/>
  <sheetViews>
    <sheetView zoomScalePageLayoutView="0" workbookViewId="0" topLeftCell="A1">
      <selection activeCell="A12" sqref="A12"/>
    </sheetView>
  </sheetViews>
  <sheetFormatPr defaultColWidth="9.140625" defaultRowHeight="12.75"/>
  <cols>
    <col min="1" max="1" width="27.28125" style="0" customWidth="1"/>
  </cols>
  <sheetData>
    <row r="1" ht="12.75">
      <c r="A1" t="s">
        <v>611</v>
      </c>
    </row>
    <row r="2" ht="12.75">
      <c r="A2" t="s">
        <v>497</v>
      </c>
    </row>
    <row r="3" ht="12.75">
      <c r="A3" t="s">
        <v>498</v>
      </c>
    </row>
    <row r="4" ht="12.75">
      <c r="A4" t="s">
        <v>499</v>
      </c>
    </row>
    <row r="5" ht="12.75">
      <c r="A5" t="s">
        <v>596</v>
      </c>
    </row>
    <row r="6" ht="12.75">
      <c r="A6" t="s">
        <v>587</v>
      </c>
    </row>
    <row r="7" ht="12.75">
      <c r="A7" t="s">
        <v>500</v>
      </c>
    </row>
    <row r="21" ht="12.75">
      <c r="A21" t="s">
        <v>611</v>
      </c>
    </row>
    <row r="22" ht="12.75">
      <c r="A22" t="s">
        <v>497</v>
      </c>
    </row>
    <row r="23" ht="12.75">
      <c r="A23" t="s">
        <v>498</v>
      </c>
    </row>
    <row r="24" ht="12.75">
      <c r="A24" t="s">
        <v>587</v>
      </c>
    </row>
    <row r="25" ht="12.75">
      <c r="A25" t="s">
        <v>500</v>
      </c>
    </row>
    <row r="28" ht="12.75">
      <c r="A28" t="s">
        <v>611</v>
      </c>
    </row>
    <row r="29" ht="12.75">
      <c r="A29" t="s">
        <v>501</v>
      </c>
    </row>
    <row r="30" ht="12.75">
      <c r="A30" t="s">
        <v>502</v>
      </c>
    </row>
    <row r="31" ht="12.75">
      <c r="A31" t="s">
        <v>503</v>
      </c>
    </row>
    <row r="32" ht="12.75">
      <c r="A32" t="s">
        <v>504</v>
      </c>
    </row>
    <row r="33" ht="12.75">
      <c r="A33" t="s">
        <v>475</v>
      </c>
    </row>
    <row r="34" ht="12.75">
      <c r="A34" t="s">
        <v>505</v>
      </c>
    </row>
    <row r="35" ht="12.75">
      <c r="A35" t="s">
        <v>506</v>
      </c>
    </row>
    <row r="39" ht="12.75">
      <c r="A39" t="s">
        <v>611</v>
      </c>
    </row>
    <row r="40" ht="12.75">
      <c r="A40" t="s">
        <v>584</v>
      </c>
    </row>
    <row r="41" ht="12.75">
      <c r="A41" t="s">
        <v>599</v>
      </c>
    </row>
    <row r="42" ht="12.75">
      <c r="A42" t="s">
        <v>596</v>
      </c>
    </row>
    <row r="43" ht="12.75">
      <c r="A43" t="s">
        <v>587</v>
      </c>
    </row>
    <row r="44" ht="12.75">
      <c r="A44" t="s">
        <v>593</v>
      </c>
    </row>
    <row r="48" ht="12.75">
      <c r="A48" t="s">
        <v>611</v>
      </c>
    </row>
    <row r="49" ht="12.75">
      <c r="A49" t="s">
        <v>595</v>
      </c>
    </row>
    <row r="50" ht="12.75">
      <c r="A50" t="s">
        <v>507</v>
      </c>
    </row>
    <row r="51" ht="12.75">
      <c r="A51" t="s">
        <v>508</v>
      </c>
    </row>
    <row r="52" ht="12.75">
      <c r="A52" t="s">
        <v>590</v>
      </c>
    </row>
    <row r="53" ht="12.75">
      <c r="A53" t="s">
        <v>597</v>
      </c>
    </row>
    <row r="54" ht="12.75">
      <c r="A54" t="s">
        <v>598</v>
      </c>
    </row>
    <row r="55" ht="12.75">
      <c r="A55" t="s">
        <v>509</v>
      </c>
    </row>
    <row r="58" ht="12.75">
      <c r="A58" t="s">
        <v>611</v>
      </c>
    </row>
    <row r="59" ht="12.75">
      <c r="A59" t="s">
        <v>510</v>
      </c>
    </row>
    <row r="60" ht="12.75">
      <c r="A60" t="s">
        <v>511</v>
      </c>
    </row>
    <row r="61" ht="12.75">
      <c r="A61" t="s">
        <v>512</v>
      </c>
    </row>
    <row r="62" ht="12.75">
      <c r="A62" t="s">
        <v>609</v>
      </c>
    </row>
    <row r="63" ht="12.75">
      <c r="A63" t="s">
        <v>513</v>
      </c>
    </row>
    <row r="64" ht="12.75">
      <c r="A64" t="s">
        <v>514</v>
      </c>
    </row>
    <row r="65" ht="12.75">
      <c r="A65" t="s">
        <v>515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0">
      <selection activeCell="I25" sqref="I25"/>
    </sheetView>
  </sheetViews>
  <sheetFormatPr defaultColWidth="11.42187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pageSetUpPr fitToPage="1"/>
  </sheetPr>
  <dimension ref="A1:P60"/>
  <sheetViews>
    <sheetView showGridLines="0" tabSelected="1" zoomScale="60" zoomScaleNormal="60" zoomScaleSheetLayoutView="70" zoomScalePageLayoutView="0" workbookViewId="0" topLeftCell="E52">
      <selection activeCell="P52" sqref="P52"/>
    </sheetView>
  </sheetViews>
  <sheetFormatPr defaultColWidth="9.140625" defaultRowHeight="12.75" outlineLevelRow="1"/>
  <cols>
    <col min="1" max="1" width="49.00390625" style="2" customWidth="1"/>
    <col min="2" max="2" width="55.28125" style="2" customWidth="1"/>
    <col min="3" max="3" width="49.140625" style="2" customWidth="1"/>
    <col min="4" max="4" width="190.28125" style="2" customWidth="1"/>
    <col min="5" max="5" width="20.57421875" style="2" customWidth="1"/>
    <col min="6" max="6" width="26.28125" style="2" customWidth="1"/>
    <col min="7" max="7" width="34.140625" style="2" customWidth="1"/>
    <col min="8" max="10" width="9.140625" style="2" customWidth="1"/>
    <col min="11" max="11" width="21.421875" style="2" customWidth="1"/>
    <col min="12" max="12" width="49.57421875" style="2" customWidth="1"/>
    <col min="13" max="16384" width="9.140625" style="2" customWidth="1"/>
  </cols>
  <sheetData>
    <row r="1" spans="1:13" s="16" customFormat="1" ht="25.5" customHeight="1">
      <c r="A1" s="1614" t="s">
        <v>62</v>
      </c>
      <c r="B1" s="1614"/>
      <c r="C1" s="1614"/>
      <c r="D1" s="1614"/>
      <c r="E1" s="1614"/>
      <c r="F1" s="1614"/>
      <c r="G1" s="1614"/>
      <c r="H1" s="17"/>
      <c r="I1" s="18"/>
      <c r="J1" s="18"/>
      <c r="K1" s="19"/>
      <c r="L1" s="19"/>
      <c r="M1" s="50"/>
    </row>
    <row r="2" spans="1:12" s="16" customFormat="1" ht="27" customHeight="1" thickBot="1">
      <c r="A2" s="72" t="s">
        <v>182</v>
      </c>
      <c r="B2" s="72"/>
      <c r="C2" s="32"/>
      <c r="D2" s="32"/>
      <c r="E2" s="46"/>
      <c r="F2" s="32"/>
      <c r="G2" s="32"/>
      <c r="H2" s="32"/>
      <c r="I2" s="32"/>
      <c r="J2" s="19"/>
      <c r="K2" s="19"/>
      <c r="L2" s="19"/>
    </row>
    <row r="3" spans="1:12" s="75" customFormat="1" ht="18" customHeight="1" thickBot="1">
      <c r="A3" s="1672" t="s">
        <v>74</v>
      </c>
      <c r="B3" s="1672"/>
      <c r="C3" s="1672"/>
      <c r="D3" s="1673" t="str">
        <f>IF('[5]PR_Programmatic Progress_1A'!C7="","",'[5]PR_Programmatic Progress_1A'!C7)</f>
        <v>SLV-910-G08-T</v>
      </c>
      <c r="E3" s="1673"/>
      <c r="F3" s="1673"/>
      <c r="G3" s="1673"/>
      <c r="H3" s="25"/>
      <c r="I3" s="25"/>
      <c r="J3" s="25"/>
      <c r="K3" s="25"/>
      <c r="L3" s="25"/>
    </row>
    <row r="4" spans="1:12" s="75" customFormat="1" ht="20.25" customHeight="1">
      <c r="A4" s="90" t="s">
        <v>87</v>
      </c>
      <c r="B4" s="91"/>
      <c r="C4" s="91"/>
      <c r="D4" s="92" t="s">
        <v>88</v>
      </c>
      <c r="E4" s="1597" t="str">
        <f>IF('[5]PR_Programmatic Progress_1A'!D12="Select","",'[5]PR_Programmatic Progress_1A'!D12)</f>
        <v>Semestral</v>
      </c>
      <c r="F4" s="634" t="s">
        <v>90</v>
      </c>
      <c r="G4" s="1598">
        <v>10</v>
      </c>
      <c r="H4" s="25"/>
      <c r="I4" s="25"/>
      <c r="J4" s="25"/>
      <c r="K4" s="25"/>
      <c r="L4" s="25"/>
    </row>
    <row r="5" spans="1:12" s="75" customFormat="1" ht="24.75" customHeight="1">
      <c r="A5" s="94" t="s">
        <v>91</v>
      </c>
      <c r="B5" s="95"/>
      <c r="C5" s="95"/>
      <c r="D5" s="96" t="s">
        <v>92</v>
      </c>
      <c r="E5" s="1599">
        <v>42005</v>
      </c>
      <c r="F5" s="634" t="s">
        <v>93</v>
      </c>
      <c r="G5" s="1600">
        <v>42185</v>
      </c>
      <c r="H5" s="25"/>
      <c r="I5" s="25"/>
      <c r="J5" s="25"/>
      <c r="K5" s="25"/>
      <c r="L5" s="25"/>
    </row>
    <row r="6" spans="1:12" s="75" customFormat="1" ht="15" customHeight="1" thickBot="1">
      <c r="A6" s="97" t="s">
        <v>183</v>
      </c>
      <c r="B6" s="98"/>
      <c r="C6" s="99"/>
      <c r="D6" s="1644">
        <v>10</v>
      </c>
      <c r="E6" s="1644"/>
      <c r="F6" s="1644"/>
      <c r="G6" s="1644"/>
      <c r="H6" s="25"/>
      <c r="I6" s="25"/>
      <c r="J6" s="25"/>
      <c r="K6" s="25"/>
      <c r="L6" s="25"/>
    </row>
    <row r="7" spans="1:12" ht="12.75">
      <c r="A7" s="100"/>
      <c r="B7" s="101"/>
      <c r="C7" s="101"/>
      <c r="D7" s="101"/>
      <c r="E7" s="101"/>
      <c r="F7" s="101"/>
      <c r="G7" s="101"/>
      <c r="H7" s="101"/>
      <c r="I7" s="101"/>
      <c r="J7" s="101"/>
      <c r="K7" s="101"/>
      <c r="L7" s="101"/>
    </row>
    <row r="8" spans="1:16" s="54" customFormat="1" ht="23.25">
      <c r="A8" s="102" t="s">
        <v>184</v>
      </c>
      <c r="B8" s="102"/>
      <c r="C8" s="102"/>
      <c r="D8" s="102"/>
      <c r="E8" s="102"/>
      <c r="F8" s="102"/>
      <c r="G8" s="102"/>
      <c r="H8" s="102"/>
      <c r="I8" s="102"/>
      <c r="J8" s="102"/>
      <c r="K8" s="102"/>
      <c r="L8" s="102"/>
      <c r="M8" s="103"/>
      <c r="N8" s="103"/>
      <c r="O8" s="103"/>
      <c r="P8" s="103"/>
    </row>
    <row r="9" spans="1:16" s="54" customFormat="1" ht="23.25">
      <c r="A9" s="102"/>
      <c r="B9" s="102"/>
      <c r="C9" s="102"/>
      <c r="D9" s="102"/>
      <c r="E9" s="102"/>
      <c r="F9" s="102"/>
      <c r="G9" s="102"/>
      <c r="H9" s="102"/>
      <c r="I9" s="102"/>
      <c r="J9" s="102"/>
      <c r="K9" s="102"/>
      <c r="L9" s="102"/>
      <c r="M9" s="103"/>
      <c r="N9" s="103"/>
      <c r="O9" s="103"/>
      <c r="P9" s="103"/>
    </row>
    <row r="10" spans="1:14" s="107" customFormat="1" ht="24.75" customHeight="1" thickBot="1">
      <c r="A10" s="104" t="s">
        <v>185</v>
      </c>
      <c r="B10" s="105"/>
      <c r="C10" s="105"/>
      <c r="D10" s="105"/>
      <c r="E10" s="105"/>
      <c r="F10" s="105"/>
      <c r="G10" s="105"/>
      <c r="H10" s="105"/>
      <c r="I10" s="105"/>
      <c r="J10" s="105"/>
      <c r="K10" s="105"/>
      <c r="L10" s="105"/>
      <c r="M10" s="106"/>
      <c r="N10" s="106"/>
    </row>
    <row r="11" spans="1:12" s="107" customFormat="1" ht="4.5" customHeight="1">
      <c r="A11" s="1674"/>
      <c r="B11" s="1674"/>
      <c r="C11" s="1674"/>
      <c r="D11" s="1674"/>
      <c r="E11" s="1674"/>
      <c r="F11" s="1674"/>
      <c r="G11" s="1674"/>
      <c r="H11" s="1674"/>
      <c r="I11" s="1674"/>
      <c r="J11" s="1674"/>
      <c r="K11" s="1674"/>
      <c r="L11" s="1674"/>
    </row>
    <row r="12" spans="1:12" s="107" customFormat="1" ht="81" customHeight="1" thickBot="1">
      <c r="A12" s="1675" t="s">
        <v>186</v>
      </c>
      <c r="B12" s="1675"/>
      <c r="C12" s="1675"/>
      <c r="D12" s="1675"/>
      <c r="E12" s="1675"/>
      <c r="F12" s="1675"/>
      <c r="G12" s="1675"/>
      <c r="H12" s="1675"/>
      <c r="I12" s="1675"/>
      <c r="J12" s="1675"/>
      <c r="K12" s="1675"/>
      <c r="L12" s="1675"/>
    </row>
    <row r="13" spans="1:12" s="16" customFormat="1" ht="53.25" customHeight="1">
      <c r="A13" s="1668" t="s">
        <v>1227</v>
      </c>
      <c r="B13" s="1669"/>
      <c r="C13" s="1669"/>
      <c r="D13" s="1669"/>
      <c r="E13" s="1670"/>
      <c r="F13" s="1601" t="s">
        <v>187</v>
      </c>
      <c r="G13" s="1671" t="s">
        <v>188</v>
      </c>
      <c r="H13" s="1671"/>
      <c r="I13" s="1671"/>
      <c r="J13" s="1671"/>
      <c r="K13" s="1671"/>
      <c r="L13" s="1671"/>
    </row>
    <row r="14" spans="1:12" ht="63" customHeight="1" hidden="1">
      <c r="A14" s="1676" t="s">
        <v>189</v>
      </c>
      <c r="B14" s="1676"/>
      <c r="C14" s="1676"/>
      <c r="D14" s="1676"/>
      <c r="E14" s="1676"/>
      <c r="F14" s="109" t="s">
        <v>190</v>
      </c>
      <c r="G14" s="1677" t="s">
        <v>191</v>
      </c>
      <c r="H14" s="1677"/>
      <c r="I14" s="1677"/>
      <c r="J14" s="1677"/>
      <c r="K14" s="1677"/>
      <c r="L14" s="1677"/>
    </row>
    <row r="15" spans="1:12" ht="84.75" customHeight="1" hidden="1">
      <c r="A15" s="1678" t="s">
        <v>192</v>
      </c>
      <c r="B15" s="1678"/>
      <c r="C15" s="1678"/>
      <c r="D15" s="1678"/>
      <c r="E15" s="1678"/>
      <c r="F15" s="109" t="s">
        <v>190</v>
      </c>
      <c r="G15" s="1679" t="s">
        <v>193</v>
      </c>
      <c r="H15" s="1679"/>
      <c r="I15" s="1679"/>
      <c r="J15" s="1679"/>
      <c r="K15" s="1679"/>
      <c r="L15" s="1679"/>
    </row>
    <row r="16" spans="1:12" ht="112.5" customHeight="1" hidden="1">
      <c r="A16" s="1678" t="s">
        <v>194</v>
      </c>
      <c r="B16" s="1678"/>
      <c r="C16" s="1678"/>
      <c r="D16" s="1678"/>
      <c r="E16" s="1678"/>
      <c r="F16" s="109" t="s">
        <v>190</v>
      </c>
      <c r="G16" s="1679" t="s">
        <v>195</v>
      </c>
      <c r="H16" s="1679"/>
      <c r="I16" s="1679"/>
      <c r="J16" s="1679"/>
      <c r="K16" s="1679"/>
      <c r="L16" s="1679"/>
    </row>
    <row r="17" spans="1:12" ht="43.5" customHeight="1" hidden="1">
      <c r="A17" s="1680" t="s">
        <v>196</v>
      </c>
      <c r="B17" s="1680"/>
      <c r="C17" s="1680"/>
      <c r="D17" s="1680"/>
      <c r="E17" s="1680"/>
      <c r="F17" s="58" t="s">
        <v>190</v>
      </c>
      <c r="G17" s="1681"/>
      <c r="H17" s="1682"/>
      <c r="I17" s="1682"/>
      <c r="J17" s="1682"/>
      <c r="K17" s="1682"/>
      <c r="L17" s="1682"/>
    </row>
    <row r="18" spans="1:12" ht="69.75" customHeight="1" hidden="1">
      <c r="A18" s="1680" t="s">
        <v>197</v>
      </c>
      <c r="B18" s="1680"/>
      <c r="C18" s="1680"/>
      <c r="D18" s="1680" t="s">
        <v>198</v>
      </c>
      <c r="E18" s="1680"/>
      <c r="F18" s="58" t="s">
        <v>190</v>
      </c>
      <c r="G18" s="1682" t="s">
        <v>1228</v>
      </c>
      <c r="H18" s="1682"/>
      <c r="I18" s="1682"/>
      <c r="J18" s="1682"/>
      <c r="K18" s="1682"/>
      <c r="L18" s="1682"/>
    </row>
    <row r="19" spans="1:12" ht="72.75" customHeight="1" hidden="1">
      <c r="A19" s="1680" t="s">
        <v>1229</v>
      </c>
      <c r="B19" s="1680"/>
      <c r="C19" s="1680"/>
      <c r="D19" s="1680"/>
      <c r="E19" s="1680"/>
      <c r="F19" s="58" t="s">
        <v>190</v>
      </c>
      <c r="G19" s="1682" t="s">
        <v>1230</v>
      </c>
      <c r="H19" s="1682"/>
      <c r="I19" s="1682"/>
      <c r="J19" s="1682"/>
      <c r="K19" s="1682"/>
      <c r="L19" s="1682"/>
    </row>
    <row r="20" spans="1:12" ht="76.5" customHeight="1" hidden="1">
      <c r="A20" s="1680" t="s">
        <v>1231</v>
      </c>
      <c r="B20" s="1680"/>
      <c r="C20" s="1680"/>
      <c r="D20" s="1680"/>
      <c r="E20" s="1680"/>
      <c r="F20" s="58" t="s">
        <v>1232</v>
      </c>
      <c r="G20" s="1682" t="s">
        <v>1233</v>
      </c>
      <c r="H20" s="1682"/>
      <c r="I20" s="1682"/>
      <c r="J20" s="1682"/>
      <c r="K20" s="1682"/>
      <c r="L20" s="1682"/>
    </row>
    <row r="21" spans="1:12" ht="33.75" customHeight="1" hidden="1">
      <c r="A21" s="1683" t="s">
        <v>199</v>
      </c>
      <c r="B21" s="1683"/>
      <c r="C21" s="1683"/>
      <c r="D21" s="1683"/>
      <c r="E21" s="1683"/>
      <c r="F21" s="58" t="s">
        <v>190</v>
      </c>
      <c r="G21" s="1684" t="s">
        <v>200</v>
      </c>
      <c r="H21" s="1684"/>
      <c r="I21" s="1684"/>
      <c r="J21" s="1684"/>
      <c r="K21" s="1684"/>
      <c r="L21" s="1684"/>
    </row>
    <row r="22" spans="1:12" ht="33.75" customHeight="1" hidden="1" outlineLevel="1">
      <c r="A22" s="1683"/>
      <c r="B22" s="1683"/>
      <c r="C22" s="1683"/>
      <c r="D22" s="1683"/>
      <c r="E22" s="1683"/>
      <c r="F22" s="58" t="s">
        <v>63</v>
      </c>
      <c r="G22" s="1684"/>
      <c r="H22" s="1684"/>
      <c r="I22" s="1684"/>
      <c r="J22" s="1684"/>
      <c r="K22" s="1684"/>
      <c r="L22" s="1684"/>
    </row>
    <row r="23" spans="1:12" ht="33.75" customHeight="1" hidden="1" outlineLevel="1">
      <c r="A23" s="1683"/>
      <c r="B23" s="1683"/>
      <c r="C23" s="1683"/>
      <c r="D23" s="1683"/>
      <c r="E23" s="1683"/>
      <c r="F23" s="58" t="s">
        <v>63</v>
      </c>
      <c r="G23" s="1684"/>
      <c r="H23" s="1684"/>
      <c r="I23" s="1684"/>
      <c r="J23" s="1684"/>
      <c r="K23" s="1684"/>
      <c r="L23" s="1684"/>
    </row>
    <row r="24" spans="1:12" ht="33.75" customHeight="1" hidden="1" outlineLevel="1">
      <c r="A24" s="1683"/>
      <c r="B24" s="1683"/>
      <c r="C24" s="1683"/>
      <c r="D24" s="1683"/>
      <c r="E24" s="1683"/>
      <c r="F24" s="58" t="s">
        <v>63</v>
      </c>
      <c r="G24" s="1684"/>
      <c r="H24" s="1684"/>
      <c r="I24" s="1684"/>
      <c r="J24" s="1684"/>
      <c r="K24" s="1684"/>
      <c r="L24" s="1684"/>
    </row>
    <row r="25" spans="1:12" ht="33.75" customHeight="1" hidden="1" outlineLevel="1">
      <c r="A25" s="1683"/>
      <c r="B25" s="1683"/>
      <c r="C25" s="1683"/>
      <c r="D25" s="1683"/>
      <c r="E25" s="1683"/>
      <c r="F25" s="58" t="s">
        <v>63</v>
      </c>
      <c r="G25" s="1684"/>
      <c r="H25" s="1684"/>
      <c r="I25" s="1684"/>
      <c r="J25" s="1684"/>
      <c r="K25" s="1684"/>
      <c r="L25" s="1684"/>
    </row>
    <row r="26" spans="1:12" ht="33.75" customHeight="1" hidden="1" outlineLevel="1">
      <c r="A26" s="1683"/>
      <c r="B26" s="1683"/>
      <c r="C26" s="1683"/>
      <c r="D26" s="1683"/>
      <c r="E26" s="1683"/>
      <c r="F26" s="58" t="s">
        <v>63</v>
      </c>
      <c r="G26" s="1684"/>
      <c r="H26" s="1684"/>
      <c r="I26" s="1684"/>
      <c r="J26" s="1684"/>
      <c r="K26" s="1684"/>
      <c r="L26" s="1684"/>
    </row>
    <row r="27" spans="1:12" ht="33.75" customHeight="1" hidden="1" outlineLevel="1">
      <c r="A27" s="1683"/>
      <c r="B27" s="1683"/>
      <c r="C27" s="1683"/>
      <c r="D27" s="1683"/>
      <c r="E27" s="1683"/>
      <c r="F27" s="58" t="s">
        <v>63</v>
      </c>
      <c r="G27" s="1684"/>
      <c r="H27" s="1684"/>
      <c r="I27" s="1684"/>
      <c r="J27" s="1684"/>
      <c r="K27" s="1684"/>
      <c r="L27" s="1684"/>
    </row>
    <row r="28" spans="1:12" ht="33.75" customHeight="1" hidden="1" outlineLevel="1">
      <c r="A28" s="1685"/>
      <c r="B28" s="1685"/>
      <c r="C28" s="1685"/>
      <c r="D28" s="1685"/>
      <c r="E28" s="1685"/>
      <c r="F28" s="58" t="s">
        <v>63</v>
      </c>
      <c r="G28" s="1686"/>
      <c r="H28" s="1686"/>
      <c r="I28" s="1686"/>
      <c r="J28" s="1686"/>
      <c r="K28" s="1686"/>
      <c r="L28" s="1686"/>
    </row>
    <row r="29" spans="1:12" s="113" customFormat="1" ht="25.5" customHeight="1" collapsed="1">
      <c r="A29" s="112"/>
      <c r="B29" s="112"/>
      <c r="C29" s="112"/>
      <c r="D29" s="112"/>
      <c r="E29" s="112"/>
      <c r="F29" s="112"/>
      <c r="G29" s="112"/>
      <c r="H29" s="112"/>
      <c r="I29" s="112"/>
      <c r="J29" s="112"/>
      <c r="K29" s="112"/>
      <c r="L29" s="112"/>
    </row>
    <row r="30" spans="1:12" ht="25.5" customHeight="1">
      <c r="A30" s="1687" t="s">
        <v>201</v>
      </c>
      <c r="B30" s="1687"/>
      <c r="C30" s="1687"/>
      <c r="D30" s="1687"/>
      <c r="E30" s="1687"/>
      <c r="F30" s="1687"/>
      <c r="G30" s="1687"/>
      <c r="H30" s="1687"/>
      <c r="I30" s="1687"/>
      <c r="J30" s="1687"/>
      <c r="K30" s="1687"/>
      <c r="L30" s="1687"/>
    </row>
    <row r="31" spans="1:12" ht="77.25" customHeight="1" thickBot="1">
      <c r="A31" s="1688" t="s">
        <v>1234</v>
      </c>
      <c r="B31" s="1688"/>
      <c r="C31" s="1688"/>
      <c r="D31" s="1688"/>
      <c r="E31" s="1688"/>
      <c r="F31" s="1688"/>
      <c r="G31" s="1688"/>
      <c r="H31" s="1688"/>
      <c r="I31" s="1688"/>
      <c r="J31" s="1688"/>
      <c r="K31" s="1688"/>
      <c r="L31" s="1688"/>
    </row>
    <row r="32" spans="1:12" ht="40.5" customHeight="1">
      <c r="A32" s="1697" t="s">
        <v>1235</v>
      </c>
      <c r="B32" s="1697"/>
      <c r="C32" s="1697"/>
      <c r="D32" s="1697"/>
      <c r="E32" s="1698" t="s">
        <v>188</v>
      </c>
      <c r="F32" s="1698"/>
      <c r="G32" s="1698"/>
      <c r="H32" s="1698"/>
      <c r="I32" s="1698"/>
      <c r="J32" s="1698"/>
      <c r="K32" s="1698"/>
      <c r="L32" s="1698"/>
    </row>
    <row r="33" spans="1:12" ht="125.25" customHeight="1" hidden="1">
      <c r="A33" s="1689" t="s">
        <v>1236</v>
      </c>
      <c r="B33" s="1690"/>
      <c r="C33" s="1690"/>
      <c r="D33" s="1691"/>
      <c r="E33" s="1692" t="s">
        <v>1237</v>
      </c>
      <c r="F33" s="1693"/>
      <c r="G33" s="1693"/>
      <c r="H33" s="1693"/>
      <c r="I33" s="1693"/>
      <c r="J33" s="1693"/>
      <c r="K33" s="1693"/>
      <c r="L33" s="1694"/>
    </row>
    <row r="34" spans="1:12" ht="193.5" customHeight="1" hidden="1">
      <c r="A34" s="1689" t="s">
        <v>1238</v>
      </c>
      <c r="B34" s="1690"/>
      <c r="C34" s="1690"/>
      <c r="D34" s="1691"/>
      <c r="E34" s="1695" t="s">
        <v>1239</v>
      </c>
      <c r="F34" s="1696"/>
      <c r="G34" s="1696"/>
      <c r="H34" s="1696"/>
      <c r="I34" s="1696"/>
      <c r="J34" s="1696"/>
      <c r="K34" s="1696"/>
      <c r="L34" s="1696"/>
    </row>
    <row r="35" spans="1:12" ht="245.25" customHeight="1" hidden="1">
      <c r="A35" s="1689" t="s">
        <v>1240</v>
      </c>
      <c r="B35" s="1690"/>
      <c r="C35" s="1690"/>
      <c r="D35" s="1691"/>
      <c r="E35" s="1695" t="s">
        <v>1241</v>
      </c>
      <c r="F35" s="1696"/>
      <c r="G35" s="1696"/>
      <c r="H35" s="1696"/>
      <c r="I35" s="1696"/>
      <c r="J35" s="1696"/>
      <c r="K35" s="1696"/>
      <c r="L35" s="1696"/>
    </row>
    <row r="36" spans="1:12" ht="179.25" customHeight="1" hidden="1">
      <c r="A36" s="1689" t="s">
        <v>1242</v>
      </c>
      <c r="B36" s="1690"/>
      <c r="C36" s="1690"/>
      <c r="D36" s="1691"/>
      <c r="E36" s="1695" t="s">
        <v>1243</v>
      </c>
      <c r="F36" s="1696"/>
      <c r="G36" s="1696"/>
      <c r="H36" s="1696"/>
      <c r="I36" s="1696"/>
      <c r="J36" s="1696"/>
      <c r="K36" s="1696"/>
      <c r="L36" s="1696"/>
    </row>
    <row r="37" spans="1:12" ht="386.25" customHeight="1">
      <c r="A37" s="2063" t="s">
        <v>1256</v>
      </c>
      <c r="B37" s="2064"/>
      <c r="C37" s="2064"/>
      <c r="D37" s="2065"/>
      <c r="E37" s="2066" t="s">
        <v>1257</v>
      </c>
      <c r="F37" s="2066"/>
      <c r="G37" s="2066"/>
      <c r="H37" s="2066"/>
      <c r="I37" s="2066"/>
      <c r="J37" s="2066"/>
      <c r="K37" s="2066"/>
      <c r="L37" s="2066"/>
    </row>
    <row r="38" spans="1:12" ht="369" customHeight="1">
      <c r="A38" s="2063" t="s">
        <v>1258</v>
      </c>
      <c r="B38" s="2064"/>
      <c r="C38" s="2064"/>
      <c r="D38" s="2065"/>
      <c r="E38" s="2067" t="s">
        <v>1259</v>
      </c>
      <c r="F38" s="2067"/>
      <c r="G38" s="2067"/>
      <c r="H38" s="2067"/>
      <c r="I38" s="2067"/>
      <c r="J38" s="2067"/>
      <c r="K38" s="2067"/>
      <c r="L38" s="2067"/>
    </row>
    <row r="39" spans="1:12" ht="70.5" customHeight="1" hidden="1">
      <c r="A39" s="2068" t="s">
        <v>1260</v>
      </c>
      <c r="B39" s="2069"/>
      <c r="C39" s="2069"/>
      <c r="D39" s="2070"/>
      <c r="E39" s="2071" t="s">
        <v>1244</v>
      </c>
      <c r="F39" s="2072"/>
      <c r="G39" s="2072"/>
      <c r="H39" s="2072"/>
      <c r="I39" s="2072"/>
      <c r="J39" s="2072"/>
      <c r="K39" s="2072"/>
      <c r="L39" s="2072"/>
    </row>
    <row r="40" spans="1:12" ht="104.25" customHeight="1" hidden="1">
      <c r="A40" s="2068" t="s">
        <v>1261</v>
      </c>
      <c r="B40" s="2069"/>
      <c r="C40" s="2069"/>
      <c r="D40" s="2070"/>
      <c r="E40" s="2071" t="s">
        <v>1244</v>
      </c>
      <c r="F40" s="2072"/>
      <c r="G40" s="2072"/>
      <c r="H40" s="2072"/>
      <c r="I40" s="2072"/>
      <c r="J40" s="2072"/>
      <c r="K40" s="2072"/>
      <c r="L40" s="2072"/>
    </row>
    <row r="41" spans="1:12" ht="100.5" customHeight="1" hidden="1">
      <c r="A41" s="2068" t="s">
        <v>1262</v>
      </c>
      <c r="B41" s="2069"/>
      <c r="C41" s="2069"/>
      <c r="D41" s="2070"/>
      <c r="E41" s="2071" t="s">
        <v>1244</v>
      </c>
      <c r="F41" s="2072"/>
      <c r="G41" s="2072"/>
      <c r="H41" s="2072"/>
      <c r="I41" s="2072"/>
      <c r="J41" s="2072"/>
      <c r="K41" s="2072"/>
      <c r="L41" s="2072"/>
    </row>
    <row r="42" spans="1:12" ht="96.75" customHeight="1" hidden="1">
      <c r="A42" s="2068" t="s">
        <v>1263</v>
      </c>
      <c r="B42" s="2069"/>
      <c r="C42" s="2069"/>
      <c r="D42" s="2070"/>
      <c r="E42" s="2071" t="s">
        <v>1244</v>
      </c>
      <c r="F42" s="2072"/>
      <c r="G42" s="2072"/>
      <c r="H42" s="2072"/>
      <c r="I42" s="2072"/>
      <c r="J42" s="2072"/>
      <c r="K42" s="2072"/>
      <c r="L42" s="2072"/>
    </row>
    <row r="43" spans="1:12" ht="73.5" customHeight="1" hidden="1">
      <c r="A43" s="2068" t="s">
        <v>1264</v>
      </c>
      <c r="B43" s="2069"/>
      <c r="C43" s="2069"/>
      <c r="D43" s="2070"/>
      <c r="E43" s="2071" t="s">
        <v>1244</v>
      </c>
      <c r="F43" s="2072"/>
      <c r="G43" s="2072"/>
      <c r="H43" s="2072"/>
      <c r="I43" s="2072"/>
      <c r="J43" s="2072"/>
      <c r="K43" s="2072"/>
      <c r="L43" s="2072"/>
    </row>
    <row r="44" spans="1:12" ht="119.25" customHeight="1" hidden="1">
      <c r="A44" s="2068" t="s">
        <v>1265</v>
      </c>
      <c r="B44" s="2069"/>
      <c r="C44" s="2069"/>
      <c r="D44" s="2070"/>
      <c r="E44" s="2071" t="s">
        <v>1244</v>
      </c>
      <c r="F44" s="2072"/>
      <c r="G44" s="2072"/>
      <c r="H44" s="2072"/>
      <c r="I44" s="2072"/>
      <c r="J44" s="2072"/>
      <c r="K44" s="2072"/>
      <c r="L44" s="2072"/>
    </row>
    <row r="45" spans="1:12" ht="348.75" customHeight="1" hidden="1">
      <c r="A45" s="2073" t="s">
        <v>1245</v>
      </c>
      <c r="B45" s="2074"/>
      <c r="C45" s="2074"/>
      <c r="D45" s="2075"/>
      <c r="E45" s="2071" t="s">
        <v>1244</v>
      </c>
      <c r="F45" s="2072"/>
      <c r="G45" s="2072"/>
      <c r="H45" s="2072"/>
      <c r="I45" s="2072"/>
      <c r="J45" s="2072"/>
      <c r="K45" s="2072"/>
      <c r="L45" s="2072"/>
    </row>
    <row r="46" spans="1:12" ht="162.75" customHeight="1" hidden="1">
      <c r="A46" s="2068" t="s">
        <v>1266</v>
      </c>
      <c r="B46" s="2069"/>
      <c r="C46" s="2069"/>
      <c r="D46" s="2070"/>
      <c r="E46" s="2071" t="s">
        <v>1244</v>
      </c>
      <c r="F46" s="2072"/>
      <c r="G46" s="2072"/>
      <c r="H46" s="2072"/>
      <c r="I46" s="2072"/>
      <c r="J46" s="2072"/>
      <c r="K46" s="2072"/>
      <c r="L46" s="2072"/>
    </row>
    <row r="47" spans="1:12" ht="145.5" customHeight="1" hidden="1">
      <c r="A47" s="2068" t="s">
        <v>1267</v>
      </c>
      <c r="B47" s="2069"/>
      <c r="C47" s="2069"/>
      <c r="D47" s="2070"/>
      <c r="E47" s="2071" t="s">
        <v>1244</v>
      </c>
      <c r="F47" s="2072"/>
      <c r="G47" s="2072"/>
      <c r="H47" s="2072"/>
      <c r="I47" s="2072"/>
      <c r="J47" s="2072"/>
      <c r="K47" s="2072"/>
      <c r="L47" s="2072"/>
    </row>
    <row r="48" spans="1:12" ht="409.5" customHeight="1">
      <c r="A48" s="2063" t="s">
        <v>1268</v>
      </c>
      <c r="B48" s="2064"/>
      <c r="C48" s="2064"/>
      <c r="D48" s="2065"/>
      <c r="E48" s="2067" t="s">
        <v>1269</v>
      </c>
      <c r="F48" s="2067"/>
      <c r="G48" s="2067"/>
      <c r="H48" s="2067"/>
      <c r="I48" s="2067"/>
      <c r="J48" s="2067"/>
      <c r="K48" s="2067"/>
      <c r="L48" s="2067"/>
    </row>
    <row r="49" spans="1:12" ht="409.5" customHeight="1">
      <c r="A49" s="2076" t="s">
        <v>1270</v>
      </c>
      <c r="B49" s="2077"/>
      <c r="C49" s="2077"/>
      <c r="D49" s="2078"/>
      <c r="E49" s="2067" t="s">
        <v>1247</v>
      </c>
      <c r="F49" s="2067"/>
      <c r="G49" s="2067"/>
      <c r="H49" s="2067"/>
      <c r="I49" s="2067"/>
      <c r="J49" s="2067"/>
      <c r="K49" s="2067"/>
      <c r="L49" s="2067"/>
    </row>
    <row r="50" spans="1:12" ht="228.75" customHeight="1">
      <c r="A50" s="2076" t="s">
        <v>1271</v>
      </c>
      <c r="B50" s="2077"/>
      <c r="C50" s="2077"/>
      <c r="D50" s="2078"/>
      <c r="E50" s="2067" t="s">
        <v>1246</v>
      </c>
      <c r="F50" s="2067"/>
      <c r="G50" s="2067"/>
      <c r="H50" s="2067"/>
      <c r="I50" s="2067"/>
      <c r="J50" s="2067"/>
      <c r="K50" s="2067"/>
      <c r="L50" s="2067"/>
    </row>
    <row r="51" spans="1:12" ht="284.25" customHeight="1">
      <c r="A51" s="2079" t="s">
        <v>1272</v>
      </c>
      <c r="B51" s="2080"/>
      <c r="C51" s="2080"/>
      <c r="D51" s="2080"/>
      <c r="E51" s="2067" t="s">
        <v>1246</v>
      </c>
      <c r="F51" s="2067"/>
      <c r="G51" s="2067"/>
      <c r="H51" s="2067"/>
      <c r="I51" s="2067"/>
      <c r="J51" s="2067"/>
      <c r="K51" s="2067"/>
      <c r="L51" s="2067"/>
    </row>
    <row r="52" spans="1:12" ht="409.5" customHeight="1">
      <c r="A52" s="2079" t="s">
        <v>1273</v>
      </c>
      <c r="B52" s="2080"/>
      <c r="C52" s="2080"/>
      <c r="D52" s="2080"/>
      <c r="E52" s="2067" t="s">
        <v>1274</v>
      </c>
      <c r="F52" s="2067"/>
      <c r="G52" s="2067"/>
      <c r="H52" s="2067"/>
      <c r="I52" s="2067"/>
      <c r="J52" s="2067"/>
      <c r="K52" s="2067"/>
      <c r="L52" s="2067"/>
    </row>
    <row r="53" spans="1:12" ht="228" customHeight="1">
      <c r="A53" s="2081" t="s">
        <v>1275</v>
      </c>
      <c r="B53" s="2082"/>
      <c r="C53" s="2082"/>
      <c r="D53" s="2083"/>
      <c r="E53" s="2067" t="s">
        <v>1246</v>
      </c>
      <c r="F53" s="2067"/>
      <c r="G53" s="2067"/>
      <c r="H53" s="2067"/>
      <c r="I53" s="2067"/>
      <c r="J53" s="2067"/>
      <c r="K53" s="2067"/>
      <c r="L53" s="2067"/>
    </row>
    <row r="54" spans="1:12" ht="70.5" customHeight="1">
      <c r="A54" s="1700"/>
      <c r="B54" s="1700"/>
      <c r="C54" s="1700"/>
      <c r="D54" s="1700"/>
      <c r="E54" s="1705"/>
      <c r="F54" s="1705"/>
      <c r="G54" s="1705"/>
      <c r="H54" s="1705"/>
      <c r="I54" s="1705"/>
      <c r="J54" s="1705"/>
      <c r="K54" s="1705"/>
      <c r="L54" s="1705"/>
    </row>
    <row r="55" spans="1:12" s="106" customFormat="1" ht="25.5" customHeight="1">
      <c r="A55" s="1704"/>
      <c r="B55" s="1704"/>
      <c r="C55" s="1704"/>
      <c r="D55" s="1704"/>
      <c r="E55" s="1704"/>
      <c r="F55" s="1704"/>
      <c r="G55" s="1704"/>
      <c r="H55" s="1704"/>
      <c r="I55" s="1704"/>
      <c r="J55" s="1704"/>
      <c r="K55" s="1704"/>
      <c r="L55" s="1704"/>
    </row>
    <row r="56" spans="1:12" s="116" customFormat="1" ht="42" customHeight="1">
      <c r="A56" s="1701" t="s">
        <v>685</v>
      </c>
      <c r="B56" s="1702"/>
      <c r="C56" s="1702"/>
      <c r="D56" s="1702"/>
      <c r="E56" s="1702"/>
      <c r="F56" s="1702"/>
      <c r="G56" s="1702"/>
      <c r="H56" s="1702"/>
      <c r="I56" s="1702"/>
      <c r="J56" s="1702"/>
      <c r="K56" s="1702"/>
      <c r="L56" s="1702"/>
    </row>
    <row r="57" spans="1:12" s="106" customFormat="1" ht="53.25" customHeight="1" thickBot="1">
      <c r="A57" s="1703" t="s">
        <v>686</v>
      </c>
      <c r="B57" s="1703"/>
      <c r="C57" s="1703"/>
      <c r="D57" s="1703"/>
      <c r="E57" s="1703"/>
      <c r="F57" s="1703"/>
      <c r="G57" s="1703"/>
      <c r="H57" s="1703"/>
      <c r="I57" s="1703"/>
      <c r="J57" s="1703"/>
      <c r="K57" s="1703"/>
      <c r="L57" s="1703"/>
    </row>
    <row r="58" spans="1:12" s="106" customFormat="1" ht="100.5" customHeight="1">
      <c r="A58" s="1707" t="s">
        <v>687</v>
      </c>
      <c r="B58" s="1707"/>
      <c r="C58" s="1707"/>
      <c r="D58" s="1707"/>
      <c r="E58" s="117" t="s">
        <v>688</v>
      </c>
      <c r="F58" s="117" t="s">
        <v>187</v>
      </c>
      <c r="G58" s="1708" t="s">
        <v>689</v>
      </c>
      <c r="H58" s="1708"/>
      <c r="I58" s="1708"/>
      <c r="J58" s="1708"/>
      <c r="K58" s="1708"/>
      <c r="L58" s="1708"/>
    </row>
    <row r="59" spans="1:12" s="106" customFormat="1" ht="117.75" customHeight="1">
      <c r="A59" s="1709" t="s">
        <v>690</v>
      </c>
      <c r="B59" s="1709"/>
      <c r="C59" s="1709"/>
      <c r="D59" s="1709"/>
      <c r="E59" s="1603">
        <v>42094</v>
      </c>
      <c r="F59" s="1602" t="s">
        <v>691</v>
      </c>
      <c r="G59" s="1699" t="s">
        <v>1255</v>
      </c>
      <c r="H59" s="1699"/>
      <c r="I59" s="1699"/>
      <c r="J59" s="1699"/>
      <c r="K59" s="1699"/>
      <c r="L59" s="1699"/>
    </row>
    <row r="60" spans="1:12" ht="56.25" customHeight="1" thickBot="1">
      <c r="A60" s="1706" t="s">
        <v>692</v>
      </c>
      <c r="B60" s="1706"/>
      <c r="C60" s="1706"/>
      <c r="D60" s="1706"/>
      <c r="E60" s="1603">
        <v>42245</v>
      </c>
      <c r="F60" s="1604" t="s">
        <v>691</v>
      </c>
      <c r="G60" s="1699" t="s">
        <v>1248</v>
      </c>
      <c r="H60" s="1699"/>
      <c r="I60" s="1699"/>
      <c r="J60" s="1699"/>
      <c r="K60" s="1699"/>
      <c r="L60" s="1699"/>
    </row>
  </sheetData>
  <sheetProtection selectLockedCells="1" selectUnlockedCells="1"/>
  <mergeCells count="96">
    <mergeCell ref="A53:D53"/>
    <mergeCell ref="E53:L53"/>
    <mergeCell ref="A54:D54"/>
    <mergeCell ref="E54:L54"/>
    <mergeCell ref="A60:D60"/>
    <mergeCell ref="G60:L60"/>
    <mergeCell ref="A58:D58"/>
    <mergeCell ref="G58:L58"/>
    <mergeCell ref="A59:D59"/>
    <mergeCell ref="G59:L59"/>
    <mergeCell ref="A56:L56"/>
    <mergeCell ref="A57:L57"/>
    <mergeCell ref="A49:D49"/>
    <mergeCell ref="E49:L49"/>
    <mergeCell ref="A50:D50"/>
    <mergeCell ref="E50:L50"/>
    <mergeCell ref="A55:D55"/>
    <mergeCell ref="E55:L55"/>
    <mergeCell ref="A51:D51"/>
    <mergeCell ref="E51:L51"/>
    <mergeCell ref="A52:D52"/>
    <mergeCell ref="E52:L52"/>
    <mergeCell ref="A47:D47"/>
    <mergeCell ref="E47:L47"/>
    <mergeCell ref="A48:D48"/>
    <mergeCell ref="E48:L48"/>
    <mergeCell ref="A44:D44"/>
    <mergeCell ref="E44:L44"/>
    <mergeCell ref="A45:D45"/>
    <mergeCell ref="E45:L45"/>
    <mergeCell ref="A46:D46"/>
    <mergeCell ref="E46:L46"/>
    <mergeCell ref="A41:D41"/>
    <mergeCell ref="E41:L41"/>
    <mergeCell ref="A42:D42"/>
    <mergeCell ref="E42:L42"/>
    <mergeCell ref="A43:D43"/>
    <mergeCell ref="E43:L43"/>
    <mergeCell ref="A38:D38"/>
    <mergeCell ref="E38:L38"/>
    <mergeCell ref="A39:D39"/>
    <mergeCell ref="E39:L39"/>
    <mergeCell ref="A40:D40"/>
    <mergeCell ref="E40:L40"/>
    <mergeCell ref="A35:D35"/>
    <mergeCell ref="E35:L35"/>
    <mergeCell ref="A36:D36"/>
    <mergeCell ref="E36:L36"/>
    <mergeCell ref="A37:D37"/>
    <mergeCell ref="E37:L37"/>
    <mergeCell ref="A30:L30"/>
    <mergeCell ref="A31:L31"/>
    <mergeCell ref="A33:D33"/>
    <mergeCell ref="E33:L33"/>
    <mergeCell ref="A34:D34"/>
    <mergeCell ref="E34:L34"/>
    <mergeCell ref="A32:D32"/>
    <mergeCell ref="E32:L32"/>
    <mergeCell ref="A26:E26"/>
    <mergeCell ref="G26:L26"/>
    <mergeCell ref="A27:E27"/>
    <mergeCell ref="G27:L27"/>
    <mergeCell ref="A28:E28"/>
    <mergeCell ref="G28:L28"/>
    <mergeCell ref="A23:E23"/>
    <mergeCell ref="G23:L23"/>
    <mergeCell ref="A24:E24"/>
    <mergeCell ref="G24:L24"/>
    <mergeCell ref="A25:E25"/>
    <mergeCell ref="G25:L25"/>
    <mergeCell ref="A20:E20"/>
    <mergeCell ref="G20:L20"/>
    <mergeCell ref="A21:E21"/>
    <mergeCell ref="G21:L21"/>
    <mergeCell ref="A22:E22"/>
    <mergeCell ref="G22:L22"/>
    <mergeCell ref="A17:E17"/>
    <mergeCell ref="G17:L17"/>
    <mergeCell ref="A18:E18"/>
    <mergeCell ref="G18:L18"/>
    <mergeCell ref="A19:E19"/>
    <mergeCell ref="G19:L19"/>
    <mergeCell ref="A14:E14"/>
    <mergeCell ref="G14:L14"/>
    <mergeCell ref="A15:E15"/>
    <mergeCell ref="G15:L15"/>
    <mergeCell ref="A16:E16"/>
    <mergeCell ref="G16:L16"/>
    <mergeCell ref="A13:E13"/>
    <mergeCell ref="G13:L13"/>
    <mergeCell ref="A1:G1"/>
    <mergeCell ref="A3:C3"/>
    <mergeCell ref="D3:G3"/>
    <mergeCell ref="D6:G6"/>
    <mergeCell ref="A11:L11"/>
    <mergeCell ref="A12:L12"/>
  </mergeCells>
  <conditionalFormatting sqref="B54 B57:B58">
    <cfRule type="cellIs" priority="29" dxfId="5" operator="notEqual" stopIfTrue="1">
      <formula>A54</formula>
    </cfRule>
    <cfRule type="cellIs" priority="30" dxfId="22" operator="notEqual" stopIfTrue="1">
      <formula>'PR_Grant Management_2'!#REF!</formula>
    </cfRule>
  </conditionalFormatting>
  <conditionalFormatting sqref="A54 A56:A58 A29">
    <cfRule type="cellIs" priority="31" dxfId="5" operator="notEqual" stopIfTrue="1">
      <formula>'PR_Grant Management_2'!#REF!</formula>
    </cfRule>
    <cfRule type="cellIs" priority="32" dxfId="22" operator="notEqual" stopIfTrue="1">
      <formula>'PR_Grant Management_2'!#REF!</formula>
    </cfRule>
  </conditionalFormatting>
  <conditionalFormatting sqref="A28:C28 A14:C22">
    <cfRule type="cellIs" priority="33" dxfId="5" operator="notEqual" stopIfTrue="1">
      <formula>'PR_Grant Management_2'!#REF!</formula>
    </cfRule>
  </conditionalFormatting>
  <conditionalFormatting sqref="A24:C24 A26:C27">
    <cfRule type="cellIs" priority="34" dxfId="5" operator="notEqual" stopIfTrue="1">
      <formula>'PR_Grant Management_2'!#REF!</formula>
    </cfRule>
  </conditionalFormatting>
  <conditionalFormatting sqref="A23:C23">
    <cfRule type="cellIs" priority="35" dxfId="5" operator="notEqual" stopIfTrue="1">
      <formula>'PR_Grant Management_2'!#REF!</formula>
    </cfRule>
  </conditionalFormatting>
  <conditionalFormatting sqref="B56 B59:B60">
    <cfRule type="cellIs" priority="38" dxfId="5" operator="notEqual" stopIfTrue="1">
      <formula>A56</formula>
    </cfRule>
    <cfRule type="cellIs" priority="39" dxfId="87" operator="notEqual" stopIfTrue="1">
      <formula>#REF!</formula>
    </cfRule>
  </conditionalFormatting>
  <conditionalFormatting sqref="A56 A58:A60 A29">
    <cfRule type="cellIs" priority="40" dxfId="5" operator="notEqual" stopIfTrue="1">
      <formula>#REF!</formula>
    </cfRule>
    <cfRule type="cellIs" priority="41" dxfId="87" operator="notEqual" stopIfTrue="1">
      <formula>#REF!</formula>
    </cfRule>
  </conditionalFormatting>
  <conditionalFormatting sqref="A28:C28 A14:C22">
    <cfRule type="cellIs" priority="42" dxfId="5" operator="notEqual" stopIfTrue="1">
      <formula>#REF!</formula>
    </cfRule>
  </conditionalFormatting>
  <conditionalFormatting sqref="A23:C27">
    <cfRule type="cellIs" priority="43" dxfId="5" operator="notEqual" stopIfTrue="1">
      <formula>#REF!</formula>
    </cfRule>
  </conditionalFormatting>
  <conditionalFormatting sqref="C54:E54">
    <cfRule type="cellIs" priority="27" dxfId="5" operator="notEqual" stopIfTrue="1">
      <formula>B54</formula>
    </cfRule>
    <cfRule type="cellIs" priority="28" dxfId="22" operator="notEqual" stopIfTrue="1">
      <formula>A54</formula>
    </cfRule>
  </conditionalFormatting>
  <conditionalFormatting sqref="C56:E56">
    <cfRule type="cellIs" priority="36" dxfId="5" operator="notEqual" stopIfTrue="1">
      <formula>B56</formula>
    </cfRule>
    <cfRule type="cellIs" priority="37" dxfId="87" operator="notEqual" stopIfTrue="1">
      <formula>A56</formula>
    </cfRule>
  </conditionalFormatting>
  <conditionalFormatting sqref="B32 B35:B36">
    <cfRule type="cellIs" priority="22" dxfId="87" operator="notEqual" stopIfTrue="1">
      <formula>#REF!</formula>
    </cfRule>
  </conditionalFormatting>
  <conditionalFormatting sqref="A32 A34:A36 A20">
    <cfRule type="cellIs" priority="20" dxfId="5" operator="notEqual" stopIfTrue="1">
      <formula>#REF!</formula>
    </cfRule>
    <cfRule type="cellIs" priority="21" dxfId="87" operator="notEqual" stopIfTrue="1">
      <formula>#REF!</formula>
    </cfRule>
  </conditionalFormatting>
  <conditionalFormatting sqref="A14:C19">
    <cfRule type="cellIs" priority="19" dxfId="5" operator="notEqual" stopIfTrue="1">
      <formula>#REF!</formula>
    </cfRule>
  </conditionalFormatting>
  <conditionalFormatting sqref="B32 B35:B36">
    <cfRule type="cellIs" priority="18" dxfId="87" operator="notEqual" stopIfTrue="1">
      <formula>#REF!</formula>
    </cfRule>
  </conditionalFormatting>
  <conditionalFormatting sqref="A32 A34:A36 A20">
    <cfRule type="cellIs" priority="16" dxfId="5" operator="notEqual" stopIfTrue="1">
      <formula>#REF!</formula>
    </cfRule>
    <cfRule type="cellIs" priority="17" dxfId="87" operator="notEqual" stopIfTrue="1">
      <formula>#REF!</formula>
    </cfRule>
  </conditionalFormatting>
  <conditionalFormatting sqref="A14:C19">
    <cfRule type="cellIs" priority="15" dxfId="5" operator="notEqual" stopIfTrue="1">
      <formula>#REF!</formula>
    </cfRule>
  </conditionalFormatting>
  <conditionalFormatting sqref="B33:B48">
    <cfRule type="cellIs" priority="14" dxfId="5" operator="notEqual" stopIfTrue="1">
      <formula>A33</formula>
    </cfRule>
  </conditionalFormatting>
  <conditionalFormatting sqref="B35 B38:B45">
    <cfRule type="cellIs" priority="12" dxfId="5" operator="notEqual" stopIfTrue="1">
      <formula>A35</formula>
    </cfRule>
    <cfRule type="cellIs" priority="13" dxfId="87" operator="notEqual" stopIfTrue="1">
      <formula>#REF!</formula>
    </cfRule>
  </conditionalFormatting>
  <conditionalFormatting sqref="A56 A58:A60 A35 A29 A37:A45">
    <cfRule type="cellIs" priority="10" dxfId="5" operator="notEqual" stopIfTrue="1">
      <formula>#REF!</formula>
    </cfRule>
    <cfRule type="cellIs" priority="11" dxfId="87" operator="notEqual" stopIfTrue="1">
      <formula>#REF!</formula>
    </cfRule>
  </conditionalFormatting>
  <conditionalFormatting sqref="A14:C28">
    <cfRule type="cellIs" priority="9" dxfId="5" operator="notEqual" stopIfTrue="1">
      <formula>#REF!</formula>
    </cfRule>
  </conditionalFormatting>
  <conditionalFormatting sqref="C33:D48">
    <cfRule type="cellIs" priority="7" dxfId="5" operator="notEqual" stopIfTrue="1">
      <formula>B33</formula>
    </cfRule>
    <cfRule type="cellIs" priority="8" dxfId="22" operator="notEqual" stopIfTrue="1">
      <formula>A33</formula>
    </cfRule>
  </conditionalFormatting>
  <conditionalFormatting sqref="C35:D35">
    <cfRule type="cellIs" priority="5" dxfId="5" operator="notEqual" stopIfTrue="1">
      <formula>B35</formula>
    </cfRule>
    <cfRule type="cellIs" priority="6" dxfId="87" operator="notEqual" stopIfTrue="1">
      <formula>A35</formula>
    </cfRule>
  </conditionalFormatting>
  <conditionalFormatting sqref="B59:B60">
    <cfRule type="cellIs" priority="4" dxfId="87" operator="notEqual" stopIfTrue="1">
      <formula>#REF!</formula>
    </cfRule>
  </conditionalFormatting>
  <conditionalFormatting sqref="B34">
    <cfRule type="cellIs" priority="3" dxfId="5" operator="notEqual" stopIfTrue="1">
      <formula>A34</formula>
    </cfRule>
  </conditionalFormatting>
  <conditionalFormatting sqref="C34:D34">
    <cfRule type="cellIs" priority="1" dxfId="5" operator="notEqual" stopIfTrue="1">
      <formula>B34</formula>
    </cfRule>
    <cfRule type="cellIs" priority="2" dxfId="22" operator="notEqual" stopIfTrue="1">
      <formula>A34</formula>
    </cfRule>
  </conditionalFormatting>
  <dataValidations count="2">
    <dataValidation type="list" allowBlank="1" showErrorMessage="1" sqref="F14:F28">
      <formula1>"Seleccionar,Cumplidas,Sin cumplir - en curso,Sin cumplir - sin iniciar "</formula1>
      <formula2>0</formula2>
    </dataValidation>
    <dataValidation type="list" allowBlank="1" showErrorMessage="1" sqref="D2:H2">
      <formula1>"Select,USD,EUR"</formula1>
      <formula2>0</formula2>
    </dataValidation>
  </dataValidations>
  <printOptions horizontalCentered="1" verticalCentered="1"/>
  <pageMargins left="0.5511811023622047" right="0.5511811023622047" top="0.7874015748031497" bottom="0.7874015748031497" header="0.5118110236220472" footer="0.5118110236220472"/>
  <pageSetup cellComments="atEnd" fitToHeight="3" fitToWidth="1" horizontalDpi="300" verticalDpi="300" orientation="landscape" paperSize="119" scale="54" r:id="rId1"/>
  <headerFooter alignWithMargins="0">
    <oddFooter>&amp;L&amp;9&amp;F&amp;C&amp;A&amp;R&amp;9Page &amp;P of &amp;N</oddFooter>
  </headerFooter>
  <rowBreaks count="2" manualBreakCount="2">
    <brk id="29" max="255" man="1"/>
    <brk id="41" max="255" man="1"/>
  </rowBreaks>
</worksheet>
</file>

<file path=xl/worksheets/sheet5.xml><?xml version="1.0" encoding="utf-8"?>
<worksheet xmlns="http://schemas.openxmlformats.org/spreadsheetml/2006/main" xmlns:r="http://schemas.openxmlformats.org/officeDocument/2006/relationships">
  <sheetPr>
    <tabColor indexed="11"/>
  </sheetPr>
  <dimension ref="A1:N20"/>
  <sheetViews>
    <sheetView showGridLines="0" zoomScale="60" zoomScaleNormal="60" zoomScaleSheetLayoutView="50" zoomScalePageLayoutView="0" workbookViewId="0" topLeftCell="F12">
      <selection activeCell="K13" sqref="K13"/>
    </sheetView>
  </sheetViews>
  <sheetFormatPr defaultColWidth="9.140625" defaultRowHeight="12.75"/>
  <cols>
    <col min="1" max="1" width="15.00390625" style="2" customWidth="1"/>
    <col min="2" max="2" width="45.421875" style="2" customWidth="1"/>
    <col min="3" max="3" width="24.57421875" style="2" customWidth="1"/>
    <col min="4" max="4" width="25.00390625" style="2" customWidth="1"/>
    <col min="5" max="5" width="23.7109375" style="2" customWidth="1"/>
    <col min="6" max="6" width="40.7109375" style="2" customWidth="1"/>
    <col min="7" max="7" width="63.8515625" style="2" customWidth="1"/>
    <col min="8" max="8" width="25.28125" style="119" customWidth="1"/>
    <col min="9" max="9" width="23.421875" style="2" customWidth="1"/>
    <col min="10" max="10" width="22.7109375" style="2" customWidth="1"/>
    <col min="11" max="11" width="133.8515625" style="2" customWidth="1"/>
    <col min="12" max="16384" width="9.140625" style="2" customWidth="1"/>
  </cols>
  <sheetData>
    <row r="1" spans="1:12" ht="25.5" customHeight="1">
      <c r="A1" s="1713" t="s">
        <v>62</v>
      </c>
      <c r="B1" s="1713"/>
      <c r="C1" s="1713"/>
      <c r="D1" s="1713"/>
      <c r="E1" s="1713"/>
      <c r="F1" s="1713"/>
      <c r="G1" s="1713"/>
      <c r="H1" s="120"/>
      <c r="I1" s="121"/>
      <c r="J1" s="101"/>
      <c r="K1" s="101"/>
      <c r="L1" s="101"/>
    </row>
    <row r="2" spans="1:12" s="16" customFormat="1" ht="27" customHeight="1">
      <c r="A2" s="72" t="s">
        <v>693</v>
      </c>
      <c r="B2" s="32"/>
      <c r="C2" s="32"/>
      <c r="D2" s="46"/>
      <c r="E2" s="32"/>
      <c r="F2" s="32"/>
      <c r="G2" s="101"/>
      <c r="H2" s="33"/>
      <c r="I2" s="32"/>
      <c r="J2" s="19"/>
      <c r="K2" s="19"/>
      <c r="L2" s="13"/>
    </row>
    <row r="3" spans="1:12" s="75" customFormat="1" ht="28.5" customHeight="1">
      <c r="A3" s="1672" t="s">
        <v>74</v>
      </c>
      <c r="B3" s="1672"/>
      <c r="C3" s="1672"/>
      <c r="D3" s="1714" t="str">
        <f>IF('PR_Programmatic Progress_1A'!C7="","",'PR_Programmatic Progress_1A'!C7)</f>
        <v>SLV-910-G08-T</v>
      </c>
      <c r="E3" s="1714"/>
      <c r="F3" s="1714"/>
      <c r="G3" s="1714"/>
      <c r="H3" s="25"/>
      <c r="I3" s="25"/>
      <c r="J3" s="25"/>
      <c r="K3" s="25"/>
      <c r="L3" s="25"/>
    </row>
    <row r="4" spans="1:12" s="75" customFormat="1" ht="15" customHeight="1">
      <c r="A4" s="90" t="s">
        <v>87</v>
      </c>
      <c r="B4" s="91"/>
      <c r="C4" s="91"/>
      <c r="D4" s="92" t="s">
        <v>88</v>
      </c>
      <c r="E4" s="122" t="str">
        <f>IF('PR_Programmatic Progress_1A'!D12="Select","",'PR_Programmatic Progress_1A'!D12)</f>
        <v>Semestral</v>
      </c>
      <c r="F4" s="93" t="s">
        <v>694</v>
      </c>
      <c r="G4" s="123">
        <f>IF('PR_Programmatic Progress_1A'!F12="Select","",'PR_Programmatic Progress_1A'!F12)</f>
        <v>10</v>
      </c>
      <c r="H4" s="25"/>
      <c r="I4" s="25"/>
      <c r="J4" s="25"/>
      <c r="K4" s="25"/>
      <c r="L4" s="25"/>
    </row>
    <row r="5" spans="1:12" s="75" customFormat="1" ht="15" customHeight="1">
      <c r="A5" s="94" t="s">
        <v>91</v>
      </c>
      <c r="B5" s="95"/>
      <c r="C5" s="95"/>
      <c r="D5" s="96" t="s">
        <v>92</v>
      </c>
      <c r="E5" s="124">
        <f>IF('PR_Programmatic Progress_1A'!D13="","",'PR_Programmatic Progress_1A'!D13)</f>
        <v>42005</v>
      </c>
      <c r="F5" s="93" t="s">
        <v>134</v>
      </c>
      <c r="G5" s="125">
        <f>IF('PR_Programmatic Progress_1A'!F13="","",'PR_Programmatic Progress_1A'!F13)</f>
        <v>42185</v>
      </c>
      <c r="H5" s="25"/>
      <c r="I5" s="25"/>
      <c r="J5" s="25"/>
      <c r="K5" s="25"/>
      <c r="L5" s="25"/>
    </row>
    <row r="6" spans="1:12" s="75" customFormat="1" ht="15" customHeight="1">
      <c r="A6" s="97" t="s">
        <v>94</v>
      </c>
      <c r="B6" s="98" t="s">
        <v>695</v>
      </c>
      <c r="C6" s="99"/>
      <c r="D6" s="1715">
        <f>IF('PR_Programmatic Progress_1A'!C14="Select","",'PR_Programmatic Progress_1A'!C14)</f>
        <v>10</v>
      </c>
      <c r="E6" s="1715"/>
      <c r="F6" s="1715"/>
      <c r="G6" s="1715"/>
      <c r="H6" s="25"/>
      <c r="I6" s="25"/>
      <c r="J6" s="25"/>
      <c r="K6" s="25"/>
      <c r="L6" s="25"/>
    </row>
    <row r="7" spans="1:12" s="75" customFormat="1" ht="15" customHeight="1">
      <c r="A7" s="1710" t="s">
        <v>82</v>
      </c>
      <c r="B7" s="1710"/>
      <c r="C7" s="126"/>
      <c r="D7" s="1711" t="str">
        <f>IF('PR_Programmatic Progress_1A'!C10="Select","",'PR_Programmatic Progress_1A'!C10)</f>
        <v>USD</v>
      </c>
      <c r="E7" s="1711"/>
      <c r="F7" s="1711"/>
      <c r="G7" s="1711"/>
      <c r="H7" s="25"/>
      <c r="I7" s="25"/>
      <c r="J7" s="25"/>
      <c r="K7" s="25"/>
      <c r="L7" s="25"/>
    </row>
    <row r="8" spans="1:12" s="16" customFormat="1" ht="15.75" customHeight="1">
      <c r="A8" s="32"/>
      <c r="B8" s="32"/>
      <c r="C8" s="32"/>
      <c r="D8" s="46"/>
      <c r="E8" s="32"/>
      <c r="F8" s="19"/>
      <c r="G8" s="33"/>
      <c r="H8" s="32"/>
      <c r="I8" s="19"/>
      <c r="J8" s="19"/>
      <c r="K8" s="13"/>
      <c r="L8" s="13"/>
    </row>
    <row r="9" spans="1:12" s="54" customFormat="1" ht="27" customHeight="1">
      <c r="A9" s="1712" t="s">
        <v>696</v>
      </c>
      <c r="B9" s="1712"/>
      <c r="C9" s="1712"/>
      <c r="D9" s="1712"/>
      <c r="E9" s="1712"/>
      <c r="F9" s="1712"/>
      <c r="G9" s="1712"/>
      <c r="H9" s="1712"/>
      <c r="I9" s="1712"/>
      <c r="J9" s="1712"/>
      <c r="K9" s="127"/>
      <c r="L9" s="127"/>
    </row>
    <row r="10" spans="1:12" s="54" customFormat="1" ht="27" customHeight="1">
      <c r="A10" s="128" t="s">
        <v>697</v>
      </c>
      <c r="B10" s="129"/>
      <c r="C10" s="129"/>
      <c r="D10" s="129"/>
      <c r="E10" s="129"/>
      <c r="F10" s="129"/>
      <c r="G10" s="129"/>
      <c r="H10" s="129"/>
      <c r="I10" s="129"/>
      <c r="J10" s="129"/>
      <c r="K10" s="127"/>
      <c r="L10" s="127"/>
    </row>
    <row r="11" spans="1:12" s="16" customFormat="1" ht="151.5" customHeight="1">
      <c r="A11" s="1707" t="s">
        <v>698</v>
      </c>
      <c r="B11" s="1707"/>
      <c r="C11" s="117" t="s">
        <v>699</v>
      </c>
      <c r="D11" s="117" t="s">
        <v>700</v>
      </c>
      <c r="E11" s="130" t="s">
        <v>701</v>
      </c>
      <c r="F11" s="1719" t="s">
        <v>1152</v>
      </c>
      <c r="G11" s="1719"/>
      <c r="H11" s="117" t="s">
        <v>202</v>
      </c>
      <c r="I11" s="117" t="s">
        <v>203</v>
      </c>
      <c r="J11" s="117" t="s">
        <v>701</v>
      </c>
      <c r="K11" s="131" t="s">
        <v>1152</v>
      </c>
      <c r="L11" s="13"/>
    </row>
    <row r="12" spans="1:12" s="16" customFormat="1" ht="87.75" customHeight="1">
      <c r="A12" s="1709" t="s">
        <v>204</v>
      </c>
      <c r="B12" s="1709"/>
      <c r="C12" s="132">
        <f>C13+C14</f>
        <v>144882</v>
      </c>
      <c r="D12" s="132">
        <f>D13+D14</f>
        <v>58430.34</v>
      </c>
      <c r="E12" s="133">
        <f>IF(C12="",IF(D12="","",C12-D12),C12-D12)</f>
        <v>86451.66</v>
      </c>
      <c r="F12" s="1716"/>
      <c r="G12" s="1716"/>
      <c r="H12" s="132">
        <f>H13+H14</f>
        <v>4607116.54</v>
      </c>
      <c r="I12" s="132">
        <f>I13+I14</f>
        <v>4306678.44</v>
      </c>
      <c r="J12" s="133">
        <f>IF(H12="",IF(I12="","",H12-I12),H12-I12)</f>
        <v>300438.0999999996</v>
      </c>
      <c r="K12" s="134"/>
      <c r="L12" s="13"/>
    </row>
    <row r="13" spans="1:12" s="16" customFormat="1" ht="408.75" customHeight="1">
      <c r="A13" s="1717" t="s">
        <v>205</v>
      </c>
      <c r="B13" s="1717"/>
      <c r="C13" s="135">
        <v>144882</v>
      </c>
      <c r="D13" s="135">
        <v>58430.34</v>
      </c>
      <c r="E13" s="136">
        <f>IF(C13="",IF(D13="",0,C13-D13),C13-D13)</f>
        <v>86451.66</v>
      </c>
      <c r="F13" s="1718" t="s">
        <v>1154</v>
      </c>
      <c r="G13" s="1718"/>
      <c r="H13" s="135">
        <f>1006281+602374+1206119.9+993573.64+653886+144882</f>
        <v>4607116.54</v>
      </c>
      <c r="I13" s="135">
        <f>329881.52+271906+236435+50000+487881.24+1143850.28+25000+1310779.74+58430.34+392514.32</f>
        <v>4306678.44</v>
      </c>
      <c r="J13" s="136">
        <f>IF(H13="",IF(I13="",0,H13-I13),H13-I13)</f>
        <v>300438.0999999996</v>
      </c>
      <c r="K13" s="1357" t="s">
        <v>1153</v>
      </c>
      <c r="L13" s="13"/>
    </row>
    <row r="14" spans="1:12" s="16" customFormat="1" ht="118.5" customHeight="1">
      <c r="A14" s="1720" t="s">
        <v>525</v>
      </c>
      <c r="B14" s="1720"/>
      <c r="C14" s="137"/>
      <c r="D14" s="137"/>
      <c r="E14" s="138">
        <f>IF(C14="",IF(D14="",0,C14-D14),C14-D14)</f>
        <v>0</v>
      </c>
      <c r="F14" s="1721"/>
      <c r="G14" s="1721"/>
      <c r="H14" s="137"/>
      <c r="I14" s="137"/>
      <c r="J14" s="138">
        <f>IF(H14="",IF(I14="",0,H14-I14),H14-I14)</f>
        <v>0</v>
      </c>
      <c r="K14" s="139" t="s">
        <v>526</v>
      </c>
      <c r="L14" s="13"/>
    </row>
    <row r="15" spans="1:14" s="107" customFormat="1" ht="18.75" customHeight="1">
      <c r="A15" s="140"/>
      <c r="B15" s="140"/>
      <c r="C15" s="141"/>
      <c r="D15" s="141"/>
      <c r="E15" s="142"/>
      <c r="F15" s="143"/>
      <c r="G15" s="143"/>
      <c r="H15" s="141"/>
      <c r="I15" s="141"/>
      <c r="J15" s="142"/>
      <c r="K15" s="143"/>
      <c r="L15" s="144"/>
      <c r="M15" s="145"/>
      <c r="N15" s="145"/>
    </row>
    <row r="16" spans="1:12" s="16" customFormat="1" ht="128.25" customHeight="1">
      <c r="A16" s="1707"/>
      <c r="B16" s="1707"/>
      <c r="C16" s="117" t="s">
        <v>699</v>
      </c>
      <c r="D16" s="117" t="s">
        <v>700</v>
      </c>
      <c r="E16" s="130" t="s">
        <v>701</v>
      </c>
      <c r="F16" s="1719" t="s">
        <v>1152</v>
      </c>
      <c r="G16" s="1719"/>
      <c r="H16" s="117" t="s">
        <v>202</v>
      </c>
      <c r="I16" s="117" t="s">
        <v>203</v>
      </c>
      <c r="J16" s="117" t="s">
        <v>701</v>
      </c>
      <c r="K16" s="131" t="s">
        <v>1152</v>
      </c>
      <c r="L16" s="14"/>
    </row>
    <row r="17" spans="1:12" s="16" customFormat="1" ht="78.75" customHeight="1">
      <c r="A17" s="1709" t="s">
        <v>527</v>
      </c>
      <c r="B17" s="1709"/>
      <c r="C17" s="146">
        <f>C18+C19</f>
        <v>0</v>
      </c>
      <c r="D17" s="146">
        <f>D18+D19</f>
        <v>0</v>
      </c>
      <c r="E17" s="146">
        <f>IF(C17="",IF(D17="","",C17-D17),C17-D17)</f>
        <v>0</v>
      </c>
      <c r="F17" s="1724"/>
      <c r="G17" s="1724"/>
      <c r="H17" s="146">
        <f>H18+H19</f>
        <v>740335.2000000001</v>
      </c>
      <c r="I17" s="146">
        <f>I18+I19</f>
        <v>745434.06</v>
      </c>
      <c r="J17" s="146">
        <f>IF(H17="",IF(I17="","",H17-I17),H17-I17)</f>
        <v>-5098.859999999986</v>
      </c>
      <c r="K17" s="147"/>
      <c r="L17" s="14"/>
    </row>
    <row r="18" spans="1:12" s="16" customFormat="1" ht="122.25" customHeight="1">
      <c r="A18" s="1725" t="s">
        <v>528</v>
      </c>
      <c r="B18" s="1725"/>
      <c r="C18" s="148">
        <v>0</v>
      </c>
      <c r="D18" s="148">
        <v>0</v>
      </c>
      <c r="E18" s="149">
        <f>IF(C18="",IF(D18="",0,C18-D18),C18-D18)</f>
        <v>0</v>
      </c>
      <c r="F18" s="1726"/>
      <c r="G18" s="1726"/>
      <c r="H18" s="1358">
        <f>5463+5463.1</f>
        <v>10926.1</v>
      </c>
      <c r="I18" s="1358">
        <f>11210.8+13632.16</f>
        <v>24842.96</v>
      </c>
      <c r="J18" s="150">
        <f>IF(H18="",IF(I18="",0,H18-I18),H18-I18)</f>
        <v>-13916.859999999999</v>
      </c>
      <c r="K18" s="151" t="s">
        <v>250</v>
      </c>
      <c r="L18" s="85"/>
    </row>
    <row r="19" spans="1:12" s="16" customFormat="1" ht="122.25" customHeight="1">
      <c r="A19" s="1722" t="s">
        <v>529</v>
      </c>
      <c r="B19" s="1722"/>
      <c r="C19" s="152">
        <v>0</v>
      </c>
      <c r="D19" s="152">
        <v>0</v>
      </c>
      <c r="E19" s="153">
        <f>IF(C19="",IF(D19="",0,C19-D19),C19-D19)</f>
        <v>0</v>
      </c>
      <c r="F19" s="1723"/>
      <c r="G19" s="1723"/>
      <c r="H19" s="1359">
        <f>428184.9+77609.2+223615</f>
        <v>729409.1000000001</v>
      </c>
      <c r="I19" s="1359">
        <f>428186.58+77609.22+214795.3</f>
        <v>720591.1000000001</v>
      </c>
      <c r="J19" s="154">
        <f>IF(H19="",IF(I19="",0,H19-I19),H19-I19)</f>
        <v>8818</v>
      </c>
      <c r="K19" s="155" t="s">
        <v>251</v>
      </c>
      <c r="L19" s="85"/>
    </row>
    <row r="20" spans="1:12" s="16" customFormat="1" ht="10.5" customHeight="1">
      <c r="A20" s="156"/>
      <c r="B20" s="112"/>
      <c r="C20" s="157"/>
      <c r="D20" s="157"/>
      <c r="E20" s="157"/>
      <c r="F20" s="158"/>
      <c r="G20" s="159"/>
      <c r="H20" s="157"/>
      <c r="I20" s="157"/>
      <c r="J20" s="157"/>
      <c r="K20" s="157"/>
      <c r="L20" s="85"/>
    </row>
    <row r="21" ht="19.5" customHeight="1"/>
  </sheetData>
  <sheetProtection password="92D1" sheet="1" formatCells="0" formatColumns="0" formatRows="0"/>
  <mergeCells count="23">
    <mergeCell ref="A14:B14"/>
    <mergeCell ref="F14:G14"/>
    <mergeCell ref="A19:B19"/>
    <mergeCell ref="F19:G19"/>
    <mergeCell ref="A17:B17"/>
    <mergeCell ref="F17:G17"/>
    <mergeCell ref="A18:B18"/>
    <mergeCell ref="F18:G18"/>
    <mergeCell ref="A16:B16"/>
    <mergeCell ref="F16:G16"/>
    <mergeCell ref="A11:B11"/>
    <mergeCell ref="A12:B12"/>
    <mergeCell ref="F12:G12"/>
    <mergeCell ref="A13:B13"/>
    <mergeCell ref="F13:G13"/>
    <mergeCell ref="F11:G11"/>
    <mergeCell ref="A7:B7"/>
    <mergeCell ref="D7:G7"/>
    <mergeCell ref="A9:J9"/>
    <mergeCell ref="A1:G1"/>
    <mergeCell ref="A3:C3"/>
    <mergeCell ref="D3:G3"/>
    <mergeCell ref="D6:G6"/>
  </mergeCells>
  <conditionalFormatting sqref="E15 J15 H17:I19 F17 C13:D14 H13:I14 C17:D19 C20:K20 K17:K19">
    <cfRule type="cellIs" priority="1" dxfId="14" operator="lessThan" stopIfTrue="1">
      <formula>0</formula>
    </cfRule>
  </conditionalFormatting>
  <conditionalFormatting sqref="E15 J15 F17 C20:K20 H17 K17">
    <cfRule type="cellIs" priority="2" dxfId="0" operator="lessThan" stopIfTrue="1">
      <formula>0</formula>
    </cfRule>
  </conditionalFormatting>
  <dataValidations count="1">
    <dataValidation type="list" allowBlank="1" showErrorMessage="1" sqref="C2:F2">
      <formula1>"Select,USD,EUR"</formula1>
      <formula2>0</formula2>
    </dataValidation>
  </dataValidations>
  <printOptions horizontalCentered="1" verticalCentered="1"/>
  <pageMargins left="0.35433070866141736" right="0.35433070866141736" top="0.3937007874015748" bottom="0.5118110236220472" header="0.5118110236220472" footer="0.5118110236220472"/>
  <pageSetup cellComments="atEnd" horizontalDpi="300" verticalDpi="300" orientation="landscape" paperSize="119" scale="45" r:id="rId1"/>
  <headerFooter alignWithMargins="0">
    <oddFooter>&amp;L&amp;9&amp;F&amp;C&amp;A&amp;R&amp;9Page &amp;P of &amp;N</oddFooter>
  </headerFooter>
  <rowBreaks count="1" manualBreakCount="1">
    <brk id="15" max="255" man="1"/>
  </rowBreaks>
</worksheet>
</file>

<file path=xl/worksheets/sheet6.xml><?xml version="1.0" encoding="utf-8"?>
<worksheet xmlns="http://schemas.openxmlformats.org/spreadsheetml/2006/main" xmlns:r="http://schemas.openxmlformats.org/officeDocument/2006/relationships">
  <sheetPr>
    <tabColor indexed="11"/>
    <pageSetUpPr fitToPage="1"/>
  </sheetPr>
  <dimension ref="A1:Z92"/>
  <sheetViews>
    <sheetView zoomScale="80" zoomScaleNormal="80" zoomScaleSheetLayoutView="70" zoomScalePageLayoutView="0" workbookViewId="0" topLeftCell="A52">
      <selection activeCell="L55" sqref="L55"/>
    </sheetView>
  </sheetViews>
  <sheetFormatPr defaultColWidth="9.140625" defaultRowHeight="12.75"/>
  <cols>
    <col min="1" max="2" width="21.140625" style="160" customWidth="1"/>
    <col min="3" max="3" width="16.8515625" style="160" customWidth="1"/>
    <col min="4" max="4" width="19.8515625" style="160" customWidth="1"/>
    <col min="5" max="7" width="21.140625" style="160" customWidth="1"/>
    <col min="8" max="8" width="42.8515625" style="160" customWidth="1"/>
    <col min="9" max="12" width="21.140625" style="160" customWidth="1"/>
    <col min="13" max="13" width="3.8515625" style="160" customWidth="1"/>
    <col min="14" max="14" width="21.140625" style="160" customWidth="1"/>
    <col min="15" max="15" width="9.140625" style="160" customWidth="1"/>
    <col min="16" max="26" width="0" style="160" hidden="1" customWidth="1"/>
    <col min="27" max="16384" width="9.140625" style="160" customWidth="1"/>
  </cols>
  <sheetData>
    <row r="1" spans="1:13" ht="18" customHeight="1">
      <c r="A1" s="1729" t="s">
        <v>531</v>
      </c>
      <c r="B1" s="1729"/>
      <c r="C1" s="1729"/>
      <c r="D1" s="1729"/>
      <c r="E1" s="1729"/>
      <c r="F1" s="1729"/>
      <c r="G1" s="161"/>
      <c r="H1" s="161"/>
      <c r="I1" s="162"/>
      <c r="J1" s="162"/>
      <c r="K1" s="162"/>
      <c r="L1" s="2"/>
      <c r="M1" s="163"/>
    </row>
    <row r="2" spans="1:13" ht="12.75">
      <c r="A2" s="2"/>
      <c r="B2" s="2"/>
      <c r="C2" s="2"/>
      <c r="D2" s="164"/>
      <c r="E2" s="165"/>
      <c r="F2" s="166"/>
      <c r="G2" s="167"/>
      <c r="H2" s="2"/>
      <c r="I2" s="162"/>
      <c r="J2" s="162"/>
      <c r="K2" s="162"/>
      <c r="L2" s="2"/>
      <c r="M2" s="163"/>
    </row>
    <row r="3" spans="1:13" ht="12.75" customHeight="1">
      <c r="A3" s="1730" t="s">
        <v>532</v>
      </c>
      <c r="B3" s="1730"/>
      <c r="C3" s="1731" t="str">
        <f>'PR_Programmatic Progress_1A'!C5:F5</f>
        <v>El Salvador</v>
      </c>
      <c r="D3" s="1731"/>
      <c r="E3" s="165"/>
      <c r="F3" s="1732" t="s">
        <v>533</v>
      </c>
      <c r="G3" s="1732"/>
      <c r="H3" s="1732"/>
      <c r="I3" s="162"/>
      <c r="J3" s="162"/>
      <c r="K3" s="162"/>
      <c r="L3" s="2"/>
      <c r="M3" s="163"/>
    </row>
    <row r="4" spans="1:13" ht="12.75" customHeight="1">
      <c r="A4" s="1727" t="s">
        <v>534</v>
      </c>
      <c r="B4" s="1727"/>
      <c r="C4" s="1728" t="str">
        <f>'PR_Programmatic Progress_1A'!C7:F7</f>
        <v>SLV-910-G08-T</v>
      </c>
      <c r="D4" s="1728"/>
      <c r="E4" s="165"/>
      <c r="F4" s="1732"/>
      <c r="G4" s="1732"/>
      <c r="H4" s="1732"/>
      <c r="I4" s="162"/>
      <c r="J4" s="162"/>
      <c r="K4" s="162"/>
      <c r="L4" s="2"/>
      <c r="M4" s="163"/>
    </row>
    <row r="5" spans="1:13" ht="12.75" customHeight="1">
      <c r="A5" s="1727" t="s">
        <v>535</v>
      </c>
      <c r="B5" s="1727"/>
      <c r="C5" s="1728" t="str">
        <f>'PR_Programmatic Progress_1A'!C8:F8</f>
        <v>Ministerio de Salud </v>
      </c>
      <c r="D5" s="1728"/>
      <c r="E5" s="165"/>
      <c r="F5" s="168" t="s">
        <v>536</v>
      </c>
      <c r="G5" s="167"/>
      <c r="H5" s="2"/>
      <c r="I5" s="162"/>
      <c r="J5" s="162"/>
      <c r="K5" s="162"/>
      <c r="L5" s="2"/>
      <c r="M5" s="163"/>
    </row>
    <row r="6" spans="1:13" ht="13.5" customHeight="1">
      <c r="A6" s="1733" t="s">
        <v>537</v>
      </c>
      <c r="B6" s="1733"/>
      <c r="C6" s="1734" t="s">
        <v>83</v>
      </c>
      <c r="D6" s="1734"/>
      <c r="E6" s="165"/>
      <c r="F6" s="166"/>
      <c r="G6" s="167"/>
      <c r="H6" s="2"/>
      <c r="I6" s="162"/>
      <c r="J6" s="162"/>
      <c r="K6" s="162"/>
      <c r="L6" s="2"/>
      <c r="M6" s="163"/>
    </row>
    <row r="7" spans="1:13" ht="12.75" customHeight="1">
      <c r="A7" s="1736"/>
      <c r="B7" s="1736"/>
      <c r="C7" s="2"/>
      <c r="D7" s="2"/>
      <c r="E7" s="2"/>
      <c r="F7" s="2"/>
      <c r="G7" s="169" t="s">
        <v>538</v>
      </c>
      <c r="H7" s="2"/>
      <c r="I7" s="162"/>
      <c r="J7" s="162"/>
      <c r="K7" s="169" t="s">
        <v>538</v>
      </c>
      <c r="L7" s="2"/>
      <c r="M7" s="163"/>
    </row>
    <row r="8" spans="1:13" ht="12.75" customHeight="1">
      <c r="A8" s="1737"/>
      <c r="B8" s="1737"/>
      <c r="C8" s="170"/>
      <c r="D8" s="2"/>
      <c r="E8" s="1735" t="s">
        <v>539</v>
      </c>
      <c r="F8" s="171" t="s">
        <v>540</v>
      </c>
      <c r="G8" s="172">
        <v>41821</v>
      </c>
      <c r="H8" s="173"/>
      <c r="I8" s="1735" t="s">
        <v>541</v>
      </c>
      <c r="J8" s="171" t="s">
        <v>540</v>
      </c>
      <c r="K8" s="172">
        <v>40360</v>
      </c>
      <c r="L8" s="2"/>
      <c r="M8" s="163"/>
    </row>
    <row r="9" spans="1:13" ht="12.75">
      <c r="A9" s="2"/>
      <c r="B9" s="2"/>
      <c r="C9" s="2"/>
      <c r="D9" s="164"/>
      <c r="E9" s="1735"/>
      <c r="F9" s="171" t="s">
        <v>542</v>
      </c>
      <c r="G9" s="172">
        <v>42185</v>
      </c>
      <c r="H9" s="173"/>
      <c r="I9" s="1735"/>
      <c r="J9" s="171" t="s">
        <v>542</v>
      </c>
      <c r="K9" s="172">
        <v>42185</v>
      </c>
      <c r="L9" s="2"/>
      <c r="M9" s="163"/>
    </row>
    <row r="10" spans="1:13" ht="38.25">
      <c r="A10" s="2"/>
      <c r="B10" s="2"/>
      <c r="C10" s="2"/>
      <c r="D10" s="164"/>
      <c r="E10" s="2"/>
      <c r="F10" s="2"/>
      <c r="G10" s="174"/>
      <c r="H10" s="174" t="s">
        <v>543</v>
      </c>
      <c r="I10" s="2"/>
      <c r="J10" s="2"/>
      <c r="K10" s="2"/>
      <c r="L10" s="2"/>
      <c r="M10" s="163"/>
    </row>
    <row r="11" spans="1:13" ht="2.25" customHeight="1">
      <c r="A11" s="2"/>
      <c r="B11" s="2"/>
      <c r="C11" s="2"/>
      <c r="D11" s="164"/>
      <c r="E11" s="2"/>
      <c r="F11" s="2"/>
      <c r="G11" s="174"/>
      <c r="H11" s="174"/>
      <c r="I11" s="2"/>
      <c r="J11" s="2"/>
      <c r="K11" s="2"/>
      <c r="L11" s="2"/>
      <c r="M11" s="163"/>
    </row>
    <row r="12" spans="1:13" ht="12.75" customHeight="1">
      <c r="A12" s="2"/>
      <c r="B12" s="2"/>
      <c r="C12" s="2"/>
      <c r="D12" s="164"/>
      <c r="E12" s="1740" t="s">
        <v>544</v>
      </c>
      <c r="F12" s="1740"/>
      <c r="G12" s="1740"/>
      <c r="H12" s="1740"/>
      <c r="I12" s="2"/>
      <c r="J12" s="2"/>
      <c r="K12" s="2"/>
      <c r="L12" s="2"/>
      <c r="M12" s="163"/>
    </row>
    <row r="13" spans="1:13" ht="12.75">
      <c r="A13" s="2"/>
      <c r="B13" s="2"/>
      <c r="C13" s="2"/>
      <c r="D13" s="164"/>
      <c r="E13" s="1740"/>
      <c r="F13" s="1740"/>
      <c r="G13" s="1740"/>
      <c r="H13" s="1740"/>
      <c r="I13" s="2"/>
      <c r="J13" s="2"/>
      <c r="K13" s="2"/>
      <c r="L13" s="2"/>
      <c r="M13" s="163"/>
    </row>
    <row r="14" spans="1:13" ht="6" customHeight="1">
      <c r="A14" s="2"/>
      <c r="B14" s="2"/>
      <c r="C14" s="2"/>
      <c r="D14" s="164"/>
      <c r="E14" s="175"/>
      <c r="F14" s="175"/>
      <c r="G14" s="175"/>
      <c r="H14" s="175"/>
      <c r="I14" s="2"/>
      <c r="J14" s="2"/>
      <c r="K14" s="2"/>
      <c r="L14" s="2"/>
      <c r="M14" s="163"/>
    </row>
    <row r="15" spans="1:26" ht="15.75" customHeight="1">
      <c r="A15" s="176" t="s">
        <v>545</v>
      </c>
      <c r="B15" s="177"/>
      <c r="C15" s="177"/>
      <c r="D15" s="178"/>
      <c r="E15" s="1741" t="s">
        <v>539</v>
      </c>
      <c r="F15" s="1741"/>
      <c r="G15" s="1741"/>
      <c r="H15" s="1741"/>
      <c r="I15" s="1742" t="s">
        <v>541</v>
      </c>
      <c r="J15" s="1742"/>
      <c r="K15" s="1742"/>
      <c r="L15" s="1742"/>
      <c r="M15" s="163"/>
      <c r="P15" s="1707" t="str">
        <f>IF('PR_Programmatic Progress_1A'!R15="Select","Please select currency on Page
 'PR_Programmatic Achievement (1)'","All amounts are in: "&amp;'PR_Programmatic Progress_1A'!R15)</f>
        <v>All amounts are in: </v>
      </c>
      <c r="Q15" s="1707"/>
      <c r="R15" s="117" t="s">
        <v>546</v>
      </c>
      <c r="S15" s="117" t="s">
        <v>547</v>
      </c>
      <c r="T15" s="130" t="s">
        <v>548</v>
      </c>
      <c r="U15" s="1719" t="s">
        <v>549</v>
      </c>
      <c r="V15" s="1719"/>
      <c r="W15" s="117" t="s">
        <v>550</v>
      </c>
      <c r="X15" s="117" t="s">
        <v>551</v>
      </c>
      <c r="Y15" s="117" t="s">
        <v>548</v>
      </c>
      <c r="Z15" s="131" t="s">
        <v>549</v>
      </c>
    </row>
    <row r="16" spans="1:26" ht="30.75" customHeight="1">
      <c r="A16" s="179" t="s">
        <v>552</v>
      </c>
      <c r="B16" s="1743" t="s">
        <v>553</v>
      </c>
      <c r="C16" s="1743"/>
      <c r="D16" s="180"/>
      <c r="E16" s="181" t="s">
        <v>554</v>
      </c>
      <c r="F16" s="182" t="s">
        <v>555</v>
      </c>
      <c r="G16" s="183" t="s">
        <v>548</v>
      </c>
      <c r="H16" s="184" t="s">
        <v>549</v>
      </c>
      <c r="I16" s="185" t="s">
        <v>556</v>
      </c>
      <c r="J16" s="186" t="s">
        <v>557</v>
      </c>
      <c r="K16" s="187" t="s">
        <v>548</v>
      </c>
      <c r="L16" s="188" t="s">
        <v>549</v>
      </c>
      <c r="M16" s="163"/>
      <c r="P16" s="1739" t="s">
        <v>558</v>
      </c>
      <c r="Q16" s="1739"/>
      <c r="R16" s="189">
        <f>R17+R18</f>
        <v>144882</v>
      </c>
      <c r="S16" s="189">
        <f>S17+S18</f>
        <v>58430.34</v>
      </c>
      <c r="T16" s="190">
        <f>IF(R16="",IF(S16="","",R16-S16),R16-S16)</f>
        <v>86451.66</v>
      </c>
      <c r="U16" s="1716"/>
      <c r="V16" s="1716"/>
      <c r="W16" s="189">
        <f>W17+W18</f>
        <v>4607116.54</v>
      </c>
      <c r="X16" s="189">
        <f>X17+X18</f>
        <v>4306678.44</v>
      </c>
      <c r="Y16" s="190">
        <f>IF(W16="",IF(X16="","",W16-X16),W16-X16)</f>
        <v>300438.0999999996</v>
      </c>
      <c r="Z16" s="134"/>
    </row>
    <row r="17" spans="1:26" ht="38.25" customHeight="1">
      <c r="A17" s="191">
        <v>1</v>
      </c>
      <c r="B17" s="1747" t="s">
        <v>559</v>
      </c>
      <c r="C17" s="1747"/>
      <c r="D17" s="1747"/>
      <c r="E17" s="192">
        <v>93803.22</v>
      </c>
      <c r="F17" s="193">
        <f>+'[4]Hoja2'!$D$15</f>
        <v>100125.81</v>
      </c>
      <c r="G17" s="194">
        <f aca="true" t="shared" si="0" ref="G17:G28">IF((E17=0)*AND(F17=0)," ",E17-F17)</f>
        <v>-6322.5899999999965</v>
      </c>
      <c r="H17" s="195" t="s">
        <v>560</v>
      </c>
      <c r="I17" s="192">
        <f>1208285.27+E17</f>
        <v>1302088.49</v>
      </c>
      <c r="J17" s="193">
        <f>1138522.14+F17</f>
        <v>1238647.95</v>
      </c>
      <c r="K17" s="194">
        <f aca="true" t="shared" si="1" ref="K17:K29">IF((I17=0)*AND(J17=0)," ",I17-J17)</f>
        <v>63440.54000000004</v>
      </c>
      <c r="L17" s="195" t="s">
        <v>560</v>
      </c>
      <c r="M17" s="163"/>
      <c r="P17" s="1720" t="s">
        <v>561</v>
      </c>
      <c r="Q17" s="1720"/>
      <c r="R17" s="137">
        <f>'PR_Total PR Cash Outflow_3A'!C13</f>
        <v>144882</v>
      </c>
      <c r="S17" s="137">
        <f>'PR_Total PR Cash Outflow_3A'!D13</f>
        <v>58430.34</v>
      </c>
      <c r="T17" s="190">
        <f>IF(R17="",IF(S17="",0,R17-S17),R17-S17)</f>
        <v>86451.66</v>
      </c>
      <c r="U17" s="1721"/>
      <c r="V17" s="1721"/>
      <c r="W17" s="137">
        <f>'PR_Total PR Cash Outflow_3A'!H13</f>
        <v>4607116.54</v>
      </c>
      <c r="X17" s="137">
        <f>'PR_Total PR Cash Outflow_3A'!I13</f>
        <v>4306678.44</v>
      </c>
      <c r="Y17" s="190">
        <f>IF(W17="",IF(X17="",0,W17-X17),W17-X17)</f>
        <v>300438.0999999996</v>
      </c>
      <c r="Z17" s="110"/>
    </row>
    <row r="18" spans="1:26" ht="38.25">
      <c r="A18" s="191">
        <v>2</v>
      </c>
      <c r="B18" s="1746" t="s">
        <v>562</v>
      </c>
      <c r="C18" s="1746"/>
      <c r="D18" s="1746"/>
      <c r="E18" s="196">
        <v>0</v>
      </c>
      <c r="F18" s="197"/>
      <c r="G18" s="194" t="str">
        <f t="shared" si="0"/>
        <v> </v>
      </c>
      <c r="H18" s="195" t="s">
        <v>560</v>
      </c>
      <c r="I18" s="196">
        <v>22430</v>
      </c>
      <c r="J18" s="197">
        <f>11969.7+4782</f>
        <v>16751.7</v>
      </c>
      <c r="K18" s="194">
        <f t="shared" si="1"/>
        <v>5678.299999999999</v>
      </c>
      <c r="L18" s="195" t="s">
        <v>560</v>
      </c>
      <c r="M18" s="163"/>
      <c r="P18" s="1748" t="s">
        <v>563</v>
      </c>
      <c r="Q18" s="1748"/>
      <c r="R18" s="198">
        <f>'PR_Total PR Cash Outflow_3A'!C14</f>
        <v>0</v>
      </c>
      <c r="S18" s="198">
        <f>'PR_Total PR Cash Outflow_3A'!D14</f>
        <v>0</v>
      </c>
      <c r="T18" s="199">
        <f>IF(R18="",IF(S18="",0,R18-S18),R18-S18)</f>
        <v>0</v>
      </c>
      <c r="U18" s="1745"/>
      <c r="V18" s="1745"/>
      <c r="W18" s="198">
        <f>'PR_Total PR Cash Outflow_3A'!H14</f>
        <v>0</v>
      </c>
      <c r="X18" s="198">
        <f>'PR_Total PR Cash Outflow_3A'!I14</f>
        <v>0</v>
      </c>
      <c r="Y18" s="199">
        <f>IF(W18="",IF(X18="",0,W18-X18),W18-X18)</f>
        <v>0</v>
      </c>
      <c r="Z18" s="111"/>
    </row>
    <row r="19" spans="1:26" ht="38.25">
      <c r="A19" s="200">
        <v>3</v>
      </c>
      <c r="B19" s="1746" t="s">
        <v>564</v>
      </c>
      <c r="C19" s="1746"/>
      <c r="D19" s="1746"/>
      <c r="E19" s="196">
        <v>82138</v>
      </c>
      <c r="F19" s="197">
        <f>+'[4]Hoja2'!$D$21</f>
        <v>43242.54</v>
      </c>
      <c r="G19" s="194">
        <f t="shared" si="0"/>
        <v>38895.46</v>
      </c>
      <c r="H19" s="195" t="s">
        <v>560</v>
      </c>
      <c r="I19" s="196">
        <f>373684.9+E19</f>
        <v>455822.9</v>
      </c>
      <c r="J19" s="197">
        <f>337015.56+F19</f>
        <v>380258.1</v>
      </c>
      <c r="K19" s="194">
        <f t="shared" si="1"/>
        <v>75564.80000000005</v>
      </c>
      <c r="L19" s="195" t="s">
        <v>560</v>
      </c>
      <c r="M19" s="163"/>
      <c r="P19" s="140"/>
      <c r="Q19" s="140"/>
      <c r="R19" s="141"/>
      <c r="S19" s="141"/>
      <c r="T19" s="142"/>
      <c r="U19" s="143"/>
      <c r="V19" s="143"/>
      <c r="W19" s="141"/>
      <c r="X19" s="141"/>
      <c r="Y19" s="142"/>
      <c r="Z19" s="143"/>
    </row>
    <row r="20" spans="1:26" ht="16.5" customHeight="1">
      <c r="A20" s="200">
        <v>4</v>
      </c>
      <c r="B20" s="1746" t="s">
        <v>565</v>
      </c>
      <c r="C20" s="1746"/>
      <c r="D20" s="1746"/>
      <c r="E20" s="201">
        <v>223614.75</v>
      </c>
      <c r="F20" s="202">
        <f>+'[4]Hoja2'!$D$22</f>
        <v>114777.31999999999</v>
      </c>
      <c r="G20" s="194">
        <f t="shared" si="0"/>
        <v>108837.43000000001</v>
      </c>
      <c r="H20" s="195" t="s">
        <v>560</v>
      </c>
      <c r="I20" s="201">
        <f>729407.9+E20</f>
        <v>953022.65</v>
      </c>
      <c r="J20" s="202">
        <f>811917.8+F20</f>
        <v>926695.12</v>
      </c>
      <c r="K20" s="194">
        <f t="shared" si="1"/>
        <v>26327.530000000028</v>
      </c>
      <c r="L20" s="195" t="s">
        <v>560</v>
      </c>
      <c r="M20" s="163"/>
      <c r="P20" s="1707"/>
      <c r="Q20" s="1707"/>
      <c r="R20" s="117" t="s">
        <v>566</v>
      </c>
      <c r="S20" s="117" t="s">
        <v>547</v>
      </c>
      <c r="T20" s="130" t="s">
        <v>548</v>
      </c>
      <c r="U20" s="1738" t="s">
        <v>549</v>
      </c>
      <c r="V20" s="1738"/>
      <c r="W20" s="117" t="s">
        <v>550</v>
      </c>
      <c r="X20" s="117" t="s">
        <v>551</v>
      </c>
      <c r="Y20" s="117" t="s">
        <v>548</v>
      </c>
      <c r="Z20" s="108" t="s">
        <v>549</v>
      </c>
    </row>
    <row r="21" spans="1:26" ht="15" customHeight="1">
      <c r="A21" s="200">
        <v>5</v>
      </c>
      <c r="B21" s="1746" t="s">
        <v>567</v>
      </c>
      <c r="C21" s="1746"/>
      <c r="D21" s="1746"/>
      <c r="E21" s="201">
        <v>5463.11</v>
      </c>
      <c r="F21" s="202">
        <f>+'[4]Hoja2'!$D$23</f>
        <v>0</v>
      </c>
      <c r="G21" s="194">
        <f t="shared" si="0"/>
        <v>5463.11</v>
      </c>
      <c r="H21" s="195" t="s">
        <v>560</v>
      </c>
      <c r="I21" s="201">
        <f>10926.1+E21</f>
        <v>16389.21</v>
      </c>
      <c r="J21" s="202">
        <v>24843.01</v>
      </c>
      <c r="K21" s="194">
        <f t="shared" si="1"/>
        <v>-8453.8</v>
      </c>
      <c r="L21" s="195" t="s">
        <v>560</v>
      </c>
      <c r="M21" s="163"/>
      <c r="P21" s="1709" t="s">
        <v>568</v>
      </c>
      <c r="Q21" s="1709"/>
      <c r="R21" s="190">
        <f>R22+R23</f>
        <v>0</v>
      </c>
      <c r="S21" s="190">
        <f>S22+S23</f>
        <v>0</v>
      </c>
      <c r="T21" s="190">
        <f>IF(R21="",IF(S21="","",R21-S21),R21-S21)</f>
        <v>0</v>
      </c>
      <c r="U21" s="1724"/>
      <c r="V21" s="1724"/>
      <c r="W21" s="190">
        <f>W22+W23</f>
        <v>740335.2000000001</v>
      </c>
      <c r="X21" s="190">
        <f>X22+X23</f>
        <v>745434.06</v>
      </c>
      <c r="Y21" s="190">
        <f>IF(W21="",IF(X21="","",W21-X21),W21-X21)</f>
        <v>-5098.859999999986</v>
      </c>
      <c r="Z21" s="147"/>
    </row>
    <row r="22" spans="1:26" ht="14.25" customHeight="1">
      <c r="A22" s="191">
        <v>6</v>
      </c>
      <c r="B22" s="1744" t="s">
        <v>569</v>
      </c>
      <c r="C22" s="1744"/>
      <c r="D22" s="1744"/>
      <c r="E22" s="196">
        <v>58821.1</v>
      </c>
      <c r="F22" s="197">
        <f>+'[4]Hoja2'!$D$19</f>
        <v>0</v>
      </c>
      <c r="G22" s="194">
        <f t="shared" si="0"/>
        <v>58821.1</v>
      </c>
      <c r="H22" s="195" t="s">
        <v>560</v>
      </c>
      <c r="I22" s="196">
        <f>124842.1+E22</f>
        <v>183663.2</v>
      </c>
      <c r="J22" s="197">
        <v>184429.21</v>
      </c>
      <c r="K22" s="194">
        <f t="shared" si="1"/>
        <v>-766.0099999999802</v>
      </c>
      <c r="L22" s="195" t="s">
        <v>560</v>
      </c>
      <c r="M22" s="163"/>
      <c r="P22" s="1725" t="s">
        <v>570</v>
      </c>
      <c r="Q22" s="1725"/>
      <c r="R22" s="137">
        <f>'PR_Total PR Cash Outflow_3A'!C18</f>
        <v>0</v>
      </c>
      <c r="S22" s="137">
        <f>'PR_Total PR Cash Outflow_3A'!D18</f>
        <v>0</v>
      </c>
      <c r="T22" s="203">
        <f>IF(R22="",IF(S22="",0,R22-S22),R22-S22)</f>
        <v>0</v>
      </c>
      <c r="U22" s="1721"/>
      <c r="V22" s="1721"/>
      <c r="W22" s="137">
        <f>'PR_Total PR Cash Outflow_3A'!H18</f>
        <v>10926.1</v>
      </c>
      <c r="X22" s="137">
        <f>'PR_Total PR Cash Outflow_3A'!I18</f>
        <v>24842.96</v>
      </c>
      <c r="Y22" s="190">
        <f>IF(W22="",IF(X22="",0,W22-X22),W22-X22)</f>
        <v>-13916.859999999999</v>
      </c>
      <c r="Z22" s="204"/>
    </row>
    <row r="23" spans="1:26" ht="15" customHeight="1">
      <c r="A23" s="191">
        <v>7</v>
      </c>
      <c r="B23" s="1744" t="s">
        <v>571</v>
      </c>
      <c r="C23" s="1744"/>
      <c r="D23" s="1744"/>
      <c r="E23" s="196">
        <v>73745</v>
      </c>
      <c r="F23" s="197">
        <f>+'[4]Hoja2'!$D$16-2070</f>
        <v>34464.39</v>
      </c>
      <c r="G23" s="194">
        <f t="shared" si="0"/>
        <v>39280.61</v>
      </c>
      <c r="H23" s="195" t="s">
        <v>560</v>
      </c>
      <c r="I23" s="196">
        <f>529909.2+E23</f>
        <v>603654.2</v>
      </c>
      <c r="J23" s="197">
        <f>549243.8+F23</f>
        <v>583708.1900000001</v>
      </c>
      <c r="K23" s="194">
        <f t="shared" si="1"/>
        <v>19946.009999999893</v>
      </c>
      <c r="L23" s="195" t="s">
        <v>560</v>
      </c>
      <c r="M23" s="163"/>
      <c r="P23" s="1722" t="s">
        <v>572</v>
      </c>
      <c r="Q23" s="1722"/>
      <c r="R23" s="198">
        <f>'PR_Total PR Cash Outflow_3A'!C19</f>
        <v>0</v>
      </c>
      <c r="S23" s="198">
        <f>'PR_Total PR Cash Outflow_3A'!D19</f>
        <v>0</v>
      </c>
      <c r="T23" s="205">
        <f>IF(R23="",IF(S23="",0,R23-S23),R23-S23)</f>
        <v>0</v>
      </c>
      <c r="U23" s="1745"/>
      <c r="V23" s="1745"/>
      <c r="W23" s="198">
        <f>'PR_Total PR Cash Outflow_3A'!H19</f>
        <v>729409.1000000001</v>
      </c>
      <c r="X23" s="198">
        <f>'PR_Total PR Cash Outflow_3A'!I19</f>
        <v>720591.1000000001</v>
      </c>
      <c r="Y23" s="199">
        <f>IF(W23="",IF(X23="",0,W23-X23),W23-X23)</f>
        <v>8818</v>
      </c>
      <c r="Z23" s="206"/>
    </row>
    <row r="24" spans="1:13" ht="38.25">
      <c r="A24" s="200">
        <v>8</v>
      </c>
      <c r="B24" s="1744" t="s">
        <v>573</v>
      </c>
      <c r="C24" s="1744"/>
      <c r="D24" s="1744"/>
      <c r="E24" s="196">
        <v>67680.52</v>
      </c>
      <c r="F24" s="197">
        <f>+'[4]Hoja2'!$D$14+2070</f>
        <v>55433.17</v>
      </c>
      <c r="G24" s="194">
        <f t="shared" si="0"/>
        <v>12247.350000000006</v>
      </c>
      <c r="H24" s="195" t="s">
        <v>560</v>
      </c>
      <c r="I24" s="196">
        <f>149100.6+E24</f>
        <v>216781.12</v>
      </c>
      <c r="J24" s="197">
        <f>130236.35+F24</f>
        <v>185669.52000000002</v>
      </c>
      <c r="K24" s="194">
        <f t="shared" si="1"/>
        <v>31111.599999999977</v>
      </c>
      <c r="L24" s="195" t="s">
        <v>560</v>
      </c>
      <c r="M24" s="163"/>
    </row>
    <row r="25" spans="1:13" ht="38.25">
      <c r="A25" s="200">
        <v>9</v>
      </c>
      <c r="B25" s="1744" t="s">
        <v>574</v>
      </c>
      <c r="C25" s="1744"/>
      <c r="D25" s="1744"/>
      <c r="E25" s="196">
        <v>79559.6</v>
      </c>
      <c r="F25" s="197">
        <f>+'[4]Hoja2'!$D$17</f>
        <v>51736.22</v>
      </c>
      <c r="G25" s="194">
        <f t="shared" si="0"/>
        <v>27823.380000000005</v>
      </c>
      <c r="H25" s="195" t="s">
        <v>560</v>
      </c>
      <c r="I25" s="196">
        <f>256609.25+E25</f>
        <v>336168.85</v>
      </c>
      <c r="J25" s="197">
        <f>247541.4+F25</f>
        <v>299277.62</v>
      </c>
      <c r="K25" s="194">
        <f t="shared" si="1"/>
        <v>36891.22999999998</v>
      </c>
      <c r="L25" s="195" t="s">
        <v>560</v>
      </c>
      <c r="M25" s="163"/>
    </row>
    <row r="26" spans="1:13" ht="12.75">
      <c r="A26" s="200">
        <v>10</v>
      </c>
      <c r="B26" s="1744" t="s">
        <v>575</v>
      </c>
      <c r="C26" s="1744"/>
      <c r="D26" s="1744"/>
      <c r="E26" s="207">
        <v>38370</v>
      </c>
      <c r="F26" s="208">
        <f>+'[4]Hoja2'!$D$24</f>
        <v>0</v>
      </c>
      <c r="G26" s="194">
        <f t="shared" si="0"/>
        <v>38370</v>
      </c>
      <c r="H26" s="195" t="s">
        <v>560</v>
      </c>
      <c r="I26" s="207">
        <f>72540+E26</f>
        <v>110910</v>
      </c>
      <c r="J26" s="208">
        <v>110910</v>
      </c>
      <c r="K26" s="194">
        <f t="shared" si="1"/>
        <v>0</v>
      </c>
      <c r="L26" s="195"/>
      <c r="M26" s="163"/>
    </row>
    <row r="27" spans="1:13" ht="38.25">
      <c r="A27" s="200">
        <v>11</v>
      </c>
      <c r="B27" s="1744" t="s">
        <v>576</v>
      </c>
      <c r="C27" s="1744"/>
      <c r="D27" s="1744"/>
      <c r="E27" s="196">
        <v>53471.9</v>
      </c>
      <c r="F27" s="197">
        <f>+'[4]Hoja2'!$D$18</f>
        <v>41671.590000000004</v>
      </c>
      <c r="G27" s="194">
        <f t="shared" si="0"/>
        <v>11800.309999999998</v>
      </c>
      <c r="H27" s="195" t="s">
        <v>560</v>
      </c>
      <c r="I27" s="196">
        <f>266080.79+E27</f>
        <v>319552.69</v>
      </c>
      <c r="J27" s="197">
        <f>232885.65+F27</f>
        <v>274557.24</v>
      </c>
      <c r="K27" s="194">
        <f t="shared" si="1"/>
        <v>44995.45000000001</v>
      </c>
      <c r="L27" s="195" t="s">
        <v>560</v>
      </c>
      <c r="M27" s="163"/>
    </row>
    <row r="28" spans="1:13" ht="38.25">
      <c r="A28" s="200">
        <v>12</v>
      </c>
      <c r="B28" s="1744" t="s">
        <v>577</v>
      </c>
      <c r="C28" s="1744"/>
      <c r="D28" s="1744"/>
      <c r="E28" s="196">
        <v>22099.78</v>
      </c>
      <c r="F28" s="197">
        <f>+'[4]Hoja2'!$D$25</f>
        <v>9493.62</v>
      </c>
      <c r="G28" s="194">
        <f t="shared" si="0"/>
        <v>12606.159999999998</v>
      </c>
      <c r="H28" s="195" t="s">
        <v>560</v>
      </c>
      <c r="I28" s="196">
        <f>64532+E28+1.45</f>
        <v>86633.23</v>
      </c>
      <c r="J28" s="197">
        <f>71437.08+F28</f>
        <v>80930.7</v>
      </c>
      <c r="K28" s="194">
        <f t="shared" si="1"/>
        <v>5702.529999999999</v>
      </c>
      <c r="L28" s="195" t="s">
        <v>560</v>
      </c>
      <c r="M28" s="163"/>
    </row>
    <row r="29" spans="1:13" ht="12.75">
      <c r="A29" s="200">
        <v>13</v>
      </c>
      <c r="B29" s="1749" t="s">
        <v>578</v>
      </c>
      <c r="C29" s="1749"/>
      <c r="D29" s="1749"/>
      <c r="E29" s="209">
        <v>0</v>
      </c>
      <c r="F29" s="210"/>
      <c r="G29" s="194">
        <v>0</v>
      </c>
      <c r="H29" s="211"/>
      <c r="I29" s="209">
        <v>0</v>
      </c>
      <c r="J29" s="210">
        <v>0</v>
      </c>
      <c r="K29" s="194" t="str">
        <f t="shared" si="1"/>
        <v> </v>
      </c>
      <c r="L29" s="212"/>
      <c r="M29" s="163"/>
    </row>
    <row r="30" spans="1:13" ht="12.75">
      <c r="A30" s="1750"/>
      <c r="B30" s="1750"/>
      <c r="C30" s="1750"/>
      <c r="D30" s="213" t="s">
        <v>579</v>
      </c>
      <c r="E30" s="214">
        <f>SUM(E17:E29)</f>
        <v>798766.98</v>
      </c>
      <c r="F30" s="214">
        <f>SUM(F17:F29)</f>
        <v>450944.66</v>
      </c>
      <c r="G30" s="215">
        <f>SUM(G17:G29)</f>
        <v>347822.31999999995</v>
      </c>
      <c r="H30" s="216"/>
      <c r="I30" s="217">
        <f>SUM(I17:I29)</f>
        <v>4607116.540000002</v>
      </c>
      <c r="J30" s="214">
        <f>SUM(J17:J29)</f>
        <v>4306678.36</v>
      </c>
      <c r="K30" s="214">
        <f>SUM(K17:K29)</f>
        <v>300438.18000000005</v>
      </c>
      <c r="L30" s="218"/>
      <c r="M30" s="219"/>
    </row>
    <row r="31" spans="1:13" ht="6.75" customHeight="1">
      <c r="A31" s="220"/>
      <c r="B31" s="221"/>
      <c r="C31" s="221"/>
      <c r="D31" s="222"/>
      <c r="E31" s="220"/>
      <c r="F31" s="220"/>
      <c r="G31" s="223"/>
      <c r="H31" s="223"/>
      <c r="I31" s="2"/>
      <c r="J31" s="2"/>
      <c r="K31" s="2"/>
      <c r="L31" s="2"/>
      <c r="M31" s="163"/>
    </row>
    <row r="32" spans="1:13" ht="3" customHeight="1">
      <c r="A32" s="220"/>
      <c r="B32" s="221"/>
      <c r="C32" s="221"/>
      <c r="D32" s="222"/>
      <c r="E32" s="220"/>
      <c r="F32" s="220"/>
      <c r="G32" s="223"/>
      <c r="H32" s="223"/>
      <c r="I32" s="2"/>
      <c r="J32" s="2"/>
      <c r="K32" s="2"/>
      <c r="L32" s="2"/>
      <c r="M32" s="163"/>
    </row>
    <row r="33" spans="1:13" ht="15">
      <c r="A33" s="176" t="s">
        <v>580</v>
      </c>
      <c r="B33" s="177"/>
      <c r="C33" s="177"/>
      <c r="D33" s="224"/>
      <c r="E33" s="1751" t="s">
        <v>539</v>
      </c>
      <c r="F33" s="1751"/>
      <c r="G33" s="1751"/>
      <c r="H33" s="1751"/>
      <c r="I33" s="1742" t="s">
        <v>541</v>
      </c>
      <c r="J33" s="1742"/>
      <c r="K33" s="1742"/>
      <c r="L33" s="1742"/>
      <c r="M33" s="163"/>
    </row>
    <row r="34" spans="1:13" ht="30">
      <c r="A34" s="179" t="s">
        <v>552</v>
      </c>
      <c r="B34" s="225" t="s">
        <v>581</v>
      </c>
      <c r="C34" s="226" t="s">
        <v>582</v>
      </c>
      <c r="D34" s="227" t="s">
        <v>583</v>
      </c>
      <c r="E34" s="181" t="s">
        <v>554</v>
      </c>
      <c r="F34" s="182" t="s">
        <v>555</v>
      </c>
      <c r="G34" s="187" t="s">
        <v>548</v>
      </c>
      <c r="H34" s="184" t="s">
        <v>549</v>
      </c>
      <c r="I34" s="185" t="s">
        <v>556</v>
      </c>
      <c r="J34" s="186" t="s">
        <v>557</v>
      </c>
      <c r="K34" s="187" t="s">
        <v>548</v>
      </c>
      <c r="L34" s="228" t="s">
        <v>549</v>
      </c>
      <c r="M34" s="229"/>
    </row>
    <row r="35" spans="1:13" s="163" customFormat="1" ht="89.25">
      <c r="A35" s="230">
        <v>1.1</v>
      </c>
      <c r="B35" s="231" t="s">
        <v>584</v>
      </c>
      <c r="C35" s="232">
        <v>1</v>
      </c>
      <c r="D35" s="233" t="s">
        <v>585</v>
      </c>
      <c r="E35" s="192">
        <v>8610</v>
      </c>
      <c r="F35" s="193">
        <v>7642</v>
      </c>
      <c r="G35" s="194">
        <f aca="true" t="shared" si="2" ref="G35:G56">IF((E35=0)*AND(F35=0)," ",E35-F35)</f>
        <v>968</v>
      </c>
      <c r="H35" s="195" t="s">
        <v>586</v>
      </c>
      <c r="I35" s="192">
        <f>25370+E35</f>
        <v>33980</v>
      </c>
      <c r="J35" s="193">
        <f>18192.33+F35</f>
        <v>25834.33</v>
      </c>
      <c r="K35" s="194">
        <f aca="true" t="shared" si="3" ref="K35:K56">IF((I35=0)*AND(J35=0)," ",I35-J35)</f>
        <v>8145.669999999998</v>
      </c>
      <c r="L35" s="195" t="s">
        <v>586</v>
      </c>
      <c r="M35" s="234"/>
    </row>
    <row r="36" spans="1:13" s="163" customFormat="1" ht="38.25">
      <c r="A36" s="235">
        <v>1.2</v>
      </c>
      <c r="B36" s="236" t="s">
        <v>587</v>
      </c>
      <c r="C36" s="237">
        <v>1</v>
      </c>
      <c r="D36" s="238" t="s">
        <v>588</v>
      </c>
      <c r="E36" s="196">
        <v>61099</v>
      </c>
      <c r="F36" s="197">
        <v>42477.47</v>
      </c>
      <c r="G36" s="194">
        <f t="shared" si="2"/>
        <v>18621.53</v>
      </c>
      <c r="H36" s="195" t="s">
        <v>586</v>
      </c>
      <c r="I36" s="196">
        <f>124448.4+E36</f>
        <v>185547.4</v>
      </c>
      <c r="J36" s="197">
        <f>120089.56+2250+33.45+F36</f>
        <v>164850.47999999998</v>
      </c>
      <c r="K36" s="194">
        <f t="shared" si="3"/>
        <v>20696.920000000013</v>
      </c>
      <c r="L36" s="195" t="s">
        <v>586</v>
      </c>
      <c r="M36" s="234"/>
    </row>
    <row r="37" spans="1:13" s="163" customFormat="1" ht="38.25">
      <c r="A37" s="235">
        <v>1.3</v>
      </c>
      <c r="B37" s="239" t="s">
        <v>587</v>
      </c>
      <c r="C37" s="237">
        <v>1</v>
      </c>
      <c r="D37" s="238" t="s">
        <v>589</v>
      </c>
      <c r="E37" s="196">
        <v>68079.3</v>
      </c>
      <c r="F37" s="197">
        <v>31183.44</v>
      </c>
      <c r="G37" s="194">
        <f t="shared" si="2"/>
        <v>36895.86</v>
      </c>
      <c r="H37" s="195" t="s">
        <v>586</v>
      </c>
      <c r="I37" s="196">
        <f>231963.19+112000+E37</f>
        <v>412042.49</v>
      </c>
      <c r="J37" s="197">
        <f>116975.59+237406.23+F37</f>
        <v>385565.26</v>
      </c>
      <c r="K37" s="194">
        <f t="shared" si="3"/>
        <v>26477.22999999998</v>
      </c>
      <c r="L37" s="195" t="s">
        <v>586</v>
      </c>
      <c r="M37" s="234"/>
    </row>
    <row r="38" spans="1:13" s="163" customFormat="1" ht="38.25">
      <c r="A38" s="235">
        <v>1.4</v>
      </c>
      <c r="B38" s="239" t="s">
        <v>587</v>
      </c>
      <c r="C38" s="237">
        <v>1</v>
      </c>
      <c r="D38" s="238" t="s">
        <v>590</v>
      </c>
      <c r="E38" s="196">
        <v>64224.6</v>
      </c>
      <c r="F38" s="197">
        <v>36954.86</v>
      </c>
      <c r="G38" s="194">
        <f t="shared" si="2"/>
        <v>27269.739999999998</v>
      </c>
      <c r="H38" s="195" t="s">
        <v>586</v>
      </c>
      <c r="I38" s="196">
        <f>18975+34900+57445+57445+E38</f>
        <v>232989.6</v>
      </c>
      <c r="J38" s="197">
        <f>177614.54+F38</f>
        <v>214569.40000000002</v>
      </c>
      <c r="K38" s="194">
        <f t="shared" si="3"/>
        <v>18420.199999999983</v>
      </c>
      <c r="L38" s="195" t="s">
        <v>586</v>
      </c>
      <c r="M38" s="234"/>
    </row>
    <row r="39" spans="1:13" s="163" customFormat="1" ht="38.25">
      <c r="A39" s="235">
        <v>1.4</v>
      </c>
      <c r="B39" s="240" t="s">
        <v>591</v>
      </c>
      <c r="C39" s="237"/>
      <c r="D39" s="241" t="s">
        <v>592</v>
      </c>
      <c r="E39" s="196">
        <v>98134</v>
      </c>
      <c r="F39" s="197">
        <v>56012.17</v>
      </c>
      <c r="G39" s="194">
        <f t="shared" si="2"/>
        <v>42121.83</v>
      </c>
      <c r="H39" s="195" t="s">
        <v>586</v>
      </c>
      <c r="I39" s="196">
        <f>307685+217757+E39</f>
        <v>623576</v>
      </c>
      <c r="J39" s="197">
        <f>446970.24+F39</f>
        <v>502982.41</v>
      </c>
      <c r="K39" s="194">
        <f t="shared" si="3"/>
        <v>120593.59000000003</v>
      </c>
      <c r="L39" s="195" t="s">
        <v>586</v>
      </c>
      <c r="M39" s="234"/>
    </row>
    <row r="40" spans="1:13" s="163" customFormat="1" ht="38.25">
      <c r="A40" s="235">
        <v>1.6</v>
      </c>
      <c r="B40" s="239" t="s">
        <v>584</v>
      </c>
      <c r="C40" s="237">
        <v>1</v>
      </c>
      <c r="D40" s="238" t="s">
        <v>589</v>
      </c>
      <c r="E40" s="196">
        <v>0</v>
      </c>
      <c r="F40" s="197"/>
      <c r="G40" s="194" t="str">
        <f t="shared" si="2"/>
        <v> </v>
      </c>
      <c r="H40" s="195" t="s">
        <v>586</v>
      </c>
      <c r="I40" s="196">
        <v>40625</v>
      </c>
      <c r="J40" s="197">
        <f>32767.52+2007.5</f>
        <v>34775.020000000004</v>
      </c>
      <c r="K40" s="194">
        <f t="shared" si="3"/>
        <v>5849.979999999996</v>
      </c>
      <c r="L40" s="195" t="s">
        <v>586</v>
      </c>
      <c r="M40" s="234"/>
    </row>
    <row r="41" spans="1:13" s="163" customFormat="1" ht="38.25">
      <c r="A41" s="235">
        <v>2.1</v>
      </c>
      <c r="B41" s="239" t="s">
        <v>584</v>
      </c>
      <c r="C41" s="237">
        <v>2</v>
      </c>
      <c r="D41" s="238" t="s">
        <v>594</v>
      </c>
      <c r="E41" s="196">
        <f>40127.6-1500</f>
        <v>38627.6</v>
      </c>
      <c r="F41" s="197">
        <v>16532.3</v>
      </c>
      <c r="G41" s="194">
        <f t="shared" si="2"/>
        <v>22095.3</v>
      </c>
      <c r="H41" s="195" t="s">
        <v>586</v>
      </c>
      <c r="I41" s="196">
        <f>56292.2+24476+142978+E41</f>
        <v>262373.8</v>
      </c>
      <c r="J41" s="197">
        <f>118541.18+76012.81+F41</f>
        <v>211086.28999999998</v>
      </c>
      <c r="K41" s="194">
        <f t="shared" si="3"/>
        <v>51287.51000000001</v>
      </c>
      <c r="L41" s="195" t="s">
        <v>586</v>
      </c>
      <c r="M41" s="234"/>
    </row>
    <row r="42" spans="1:13" s="163" customFormat="1" ht="38.25">
      <c r="A42" s="235"/>
      <c r="B42" s="239" t="s">
        <v>587</v>
      </c>
      <c r="C42" s="237"/>
      <c r="D42" s="238" t="s">
        <v>594</v>
      </c>
      <c r="E42" s="196"/>
      <c r="F42" s="197"/>
      <c r="G42" s="194" t="str">
        <f t="shared" si="2"/>
        <v> </v>
      </c>
      <c r="H42" s="195" t="s">
        <v>586</v>
      </c>
      <c r="I42" s="196"/>
      <c r="J42" s="197"/>
      <c r="K42" s="194" t="str">
        <f t="shared" si="3"/>
        <v> </v>
      </c>
      <c r="L42" s="195" t="s">
        <v>586</v>
      </c>
      <c r="M42" s="234"/>
    </row>
    <row r="43" spans="1:13" s="163" customFormat="1" ht="38.25">
      <c r="A43" s="235">
        <v>2.2</v>
      </c>
      <c r="B43" s="239" t="s">
        <v>587</v>
      </c>
      <c r="C43" s="237">
        <v>2</v>
      </c>
      <c r="D43" s="238" t="s">
        <v>590</v>
      </c>
      <c r="E43" s="196"/>
      <c r="F43" s="197"/>
      <c r="G43" s="194" t="str">
        <f t="shared" si="2"/>
        <v> </v>
      </c>
      <c r="H43" s="195" t="s">
        <v>586</v>
      </c>
      <c r="I43" s="196">
        <f>1380+690</f>
        <v>2070</v>
      </c>
      <c r="J43" s="197">
        <v>1187.25</v>
      </c>
      <c r="K43" s="194">
        <f t="shared" si="3"/>
        <v>882.75</v>
      </c>
      <c r="L43" s="195" t="s">
        <v>586</v>
      </c>
      <c r="M43" s="234"/>
    </row>
    <row r="44" spans="1:13" s="163" customFormat="1" ht="38.25">
      <c r="A44" s="235">
        <v>3.1</v>
      </c>
      <c r="B44" s="239" t="s">
        <v>584</v>
      </c>
      <c r="C44" s="237">
        <v>3</v>
      </c>
      <c r="D44" s="238" t="s">
        <v>595</v>
      </c>
      <c r="E44" s="196">
        <v>210207.5</v>
      </c>
      <c r="F44" s="197">
        <v>123060.99</v>
      </c>
      <c r="G44" s="194">
        <f t="shared" si="2"/>
        <v>87146.51</v>
      </c>
      <c r="H44" s="195" t="s">
        <v>586</v>
      </c>
      <c r="I44" s="196">
        <f>1113494.85-1250+E44</f>
        <v>1322452.35</v>
      </c>
      <c r="J44" s="197">
        <f>1146471.1+F44</f>
        <v>1269532.09</v>
      </c>
      <c r="K44" s="194">
        <f t="shared" si="3"/>
        <v>52920.26000000001</v>
      </c>
      <c r="L44" s="195" t="s">
        <v>586</v>
      </c>
      <c r="M44" s="234"/>
    </row>
    <row r="45" spans="1:13" s="163" customFormat="1" ht="38.25">
      <c r="A45" s="235">
        <v>3.2</v>
      </c>
      <c r="B45" s="239" t="s">
        <v>593</v>
      </c>
      <c r="C45" s="237">
        <v>3</v>
      </c>
      <c r="D45" s="238" t="s">
        <v>595</v>
      </c>
      <c r="E45" s="196">
        <v>0</v>
      </c>
      <c r="F45" s="197"/>
      <c r="G45" s="194" t="str">
        <f t="shared" si="2"/>
        <v> </v>
      </c>
      <c r="H45" s="195" t="s">
        <v>586</v>
      </c>
      <c r="I45" s="196">
        <v>22175</v>
      </c>
      <c r="J45" s="197">
        <v>14763.58</v>
      </c>
      <c r="K45" s="194">
        <f t="shared" si="3"/>
        <v>7411.42</v>
      </c>
      <c r="L45" s="195" t="s">
        <v>586</v>
      </c>
      <c r="M45" s="234"/>
    </row>
    <row r="46" spans="1:13" s="163" customFormat="1" ht="38.25">
      <c r="A46" s="235">
        <v>3.3</v>
      </c>
      <c r="B46" s="239" t="s">
        <v>596</v>
      </c>
      <c r="C46" s="237">
        <v>3</v>
      </c>
      <c r="D46" s="238" t="s">
        <v>597</v>
      </c>
      <c r="E46" s="196">
        <v>5600</v>
      </c>
      <c r="F46" s="197">
        <v>6358.9</v>
      </c>
      <c r="G46" s="194">
        <f t="shared" si="2"/>
        <v>-758.8999999999996</v>
      </c>
      <c r="H46" s="195" t="s">
        <v>586</v>
      </c>
      <c r="I46" s="196">
        <f>85494+E46</f>
        <v>91094</v>
      </c>
      <c r="J46" s="197">
        <f>129409.34+F46</f>
        <v>135768.24</v>
      </c>
      <c r="K46" s="194">
        <f t="shared" si="3"/>
        <v>-44674.23999999999</v>
      </c>
      <c r="L46" s="195" t="s">
        <v>586</v>
      </c>
      <c r="M46" s="234"/>
    </row>
    <row r="47" spans="1:13" s="163" customFormat="1" ht="38.25">
      <c r="A47" s="235">
        <v>3.4</v>
      </c>
      <c r="B47" s="239" t="s">
        <v>587</v>
      </c>
      <c r="C47" s="237">
        <v>3</v>
      </c>
      <c r="D47" s="238" t="s">
        <v>597</v>
      </c>
      <c r="E47" s="196">
        <v>1259.7</v>
      </c>
      <c r="F47" s="197">
        <v>922.2</v>
      </c>
      <c r="G47" s="194">
        <f t="shared" si="2"/>
        <v>337.5</v>
      </c>
      <c r="H47" s="195" t="s">
        <v>586</v>
      </c>
      <c r="I47" s="196">
        <f>3360+1125+E47</f>
        <v>5744.7</v>
      </c>
      <c r="J47" s="197">
        <f>286.8+1950+F47</f>
        <v>3159</v>
      </c>
      <c r="K47" s="194">
        <f t="shared" si="3"/>
        <v>2585.7</v>
      </c>
      <c r="L47" s="195" t="s">
        <v>586</v>
      </c>
      <c r="M47" s="234"/>
    </row>
    <row r="48" spans="1:13" s="163" customFormat="1" ht="38.25">
      <c r="A48" s="235">
        <v>3.5</v>
      </c>
      <c r="B48" s="239" t="s">
        <v>587</v>
      </c>
      <c r="C48" s="237">
        <v>3</v>
      </c>
      <c r="D48" s="238" t="s">
        <v>590</v>
      </c>
      <c r="E48" s="196"/>
      <c r="F48" s="197"/>
      <c r="G48" s="194" t="str">
        <f t="shared" si="2"/>
        <v> </v>
      </c>
      <c r="H48" s="195" t="s">
        <v>586</v>
      </c>
      <c r="I48" s="196">
        <f>7650+2550</f>
        <v>10200</v>
      </c>
      <c r="J48" s="197">
        <v>4184.73</v>
      </c>
      <c r="K48" s="194">
        <f t="shared" si="3"/>
        <v>6015.27</v>
      </c>
      <c r="L48" s="195" t="s">
        <v>586</v>
      </c>
      <c r="M48" s="234"/>
    </row>
    <row r="49" spans="1:13" s="163" customFormat="1" ht="38.25">
      <c r="A49" s="235">
        <v>4.1</v>
      </c>
      <c r="B49" s="239" t="s">
        <v>587</v>
      </c>
      <c r="C49" s="237">
        <v>4</v>
      </c>
      <c r="D49" s="238" t="s">
        <v>590</v>
      </c>
      <c r="E49" s="196"/>
      <c r="F49" s="197"/>
      <c r="G49" s="194" t="str">
        <f t="shared" si="2"/>
        <v> </v>
      </c>
      <c r="H49" s="195" t="s">
        <v>586</v>
      </c>
      <c r="I49" s="196">
        <f>11250+3750</f>
        <v>15000</v>
      </c>
      <c r="J49" s="197">
        <v>9853.32</v>
      </c>
      <c r="K49" s="194">
        <f t="shared" si="3"/>
        <v>5146.68</v>
      </c>
      <c r="L49" s="195" t="s">
        <v>586</v>
      </c>
      <c r="M49" s="234"/>
    </row>
    <row r="50" spans="1:13" s="163" customFormat="1" ht="38.25">
      <c r="A50" s="235">
        <v>5.1</v>
      </c>
      <c r="B50" s="239" t="s">
        <v>584</v>
      </c>
      <c r="C50" s="237">
        <v>5</v>
      </c>
      <c r="D50" s="238" t="s">
        <v>598</v>
      </c>
      <c r="E50" s="196">
        <v>0</v>
      </c>
      <c r="F50" s="197"/>
      <c r="G50" s="194" t="str">
        <f t="shared" si="2"/>
        <v> </v>
      </c>
      <c r="H50" s="195" t="s">
        <v>586</v>
      </c>
      <c r="I50" s="196">
        <v>3400</v>
      </c>
      <c r="J50" s="197">
        <v>1831.55</v>
      </c>
      <c r="K50" s="194">
        <f t="shared" si="3"/>
        <v>1568.45</v>
      </c>
      <c r="L50" s="195" t="s">
        <v>586</v>
      </c>
      <c r="M50" s="234"/>
    </row>
    <row r="51" spans="1:13" s="163" customFormat="1" ht="38.25">
      <c r="A51" s="235">
        <v>5.2</v>
      </c>
      <c r="B51" s="239" t="s">
        <v>599</v>
      </c>
      <c r="C51" s="237">
        <v>5</v>
      </c>
      <c r="D51" s="238" t="s">
        <v>598</v>
      </c>
      <c r="E51" s="196">
        <v>31723</v>
      </c>
      <c r="F51" s="197">
        <v>25461.1</v>
      </c>
      <c r="G51" s="194">
        <f t="shared" si="2"/>
        <v>6261.9000000000015</v>
      </c>
      <c r="H51" s="195" t="s">
        <v>586</v>
      </c>
      <c r="I51" s="196">
        <f>100000+137186+E51</f>
        <v>268909</v>
      </c>
      <c r="J51" s="197">
        <f>260002.63+F51</f>
        <v>285463.73</v>
      </c>
      <c r="K51" s="194">
        <f t="shared" si="3"/>
        <v>-16554.72999999998</v>
      </c>
      <c r="L51" s="195" t="s">
        <v>586</v>
      </c>
      <c r="M51" s="234"/>
    </row>
    <row r="52" spans="1:13" s="163" customFormat="1" ht="38.25">
      <c r="A52" s="235">
        <v>5.3</v>
      </c>
      <c r="B52" s="239" t="s">
        <v>593</v>
      </c>
      <c r="C52" s="237">
        <v>5</v>
      </c>
      <c r="D52" s="238" t="s">
        <v>595</v>
      </c>
      <c r="E52" s="196">
        <v>0</v>
      </c>
      <c r="F52" s="197"/>
      <c r="G52" s="194" t="str">
        <f t="shared" si="2"/>
        <v> </v>
      </c>
      <c r="H52" s="195" t="s">
        <v>586</v>
      </c>
      <c r="I52" s="196">
        <v>41930</v>
      </c>
      <c r="J52" s="197">
        <f>5440.23+25832.5</f>
        <v>31272.73</v>
      </c>
      <c r="K52" s="194">
        <f t="shared" si="3"/>
        <v>10657.27</v>
      </c>
      <c r="L52" s="195" t="s">
        <v>586</v>
      </c>
      <c r="M52" s="234"/>
    </row>
    <row r="53" spans="1:13" s="163" customFormat="1" ht="38.25">
      <c r="A53" s="235">
        <v>5.4</v>
      </c>
      <c r="B53" s="239" t="s">
        <v>587</v>
      </c>
      <c r="C53" s="237">
        <v>5</v>
      </c>
      <c r="D53" s="238" t="s">
        <v>595</v>
      </c>
      <c r="E53" s="196"/>
      <c r="F53" s="197"/>
      <c r="G53" s="194" t="str">
        <f t="shared" si="2"/>
        <v> </v>
      </c>
      <c r="H53" s="195" t="s">
        <v>586</v>
      </c>
      <c r="I53" s="196">
        <f>525+525</f>
        <v>1050</v>
      </c>
      <c r="J53" s="197">
        <v>406.91</v>
      </c>
      <c r="K53" s="194">
        <f t="shared" si="3"/>
        <v>643.0899999999999</v>
      </c>
      <c r="L53" s="195" t="s">
        <v>586</v>
      </c>
      <c r="M53" s="234"/>
    </row>
    <row r="54" spans="1:13" s="163" customFormat="1" ht="38.25">
      <c r="A54" s="235">
        <v>5.5</v>
      </c>
      <c r="B54" s="239" t="s">
        <v>584</v>
      </c>
      <c r="C54" s="237">
        <v>5</v>
      </c>
      <c r="D54" s="238" t="s">
        <v>595</v>
      </c>
      <c r="E54" s="196"/>
      <c r="F54" s="197"/>
      <c r="G54" s="194" t="str">
        <f t="shared" si="2"/>
        <v> </v>
      </c>
      <c r="H54" s="195" t="s">
        <v>586</v>
      </c>
      <c r="I54" s="196">
        <v>1250</v>
      </c>
      <c r="J54" s="197">
        <v>0</v>
      </c>
      <c r="K54" s="194">
        <f t="shared" si="3"/>
        <v>1250</v>
      </c>
      <c r="L54" s="195" t="s">
        <v>586</v>
      </c>
      <c r="M54" s="234"/>
    </row>
    <row r="55" spans="1:13" s="163" customFormat="1" ht="51">
      <c r="A55" s="242"/>
      <c r="B55" s="239" t="s">
        <v>587</v>
      </c>
      <c r="C55" s="243"/>
      <c r="D55" s="244" t="s">
        <v>600</v>
      </c>
      <c r="E55" s="196">
        <v>38370</v>
      </c>
      <c r="F55" s="197">
        <v>0</v>
      </c>
      <c r="G55" s="194">
        <f t="shared" si="2"/>
        <v>38370</v>
      </c>
      <c r="H55" s="195" t="s">
        <v>586</v>
      </c>
      <c r="I55" s="196">
        <f>72540+E55</f>
        <v>110910</v>
      </c>
      <c r="J55" s="197">
        <f>110910+0.8</f>
        <v>110910.8</v>
      </c>
      <c r="K55" s="194">
        <f t="shared" si="3"/>
        <v>-0.8000000000029104</v>
      </c>
      <c r="L55" s="195" t="s">
        <v>586</v>
      </c>
      <c r="M55" s="234"/>
    </row>
    <row r="56" spans="1:13" s="163" customFormat="1" ht="63.75">
      <c r="A56" s="242"/>
      <c r="B56" s="239" t="s">
        <v>587</v>
      </c>
      <c r="C56" s="243" t="s">
        <v>601</v>
      </c>
      <c r="D56" s="245" t="s">
        <v>602</v>
      </c>
      <c r="E56" s="196">
        <v>172832.28</v>
      </c>
      <c r="F56" s="197">
        <v>104339.23</v>
      </c>
      <c r="G56" s="194">
        <f t="shared" si="2"/>
        <v>68493.05</v>
      </c>
      <c r="H56" s="195" t="s">
        <v>586</v>
      </c>
      <c r="I56" s="196">
        <f>746962.9+0.57+E56+1.45</f>
        <v>919797.2</v>
      </c>
      <c r="J56" s="197">
        <f>794342.01+F56</f>
        <v>898681.24</v>
      </c>
      <c r="K56" s="194">
        <f t="shared" si="3"/>
        <v>21115.959999999963</v>
      </c>
      <c r="L56" s="195" t="s">
        <v>586</v>
      </c>
      <c r="M56" s="234"/>
    </row>
    <row r="57" spans="1:13" ht="12.75">
      <c r="A57" s="1759" t="s">
        <v>579</v>
      </c>
      <c r="B57" s="1759"/>
      <c r="C57" s="1759"/>
      <c r="D57" s="1759"/>
      <c r="E57" s="215">
        <f>SUM(E35:E56)</f>
        <v>798766.98</v>
      </c>
      <c r="F57" s="214">
        <f>SUM(F35:F56)</f>
        <v>450944.66</v>
      </c>
      <c r="G57" s="214">
        <f>SUM(G35:G56)</f>
        <v>347822.32</v>
      </c>
      <c r="H57" s="246"/>
      <c r="I57" s="217">
        <f>SUM(I35:I56)</f>
        <v>4607116.54</v>
      </c>
      <c r="J57" s="214">
        <f>SUM(J35:J56)</f>
        <v>4306678.36</v>
      </c>
      <c r="K57" s="214">
        <f>SUM(K35:K56)</f>
        <v>300438.18000000005</v>
      </c>
      <c r="L57" s="247"/>
      <c r="M57" s="219"/>
    </row>
    <row r="58" spans="1:13" ht="12.75" customHeight="1">
      <c r="A58" s="1760" t="s">
        <v>603</v>
      </c>
      <c r="B58" s="1760"/>
      <c r="C58" s="1760"/>
      <c r="D58" s="1760"/>
      <c r="E58" s="1760"/>
      <c r="F58" s="220"/>
      <c r="G58" s="220"/>
      <c r="H58" s="220"/>
      <c r="I58" s="2"/>
      <c r="J58" s="2"/>
      <c r="K58" s="2"/>
      <c r="L58" s="2"/>
      <c r="M58" s="163"/>
    </row>
    <row r="59" spans="1:13" ht="12.75">
      <c r="A59" s="1760"/>
      <c r="B59" s="1760"/>
      <c r="C59" s="1760"/>
      <c r="D59" s="1760"/>
      <c r="E59" s="1760"/>
      <c r="F59" s="220"/>
      <c r="G59" s="220"/>
      <c r="H59" s="220"/>
      <c r="I59" s="2"/>
      <c r="J59" s="2"/>
      <c r="K59" s="2"/>
      <c r="L59" s="2"/>
      <c r="M59" s="163"/>
    </row>
    <row r="60" spans="1:13" ht="12.75">
      <c r="A60" s="1760"/>
      <c r="B60" s="1760"/>
      <c r="C60" s="1760"/>
      <c r="D60" s="1760"/>
      <c r="E60" s="1760"/>
      <c r="F60" s="220"/>
      <c r="G60" s="220"/>
      <c r="H60" s="220"/>
      <c r="I60" s="2"/>
      <c r="J60" s="2"/>
      <c r="K60" s="2"/>
      <c r="L60" s="2"/>
      <c r="M60" s="163"/>
    </row>
    <row r="61" spans="1:13" ht="4.5" customHeight="1">
      <c r="A61" s="220"/>
      <c r="B61" s="221"/>
      <c r="C61" s="221"/>
      <c r="D61" s="222"/>
      <c r="E61" s="222"/>
      <c r="F61" s="220"/>
      <c r="G61" s="220"/>
      <c r="H61" s="220"/>
      <c r="I61" s="2"/>
      <c r="J61" s="2"/>
      <c r="K61" s="2"/>
      <c r="L61" s="2"/>
      <c r="M61" s="163"/>
    </row>
    <row r="62" spans="1:13" ht="15">
      <c r="A62" s="176" t="s">
        <v>604</v>
      </c>
      <c r="B62" s="177"/>
      <c r="C62" s="177"/>
      <c r="D62" s="248"/>
      <c r="E62" s="1751" t="s">
        <v>539</v>
      </c>
      <c r="F62" s="1751"/>
      <c r="G62" s="1751"/>
      <c r="H62" s="1751"/>
      <c r="I62" s="1742" t="s">
        <v>541</v>
      </c>
      <c r="J62" s="1742"/>
      <c r="K62" s="1742"/>
      <c r="L62" s="1742"/>
      <c r="M62" s="163"/>
    </row>
    <row r="63" spans="1:13" ht="45">
      <c r="A63" s="179" t="s">
        <v>552</v>
      </c>
      <c r="B63" s="249" t="s">
        <v>605</v>
      </c>
      <c r="C63" s="249" t="s">
        <v>606</v>
      </c>
      <c r="D63" s="250" t="s">
        <v>607</v>
      </c>
      <c r="E63" s="181" t="s">
        <v>554</v>
      </c>
      <c r="F63" s="182" t="s">
        <v>555</v>
      </c>
      <c r="G63" s="187" t="s">
        <v>548</v>
      </c>
      <c r="H63" s="184" t="s">
        <v>549</v>
      </c>
      <c r="I63" s="185" t="s">
        <v>556</v>
      </c>
      <c r="J63" s="186" t="s">
        <v>557</v>
      </c>
      <c r="K63" s="187" t="s">
        <v>548</v>
      </c>
      <c r="L63" s="228" t="s">
        <v>549</v>
      </c>
      <c r="M63" s="229"/>
    </row>
    <row r="64" spans="1:13" s="163" customFormat="1" ht="25.5" customHeight="1">
      <c r="A64" s="235">
        <v>1</v>
      </c>
      <c r="B64" s="239" t="s">
        <v>535</v>
      </c>
      <c r="C64" s="251" t="s">
        <v>608</v>
      </c>
      <c r="D64" s="252" t="s">
        <v>609</v>
      </c>
      <c r="E64" s="253">
        <v>798766.98</v>
      </c>
      <c r="F64" s="207">
        <v>450944.66</v>
      </c>
      <c r="G64" s="194">
        <f>IF((E64=0)*AND(F64=0)," ",E64-F64)</f>
        <v>347822.32</v>
      </c>
      <c r="H64" s="195" t="s">
        <v>586</v>
      </c>
      <c r="I64" s="196">
        <f>4607115.09+1.45</f>
        <v>4607116.54</v>
      </c>
      <c r="J64" s="197">
        <v>4306678.36</v>
      </c>
      <c r="K64" s="194">
        <f>IF((I64=0)*AND(J64=0)," ",I64-J64)</f>
        <v>300438.1799999997</v>
      </c>
      <c r="L64" s="195" t="s">
        <v>586</v>
      </c>
      <c r="M64" s="234"/>
    </row>
    <row r="65" spans="1:13" s="163" customFormat="1" ht="12.75">
      <c r="A65" s="235"/>
      <c r="B65" s="239" t="s">
        <v>610</v>
      </c>
      <c r="C65" s="251"/>
      <c r="D65" s="252" t="s">
        <v>611</v>
      </c>
      <c r="E65" s="253"/>
      <c r="F65" s="207"/>
      <c r="G65" s="194" t="str">
        <f>IF((E65=0)*AND(F65=0)," ",E65-F65)</f>
        <v> </v>
      </c>
      <c r="H65" s="254"/>
      <c r="I65" s="196"/>
      <c r="J65" s="197"/>
      <c r="K65" s="194" t="str">
        <f>IF((I65=0)*AND(J65=0)," ",I65-J65)</f>
        <v> </v>
      </c>
      <c r="L65" s="254"/>
      <c r="M65" s="234"/>
    </row>
    <row r="66" spans="1:13" s="163" customFormat="1" ht="12.75">
      <c r="A66" s="235"/>
      <c r="B66" s="239" t="s">
        <v>610</v>
      </c>
      <c r="C66" s="251"/>
      <c r="D66" s="252" t="s">
        <v>611</v>
      </c>
      <c r="E66" s="253"/>
      <c r="F66" s="207"/>
      <c r="G66" s="194" t="str">
        <f>IF((E66=0)*AND(F66=0)," ",E66-F66)</f>
        <v> </v>
      </c>
      <c r="H66" s="254"/>
      <c r="I66" s="196"/>
      <c r="J66" s="197"/>
      <c r="K66" s="194" t="str">
        <f>IF((I66=0)*AND(J66=0)," ",I66-J66)</f>
        <v> </v>
      </c>
      <c r="L66" s="254"/>
      <c r="M66" s="234"/>
    </row>
    <row r="67" spans="1:13" s="163" customFormat="1" ht="12.75">
      <c r="A67" s="235"/>
      <c r="B67" s="239" t="s">
        <v>610</v>
      </c>
      <c r="C67" s="251"/>
      <c r="D67" s="252" t="s">
        <v>611</v>
      </c>
      <c r="E67" s="253"/>
      <c r="F67" s="207"/>
      <c r="G67" s="194" t="str">
        <f>IF((E67=0)*AND(F67=0)," ",E67-F67)</f>
        <v> </v>
      </c>
      <c r="H67" s="254"/>
      <c r="I67" s="196"/>
      <c r="J67" s="197"/>
      <c r="K67" s="194" t="str">
        <f>IF((I67=0)*AND(J67=0)," ",I67-J67)</f>
        <v> </v>
      </c>
      <c r="L67" s="254"/>
      <c r="M67" s="234"/>
    </row>
    <row r="68" spans="1:13" s="163" customFormat="1" ht="12.75">
      <c r="A68" s="242"/>
      <c r="B68" s="239" t="s">
        <v>610</v>
      </c>
      <c r="C68" s="255"/>
      <c r="D68" s="252" t="s">
        <v>611</v>
      </c>
      <c r="E68" s="253"/>
      <c r="F68" s="207"/>
      <c r="G68" s="194" t="str">
        <f>IF((E68=0)*AND(F68=0)," ",E68-F68)</f>
        <v> </v>
      </c>
      <c r="H68" s="256"/>
      <c r="I68" s="196"/>
      <c r="J68" s="197"/>
      <c r="K68" s="194" t="str">
        <f>IF((I68=0)*AND(J68=0)," ",I68-J68)</f>
        <v> </v>
      </c>
      <c r="L68" s="257"/>
      <c r="M68" s="234"/>
    </row>
    <row r="69" spans="1:13" ht="12.75">
      <c r="A69" s="258"/>
      <c r="B69" s="259"/>
      <c r="C69" s="259"/>
      <c r="D69" s="213" t="s">
        <v>579</v>
      </c>
      <c r="E69" s="215">
        <f>SUM(E64:E68)</f>
        <v>798766.98</v>
      </c>
      <c r="F69" s="214">
        <f>SUM(F64:F68)</f>
        <v>450944.66</v>
      </c>
      <c r="G69" s="214">
        <f>SUM(G64:G68)</f>
        <v>347822.32</v>
      </c>
      <c r="H69" s="246"/>
      <c r="I69" s="217">
        <f>SUM(I64:I68)</f>
        <v>4607116.54</v>
      </c>
      <c r="J69" s="214">
        <f>SUM(J64:J68)</f>
        <v>4306678.36</v>
      </c>
      <c r="K69" s="214">
        <f>SUM(K64:K68)</f>
        <v>300438.1799999997</v>
      </c>
      <c r="L69" s="247"/>
      <c r="M69" s="219"/>
    </row>
    <row r="70" spans="1:13" ht="12.75" customHeight="1">
      <c r="A70" s="1760" t="s">
        <v>612</v>
      </c>
      <c r="B70" s="1760"/>
      <c r="C70" s="1760"/>
      <c r="D70" s="1760"/>
      <c r="E70" s="1760"/>
      <c r="F70" s="220"/>
      <c r="G70" s="220"/>
      <c r="H70" s="220"/>
      <c r="I70" s="2"/>
      <c r="J70" s="2"/>
      <c r="K70" s="2"/>
      <c r="L70" s="2"/>
      <c r="M70" s="163"/>
    </row>
    <row r="71" spans="1:13" ht="12.75">
      <c r="A71" s="1760"/>
      <c r="B71" s="1760"/>
      <c r="C71" s="1760"/>
      <c r="D71" s="1760"/>
      <c r="E71" s="1760"/>
      <c r="F71" s="220"/>
      <c r="G71" s="220"/>
      <c r="H71" s="220"/>
      <c r="I71" s="2"/>
      <c r="J71" s="2"/>
      <c r="K71" s="2"/>
      <c r="L71" s="2"/>
      <c r="M71" s="163"/>
    </row>
    <row r="72" spans="1:13" ht="12.75">
      <c r="A72" s="1760"/>
      <c r="B72" s="1760"/>
      <c r="C72" s="1760"/>
      <c r="D72" s="1760"/>
      <c r="E72" s="1760"/>
      <c r="F72" s="220"/>
      <c r="G72" s="220"/>
      <c r="H72" s="220"/>
      <c r="I72" s="2"/>
      <c r="J72" s="2"/>
      <c r="K72" s="2"/>
      <c r="L72" s="2"/>
      <c r="M72" s="163"/>
    </row>
    <row r="73" spans="1:13" ht="8.25" customHeight="1">
      <c r="A73" s="220"/>
      <c r="B73" s="221"/>
      <c r="C73" s="221"/>
      <c r="D73" s="222"/>
      <c r="E73" s="222"/>
      <c r="F73" s="220"/>
      <c r="G73" s="220"/>
      <c r="H73" s="220"/>
      <c r="I73" s="2"/>
      <c r="J73" s="2"/>
      <c r="K73" s="2"/>
      <c r="L73" s="2"/>
      <c r="M73" s="163"/>
    </row>
    <row r="74" spans="1:13" ht="12.75">
      <c r="A74" s="2" t="s">
        <v>613</v>
      </c>
      <c r="B74" s="221"/>
      <c r="C74" s="221"/>
      <c r="D74" s="222"/>
      <c r="E74" s="222"/>
      <c r="F74" s="220"/>
      <c r="G74" s="220"/>
      <c r="H74" s="220"/>
      <c r="I74" s="2"/>
      <c r="J74" s="2"/>
      <c r="K74" s="2"/>
      <c r="L74" s="2"/>
      <c r="M74" s="163"/>
    </row>
    <row r="75" spans="1:13" ht="12.75">
      <c r="A75" s="2" t="s">
        <v>614</v>
      </c>
      <c r="B75" s="2"/>
      <c r="C75" s="2"/>
      <c r="D75" s="2"/>
      <c r="E75" s="165"/>
      <c r="F75" s="166"/>
      <c r="G75" s="167"/>
      <c r="H75" s="2"/>
      <c r="I75" s="2"/>
      <c r="J75" s="2"/>
      <c r="K75" s="2"/>
      <c r="L75" s="2"/>
      <c r="M75" s="163"/>
    </row>
    <row r="76" spans="1:13" ht="4.5" customHeight="1">
      <c r="A76" s="167"/>
      <c r="B76" s="2"/>
      <c r="C76" s="165"/>
      <c r="D76" s="2"/>
      <c r="E76" s="165"/>
      <c r="F76" s="165"/>
      <c r="G76" s="166"/>
      <c r="H76" s="166"/>
      <c r="I76" s="106"/>
      <c r="J76" s="106"/>
      <c r="K76" s="106"/>
      <c r="L76" s="2"/>
      <c r="M76" s="163"/>
    </row>
    <row r="77" spans="1:13" ht="15">
      <c r="A77" s="1761" t="s">
        <v>615</v>
      </c>
      <c r="B77" s="1761"/>
      <c r="C77" s="1761"/>
      <c r="D77" s="1761"/>
      <c r="E77" s="1761"/>
      <c r="F77" s="1761"/>
      <c r="G77" s="1761"/>
      <c r="H77" s="1761"/>
      <c r="I77" s="1761"/>
      <c r="J77" s="1761"/>
      <c r="K77" s="1761"/>
      <c r="L77" s="1761"/>
      <c r="M77" s="163"/>
    </row>
    <row r="78" spans="1:13" ht="15">
      <c r="A78" s="1757" t="s">
        <v>616</v>
      </c>
      <c r="B78" s="1757"/>
      <c r="C78" s="1757"/>
      <c r="D78" s="1757"/>
      <c r="E78" s="1757"/>
      <c r="F78" s="1757"/>
      <c r="G78" s="1757"/>
      <c r="H78" s="1757"/>
      <c r="I78" s="1757"/>
      <c r="J78" s="1757"/>
      <c r="K78" s="1757"/>
      <c r="L78" s="1757"/>
      <c r="M78" s="163"/>
    </row>
    <row r="79" spans="1:13" ht="7.5" customHeight="1">
      <c r="A79" s="1758"/>
      <c r="B79" s="1758"/>
      <c r="C79" s="1758"/>
      <c r="D79" s="1758"/>
      <c r="E79" s="1758"/>
      <c r="F79" s="1758"/>
      <c r="G79" s="1758"/>
      <c r="H79" s="1758"/>
      <c r="I79" s="1758"/>
      <c r="J79" s="1758"/>
      <c r="K79" s="1758"/>
      <c r="L79" s="1758"/>
      <c r="M79" s="260"/>
    </row>
    <row r="80" spans="1:13" ht="7.5" customHeight="1">
      <c r="A80" s="1758"/>
      <c r="B80" s="1758"/>
      <c r="C80" s="1758"/>
      <c r="D80" s="1758"/>
      <c r="E80" s="1758"/>
      <c r="F80" s="1758"/>
      <c r="G80" s="1758"/>
      <c r="H80" s="1758"/>
      <c r="I80" s="1758"/>
      <c r="J80" s="1758"/>
      <c r="K80" s="1758"/>
      <c r="L80" s="1758"/>
      <c r="M80" s="260"/>
    </row>
    <row r="81" spans="1:13" ht="6.75" customHeight="1">
      <c r="A81" s="1758"/>
      <c r="B81" s="1758"/>
      <c r="C81" s="1758"/>
      <c r="D81" s="1758"/>
      <c r="E81" s="1758"/>
      <c r="F81" s="1758"/>
      <c r="G81" s="1758"/>
      <c r="H81" s="1758"/>
      <c r="I81" s="1758"/>
      <c r="J81" s="1758"/>
      <c r="K81" s="1758"/>
      <c r="L81" s="1758"/>
      <c r="M81" s="260"/>
    </row>
    <row r="82" spans="1:13" ht="6.75" customHeight="1">
      <c r="A82" s="1758"/>
      <c r="B82" s="1758"/>
      <c r="C82" s="1758"/>
      <c r="D82" s="1758"/>
      <c r="E82" s="1758"/>
      <c r="F82" s="1758"/>
      <c r="G82" s="1758"/>
      <c r="H82" s="1758"/>
      <c r="I82" s="1758"/>
      <c r="J82" s="1758"/>
      <c r="K82" s="1758"/>
      <c r="L82" s="1758"/>
      <c r="M82" s="260"/>
    </row>
    <row r="83" spans="1:13" ht="3.75" customHeight="1">
      <c r="A83" s="1758"/>
      <c r="B83" s="1758"/>
      <c r="C83" s="1758"/>
      <c r="D83" s="1758"/>
      <c r="E83" s="1758"/>
      <c r="F83" s="1758"/>
      <c r="G83" s="1758"/>
      <c r="H83" s="1758"/>
      <c r="I83" s="1758"/>
      <c r="J83" s="1758"/>
      <c r="K83" s="1758"/>
      <c r="L83" s="1758"/>
      <c r="M83" s="260"/>
    </row>
    <row r="84" spans="1:13" ht="5.25" customHeight="1">
      <c r="A84" s="261"/>
      <c r="B84" s="163"/>
      <c r="C84" s="262"/>
      <c r="D84" s="163"/>
      <c r="E84" s="262"/>
      <c r="F84" s="262"/>
      <c r="G84" s="263"/>
      <c r="H84" s="263"/>
      <c r="I84" s="163"/>
      <c r="J84" s="163"/>
      <c r="K84" s="163"/>
      <c r="L84" s="163"/>
      <c r="M84" s="163"/>
    </row>
    <row r="85" spans="1:12" ht="15">
      <c r="A85" s="264" t="s">
        <v>617</v>
      </c>
      <c r="B85" s="265"/>
      <c r="C85" s="265"/>
      <c r="D85" s="266"/>
      <c r="E85" s="1753" t="s">
        <v>541</v>
      </c>
      <c r="F85" s="1753"/>
      <c r="G85" s="1753"/>
      <c r="H85" s="1753"/>
      <c r="I85" s="1753"/>
      <c r="J85" s="1753"/>
      <c r="K85" s="1753"/>
      <c r="L85" s="1753"/>
    </row>
    <row r="86" spans="1:11" ht="45.75" customHeight="1">
      <c r="A86" s="179" t="s">
        <v>552</v>
      </c>
      <c r="B86" s="249" t="s">
        <v>606</v>
      </c>
      <c r="C86" s="250" t="s">
        <v>607</v>
      </c>
      <c r="D86" s="185" t="s">
        <v>618</v>
      </c>
      <c r="E86" s="1754" t="s">
        <v>619</v>
      </c>
      <c r="F86" s="1754"/>
      <c r="G86" s="1754"/>
      <c r="H86" s="1754"/>
      <c r="I86" s="1754"/>
      <c r="J86" s="1754"/>
      <c r="K86" s="1754"/>
    </row>
    <row r="87" spans="1:11" s="163" customFormat="1" ht="12.75">
      <c r="A87" s="235"/>
      <c r="B87" s="251"/>
      <c r="C87" s="267"/>
      <c r="D87" s="268"/>
      <c r="E87" s="1755"/>
      <c r="F87" s="1755"/>
      <c r="G87" s="1755"/>
      <c r="H87" s="1755"/>
      <c r="I87" s="1755"/>
      <c r="J87" s="1755"/>
      <c r="K87" s="1755"/>
    </row>
    <row r="88" spans="1:11" s="163" customFormat="1" ht="12.75">
      <c r="A88" s="235"/>
      <c r="B88" s="251"/>
      <c r="C88" s="267"/>
      <c r="D88" s="268"/>
      <c r="E88" s="1755"/>
      <c r="F88" s="1755"/>
      <c r="G88" s="1755"/>
      <c r="H88" s="1755"/>
      <c r="I88" s="1755"/>
      <c r="J88" s="1755"/>
      <c r="K88" s="1755"/>
    </row>
    <row r="89" spans="1:11" s="163" customFormat="1" ht="12.75">
      <c r="A89" s="235"/>
      <c r="B89" s="251"/>
      <c r="C89" s="267"/>
      <c r="D89" s="268"/>
      <c r="E89" s="1755"/>
      <c r="F89" s="1755"/>
      <c r="G89" s="1755"/>
      <c r="H89" s="1755"/>
      <c r="I89" s="1755"/>
      <c r="J89" s="1755"/>
      <c r="K89" s="1755"/>
    </row>
    <row r="90" spans="1:11" s="163" customFormat="1" ht="12.75">
      <c r="A90" s="235"/>
      <c r="B90" s="251"/>
      <c r="C90" s="267" t="s">
        <v>611</v>
      </c>
      <c r="D90" s="268"/>
      <c r="E90" s="1756"/>
      <c r="F90" s="1756"/>
      <c r="G90" s="1756"/>
      <c r="H90" s="1756"/>
      <c r="I90" s="1756"/>
      <c r="J90" s="1756"/>
      <c r="K90" s="1756"/>
    </row>
    <row r="91" spans="1:11" s="163" customFormat="1" ht="12.75">
      <c r="A91" s="242"/>
      <c r="B91" s="255"/>
      <c r="C91" s="267" t="s">
        <v>611</v>
      </c>
      <c r="D91" s="268"/>
      <c r="E91" s="1752"/>
      <c r="F91" s="1752"/>
      <c r="G91" s="1752"/>
      <c r="H91" s="1752"/>
      <c r="I91" s="1752"/>
      <c r="J91" s="1752"/>
      <c r="K91" s="1752"/>
    </row>
    <row r="92" spans="1:11" ht="12.75">
      <c r="A92" s="258"/>
      <c r="B92" s="259"/>
      <c r="C92" s="213" t="s">
        <v>579</v>
      </c>
      <c r="D92" s="217">
        <f>SUM(D87:D91)</f>
        <v>0</v>
      </c>
      <c r="E92" s="269"/>
      <c r="F92" s="270"/>
      <c r="G92" s="270"/>
      <c r="H92" s="270"/>
      <c r="I92" s="270"/>
      <c r="J92" s="270"/>
      <c r="K92" s="270"/>
    </row>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sheetData>
  <sheetProtection password="92D1" sheet="1" objects="1" scenarios="1" insertRows="0" insertHyperlinks="0" deleteRows="0" selectLockedCells="1"/>
  <mergeCells count="65">
    <mergeCell ref="A78:L78"/>
    <mergeCell ref="A79:L83"/>
    <mergeCell ref="A57:D57"/>
    <mergeCell ref="A58:E60"/>
    <mergeCell ref="E62:H62"/>
    <mergeCell ref="I62:L62"/>
    <mergeCell ref="A70:E72"/>
    <mergeCell ref="A77:L77"/>
    <mergeCell ref="E91:K91"/>
    <mergeCell ref="E85:L85"/>
    <mergeCell ref="E86:K86"/>
    <mergeCell ref="E87:K87"/>
    <mergeCell ref="E88:K88"/>
    <mergeCell ref="E89:K89"/>
    <mergeCell ref="E90:K90"/>
    <mergeCell ref="B29:D29"/>
    <mergeCell ref="A30:C30"/>
    <mergeCell ref="E33:H33"/>
    <mergeCell ref="I33:L33"/>
    <mergeCell ref="B25:D25"/>
    <mergeCell ref="B26:D26"/>
    <mergeCell ref="B27:D27"/>
    <mergeCell ref="B28:D28"/>
    <mergeCell ref="B24:D24"/>
    <mergeCell ref="B17:D17"/>
    <mergeCell ref="P17:Q17"/>
    <mergeCell ref="U17:V17"/>
    <mergeCell ref="B18:D18"/>
    <mergeCell ref="P18:Q18"/>
    <mergeCell ref="U18:V18"/>
    <mergeCell ref="B21:D21"/>
    <mergeCell ref="P21:Q21"/>
    <mergeCell ref="U21:V21"/>
    <mergeCell ref="B16:C16"/>
    <mergeCell ref="B23:D23"/>
    <mergeCell ref="P23:Q23"/>
    <mergeCell ref="U23:V23"/>
    <mergeCell ref="B22:D22"/>
    <mergeCell ref="P22:Q22"/>
    <mergeCell ref="U22:V22"/>
    <mergeCell ref="B19:D19"/>
    <mergeCell ref="B20:D20"/>
    <mergeCell ref="P20:Q20"/>
    <mergeCell ref="U20:V20"/>
    <mergeCell ref="P16:Q16"/>
    <mergeCell ref="U16:V16"/>
    <mergeCell ref="E12:H13"/>
    <mergeCell ref="E15:H15"/>
    <mergeCell ref="I15:L15"/>
    <mergeCell ref="P15:Q15"/>
    <mergeCell ref="U15:V15"/>
    <mergeCell ref="A6:B6"/>
    <mergeCell ref="C6:D6"/>
    <mergeCell ref="E8:E9"/>
    <mergeCell ref="I8:I9"/>
    <mergeCell ref="A7:B7"/>
    <mergeCell ref="A8:B8"/>
    <mergeCell ref="A5:B5"/>
    <mergeCell ref="C5:D5"/>
    <mergeCell ref="A1:F1"/>
    <mergeCell ref="A3:B3"/>
    <mergeCell ref="C3:D3"/>
    <mergeCell ref="F3:H4"/>
    <mergeCell ref="A4:B4"/>
    <mergeCell ref="C4:D4"/>
  </mergeCells>
  <conditionalFormatting sqref="E57">
    <cfRule type="cellIs" priority="1" dxfId="44" operator="notEqual" stopIfTrue="1">
      <formula>$E$30</formula>
    </cfRule>
    <cfRule type="cellIs" priority="2" dxfId="44" operator="notEqual" stopIfTrue="1">
      <formula>$E$69</formula>
    </cfRule>
  </conditionalFormatting>
  <conditionalFormatting sqref="F57">
    <cfRule type="cellIs" priority="3" dxfId="44" operator="notEqual" stopIfTrue="1">
      <formula>$F$30</formula>
    </cfRule>
    <cfRule type="cellIs" priority="4" dxfId="44" operator="notEqual" stopIfTrue="1">
      <formula>$F$69</formula>
    </cfRule>
  </conditionalFormatting>
  <conditionalFormatting sqref="I57">
    <cfRule type="cellIs" priority="5" dxfId="44" operator="notEqual" stopIfTrue="1">
      <formula>$I$30</formula>
    </cfRule>
    <cfRule type="cellIs" priority="6" dxfId="44" operator="notEqual" stopIfTrue="1">
      <formula>$I$69</formula>
    </cfRule>
  </conditionalFormatting>
  <conditionalFormatting sqref="J57">
    <cfRule type="cellIs" priority="7" dxfId="44" operator="notEqual" stopIfTrue="1">
      <formula>$J$30</formula>
    </cfRule>
    <cfRule type="cellIs" priority="8" dxfId="44" operator="notEqual" stopIfTrue="1">
      <formula>$J$69</formula>
    </cfRule>
  </conditionalFormatting>
  <conditionalFormatting sqref="G57">
    <cfRule type="cellIs" priority="21" dxfId="44" operator="notEqual" stopIfTrue="1">
      <formula>$G$30</formula>
    </cfRule>
    <cfRule type="cellIs" priority="22" dxfId="44" operator="notEqual" stopIfTrue="1">
      <formula>$G$69</formula>
    </cfRule>
  </conditionalFormatting>
  <conditionalFormatting sqref="E69">
    <cfRule type="cellIs" priority="23" dxfId="44" operator="notEqual" stopIfTrue="1">
      <formula>$E$30</formula>
    </cfRule>
    <cfRule type="cellIs" priority="24" dxfId="44" operator="notEqual" stopIfTrue="1">
      <formula>$E$57</formula>
    </cfRule>
  </conditionalFormatting>
  <conditionalFormatting sqref="F69">
    <cfRule type="cellIs" priority="25" dxfId="44" operator="notEqual" stopIfTrue="1">
      <formula>$F$30</formula>
    </cfRule>
    <cfRule type="cellIs" priority="26" dxfId="44" operator="notEqual" stopIfTrue="1">
      <formula>$F$57</formula>
    </cfRule>
  </conditionalFormatting>
  <conditionalFormatting sqref="G69">
    <cfRule type="cellIs" priority="27" dxfId="44" operator="notEqual" stopIfTrue="1">
      <formula>$G$30</formula>
    </cfRule>
    <cfRule type="cellIs" priority="28" dxfId="44" operator="notEqual" stopIfTrue="1">
      <formula>$G$57</formula>
    </cfRule>
  </conditionalFormatting>
  <conditionalFormatting sqref="I69">
    <cfRule type="cellIs" priority="29" dxfId="44" operator="notEqual" stopIfTrue="1">
      <formula>$I$30</formula>
    </cfRule>
    <cfRule type="cellIs" priority="30" dxfId="44" operator="notEqual" stopIfTrue="1">
      <formula>$I$57</formula>
    </cfRule>
  </conditionalFormatting>
  <conditionalFormatting sqref="J69">
    <cfRule type="cellIs" priority="31" dxfId="44" operator="notEqual" stopIfTrue="1">
      <formula>$J$30</formula>
    </cfRule>
    <cfRule type="cellIs" priority="32" dxfId="44" operator="notEqual" stopIfTrue="1">
      <formula>$J$57</formula>
    </cfRule>
  </conditionalFormatting>
  <conditionalFormatting sqref="K69 K57">
    <cfRule type="cellIs" priority="33" dxfId="44" operator="notEqual" stopIfTrue="1">
      <formula>$K$30</formula>
    </cfRule>
    <cfRule type="cellIs" priority="34" dxfId="44" operator="notEqual" stopIfTrue="1">
      <formula>$K$69</formula>
    </cfRule>
  </conditionalFormatting>
  <conditionalFormatting sqref="E30">
    <cfRule type="cellIs" priority="9" dxfId="44" operator="notEqual" stopIfTrue="1">
      <formula>$E$57</formula>
    </cfRule>
    <cfRule type="cellIs" priority="10" dxfId="44" operator="notEqual" stopIfTrue="1">
      <formula>$E$69</formula>
    </cfRule>
  </conditionalFormatting>
  <conditionalFormatting sqref="F30">
    <cfRule type="cellIs" priority="11" dxfId="44" operator="notEqual" stopIfTrue="1">
      <formula>$F$57</formula>
    </cfRule>
    <cfRule type="cellIs" priority="12" dxfId="44" operator="notEqual" stopIfTrue="1">
      <formula>$F$69</formula>
    </cfRule>
  </conditionalFormatting>
  <conditionalFormatting sqref="J30">
    <cfRule type="cellIs" priority="13" dxfId="44" operator="notEqual" stopIfTrue="1">
      <formula>$J$57</formula>
    </cfRule>
    <cfRule type="cellIs" priority="14" dxfId="44" operator="notEqual" stopIfTrue="1">
      <formula>$J$69</formula>
    </cfRule>
  </conditionalFormatting>
  <conditionalFormatting sqref="G9">
    <cfRule type="cellIs" priority="15" dxfId="53" operator="notEqual" stopIfTrue="1">
      <formula>$K$9</formula>
    </cfRule>
  </conditionalFormatting>
  <conditionalFormatting sqref="K9">
    <cfRule type="cellIs" priority="16" dxfId="44" operator="notEqual" stopIfTrue="1">
      <formula>$G$9</formula>
    </cfRule>
  </conditionalFormatting>
  <conditionalFormatting sqref="G8">
    <cfRule type="cellIs" priority="17" dxfId="44" operator="lessThan" stopIfTrue="1">
      <formula>$K$8</formula>
    </cfRule>
  </conditionalFormatting>
  <conditionalFormatting sqref="K8">
    <cfRule type="cellIs" priority="18" dxfId="44" operator="greaterThan" stopIfTrue="1">
      <formula>$G$8</formula>
    </cfRule>
  </conditionalFormatting>
  <conditionalFormatting sqref="G30">
    <cfRule type="cellIs" priority="19" dxfId="44" operator="notEqual" stopIfTrue="1">
      <formula>$G$57</formula>
    </cfRule>
    <cfRule type="cellIs" priority="20" dxfId="44" operator="notEqual" stopIfTrue="1">
      <formula>$G$69</formula>
    </cfRule>
  </conditionalFormatting>
  <conditionalFormatting sqref="K30">
    <cfRule type="cellIs" priority="35" dxfId="44" operator="notEqual" stopIfTrue="1">
      <formula>$K$57</formula>
    </cfRule>
    <cfRule type="cellIs" priority="36" dxfId="44" operator="notEqual" stopIfTrue="1">
      <formula>$K$69</formula>
    </cfRule>
  </conditionalFormatting>
  <conditionalFormatting sqref="I30">
    <cfRule type="cellIs" priority="37" dxfId="44" operator="notEqual" stopIfTrue="1">
      <formula>$I$57</formula>
    </cfRule>
    <cfRule type="cellIs" priority="38" dxfId="44" operator="notEqual" stopIfTrue="1">
      <formula>$I$69</formula>
    </cfRule>
  </conditionalFormatting>
  <conditionalFormatting sqref="I30">
    <cfRule type="cellIs" priority="39" dxfId="1" operator="notEqual" stopIfTrue="1">
      <formula>$W$16</formula>
    </cfRule>
  </conditionalFormatting>
  <conditionalFormatting sqref="T19:T20 Y19 Z21:Z23 U20:U21 R17:S18 R21:S23 W17:X18 W21:X23">
    <cfRule type="cellIs" priority="40" dxfId="14" operator="lessThan" stopIfTrue="1">
      <formula>0</formula>
    </cfRule>
  </conditionalFormatting>
  <conditionalFormatting sqref="T19:T20 Y19:Y20 U20:U21 W21:W23 Z21:Z23 X22:X23">
    <cfRule type="cellIs" priority="41" dxfId="0" operator="lessThan" stopIfTrue="1">
      <formula>0</formula>
    </cfRule>
  </conditionalFormatting>
  <dataValidations count="14">
    <dataValidation type="decimal" allowBlank="1" showErrorMessage="1" sqref="I64:J68 D87:D91 I35:J56">
      <formula1>-1000000000000000</formula1>
      <formula2>99999999999999900</formula2>
    </dataValidation>
    <dataValidation type="decimal" allowBlank="1" showErrorMessage="1" sqref="E64:F68">
      <formula1>-1000000000000</formula1>
      <formula2>99000000000000.9</formula2>
    </dataValidation>
    <dataValidation type="list" allowBlank="1" showErrorMessage="1" errorTitle="Invalid Data" error="You must select from the list only." sqref="B64:B68">
      <formula1>"Please Select …,PR,SR"</formula1>
      <formula2>0</formula2>
    </dataValidation>
    <dataValidation type="list" allowBlank="1" showErrorMessage="1" sqref="D64:D68">
      <formula1>List_IE</formula1>
      <formula2>0</formula2>
    </dataValidation>
    <dataValidation type="list" allowBlank="1" showErrorMessage="1" errorTitle="Invalid Data" error="You must select an implementing entity type from the list only." sqref="C87:C91">
      <formula1>List_IE</formula1>
      <formula2>0</formula2>
    </dataValidation>
    <dataValidation type="date" allowBlank="1" showErrorMessage="1" sqref="G9 K9">
      <formula1>34700</formula1>
      <formula2>118706</formula2>
    </dataValidation>
    <dataValidation type="date" allowBlank="1" sqref="G8 K8">
      <formula1>34700</formula1>
      <formula2>127472</formula2>
    </dataValidation>
    <dataValidation type="decimal" allowBlank="1" showErrorMessage="1" sqref="I17:J29">
      <formula1>-10000000000000</formula1>
      <formula2>990000000000000</formula2>
    </dataValidation>
    <dataValidation type="decimal" allowBlank="1" showErrorMessage="1" sqref="E35:F56">
      <formula1>-100000000000</formula1>
      <formula2>99999999999999.9</formula2>
    </dataValidation>
    <dataValidation type="decimal" allowBlank="1" showErrorMessage="1" sqref="E17:F29">
      <formula1>-1000000000000</formula1>
      <formula2>99999999999999.9</formula2>
    </dataValidation>
    <dataValidation type="list" allowBlank="1" showErrorMessage="1" sqref="C6:D6 A7">
      <formula1>"Please Select …,USD,EURO"</formula1>
      <formula2>0</formula2>
    </dataValidation>
    <dataValidation type="date" allowBlank="1" showErrorMessage="1" sqref="H8:H9">
      <formula1>34700</formula1>
      <formula2>40179</formula2>
    </dataValidation>
    <dataValidation type="list" allowBlank="1" showErrorMessage="1" sqref="B35:B56">
      <formula1>ListTB</formula1>
      <formula2>0</formula2>
    </dataValidation>
    <dataValidation type="list" allowBlank="1" sqref="D35:D56">
      <formula1>TBSDA</formula1>
      <formula2>0</formula2>
    </dataValidation>
  </dataValidations>
  <printOptions horizontalCentered="1" verticalCentered="1"/>
  <pageMargins left="0.31496062992125984" right="0.31496062992125984" top="1.3385826771653544" bottom="1.2598425196850394" header="0.5118110236220472" footer="0.5118110236220472"/>
  <pageSetup fitToHeight="0" fitToWidth="1" horizontalDpi="300" verticalDpi="300" orientation="landscape" paperSize="119" scale="77" r:id="rId3"/>
  <legacyDrawing r:id="rId2"/>
</worksheet>
</file>

<file path=xl/worksheets/sheet7.xml><?xml version="1.0" encoding="utf-8"?>
<worksheet xmlns="http://schemas.openxmlformats.org/spreadsheetml/2006/main" xmlns:r="http://schemas.openxmlformats.org/officeDocument/2006/relationships">
  <sheetPr>
    <tabColor indexed="11"/>
    <pageSetUpPr fitToPage="1"/>
  </sheetPr>
  <dimension ref="A1:L14"/>
  <sheetViews>
    <sheetView showGridLines="0" zoomScale="70" zoomScaleNormal="70" zoomScaleSheetLayoutView="70" zoomScalePageLayoutView="0" workbookViewId="0" topLeftCell="C10">
      <selection activeCell="G12" sqref="G12"/>
    </sheetView>
  </sheetViews>
  <sheetFormatPr defaultColWidth="9.140625" defaultRowHeight="12.75"/>
  <cols>
    <col min="1" max="1" width="15.00390625" style="2" customWidth="1"/>
    <col min="2" max="2" width="45.421875" style="2" customWidth="1"/>
    <col min="3" max="3" width="19.28125" style="2" customWidth="1"/>
    <col min="4" max="4" width="26.140625" style="2" customWidth="1"/>
    <col min="5" max="5" width="19.28125" style="2" customWidth="1"/>
    <col min="6" max="6" width="17.140625" style="2" customWidth="1"/>
    <col min="7" max="7" width="25.8515625" style="2" customWidth="1"/>
    <col min="8" max="8" width="20.00390625" style="119" customWidth="1"/>
    <col min="9" max="9" width="19.28125" style="2" customWidth="1"/>
    <col min="10" max="10" width="34.00390625" style="2" customWidth="1"/>
    <col min="11" max="11" width="5.7109375" style="2" customWidth="1"/>
    <col min="12" max="12" width="3.57421875" style="2" customWidth="1"/>
    <col min="13" max="16384" width="9.140625" style="2" customWidth="1"/>
  </cols>
  <sheetData>
    <row r="1" spans="1:10" ht="25.5" customHeight="1">
      <c r="A1" s="1713" t="s">
        <v>129</v>
      </c>
      <c r="B1" s="1713"/>
      <c r="C1" s="1713"/>
      <c r="D1" s="1713"/>
      <c r="E1" s="1713"/>
      <c r="F1" s="1713"/>
      <c r="G1" s="1713"/>
      <c r="H1" s="120"/>
      <c r="I1" s="101"/>
      <c r="J1" s="101"/>
    </row>
    <row r="2" spans="1:10" s="16" customFormat="1" ht="27" customHeight="1">
      <c r="A2" s="72" t="s">
        <v>620</v>
      </c>
      <c r="B2" s="32"/>
      <c r="C2" s="32"/>
      <c r="D2" s="46"/>
      <c r="E2" s="32"/>
      <c r="F2" s="32"/>
      <c r="G2" s="101"/>
      <c r="H2" s="33"/>
      <c r="I2" s="19"/>
      <c r="J2" s="19"/>
    </row>
    <row r="3" spans="1:10" s="75" customFormat="1" ht="28.5" customHeight="1">
      <c r="A3" s="1672" t="s">
        <v>74</v>
      </c>
      <c r="B3" s="1672"/>
      <c r="C3" s="1672"/>
      <c r="D3" s="1762" t="str">
        <f>IF('PR_Programmatic Progress_1A'!C7="","",'PR_Programmatic Progress_1A'!C7)</f>
        <v>SLV-910-G08-T</v>
      </c>
      <c r="E3" s="1762"/>
      <c r="F3" s="1762"/>
      <c r="G3" s="1762"/>
      <c r="H3" s="25"/>
      <c r="I3" s="25"/>
      <c r="J3" s="25"/>
    </row>
    <row r="4" spans="1:10" s="75" customFormat="1" ht="15" customHeight="1">
      <c r="A4" s="90" t="s">
        <v>87</v>
      </c>
      <c r="B4" s="91"/>
      <c r="C4" s="91"/>
      <c r="D4" s="92" t="s">
        <v>621</v>
      </c>
      <c r="E4" s="122" t="str">
        <f>IF('PR_Programmatic Progress_1A'!D12="Select","",'PR_Programmatic Progress_1A'!D12)</f>
        <v>Semestral</v>
      </c>
      <c r="F4" s="93" t="s">
        <v>90</v>
      </c>
      <c r="G4" s="123">
        <f>IF('PR_Programmatic Progress_1A'!F12="Select","",'PR_Programmatic Progress_1A'!F12)</f>
        <v>10</v>
      </c>
      <c r="H4" s="25"/>
      <c r="I4" s="25"/>
      <c r="J4" s="25"/>
    </row>
    <row r="5" spans="1:10" s="75" customFormat="1" ht="15" customHeight="1">
      <c r="A5" s="94" t="s">
        <v>91</v>
      </c>
      <c r="B5" s="95"/>
      <c r="C5" s="95"/>
      <c r="D5" s="96" t="s">
        <v>92</v>
      </c>
      <c r="E5" s="124">
        <f>IF('PR_Programmatic Progress_1A'!D13="","",'PR_Programmatic Progress_1A'!D13)</f>
        <v>42005</v>
      </c>
      <c r="F5" s="93" t="s">
        <v>93</v>
      </c>
      <c r="G5" s="125">
        <f>IF('PR_Programmatic Progress_1A'!F13="","",'PR_Programmatic Progress_1A'!F13)</f>
        <v>42185</v>
      </c>
      <c r="H5" s="25"/>
      <c r="I5" s="25"/>
      <c r="J5" s="25"/>
    </row>
    <row r="6" spans="1:10" s="75" customFormat="1" ht="15" customHeight="1">
      <c r="A6" s="97" t="s">
        <v>183</v>
      </c>
      <c r="B6" s="98"/>
      <c r="C6" s="99"/>
      <c r="D6" s="1763">
        <f>IF('PR_Programmatic Progress_1A'!C14="Select","",'PR_Programmatic Progress_1A'!C14)</f>
        <v>10</v>
      </c>
      <c r="E6" s="1763"/>
      <c r="F6" s="1763"/>
      <c r="G6" s="1763"/>
      <c r="H6" s="25"/>
      <c r="I6" s="25"/>
      <c r="J6" s="25"/>
    </row>
    <row r="7" spans="1:10" s="16" customFormat="1" ht="15.75" customHeight="1">
      <c r="A7" s="32"/>
      <c r="B7" s="32"/>
      <c r="C7" s="32"/>
      <c r="D7" s="46"/>
      <c r="E7" s="32"/>
      <c r="F7" s="19"/>
      <c r="G7" s="33"/>
      <c r="H7" s="32"/>
      <c r="I7" s="19"/>
      <c r="J7" s="13"/>
    </row>
    <row r="8" spans="1:10" s="54" customFormat="1" ht="27" customHeight="1">
      <c r="A8" s="1768" t="s">
        <v>622</v>
      </c>
      <c r="B8" s="1768"/>
      <c r="C8" s="1768"/>
      <c r="D8" s="1768"/>
      <c r="E8" s="1768"/>
      <c r="F8" s="1768"/>
      <c r="G8" s="1768"/>
      <c r="H8" s="1768"/>
      <c r="I8" s="1768"/>
      <c r="J8" s="1768"/>
    </row>
    <row r="9" spans="1:11" s="16" customFormat="1" ht="34.5" customHeight="1">
      <c r="A9" s="271"/>
      <c r="B9" s="272"/>
      <c r="C9" s="273"/>
      <c r="D9" s="273"/>
      <c r="E9" s="274"/>
      <c r="F9" s="275"/>
      <c r="G9" s="1769" t="s">
        <v>689</v>
      </c>
      <c r="H9" s="1769"/>
      <c r="I9" s="1769"/>
      <c r="J9" s="1769"/>
      <c r="K9" s="50"/>
    </row>
    <row r="10" spans="1:12" s="16" customFormat="1" ht="210" customHeight="1">
      <c r="A10" s="1770" t="s">
        <v>623</v>
      </c>
      <c r="B10" s="1770"/>
      <c r="C10" s="1770"/>
      <c r="D10" s="1770"/>
      <c r="E10" s="1770"/>
      <c r="F10" s="276" t="s">
        <v>624</v>
      </c>
      <c r="G10" s="1771" t="s">
        <v>1252</v>
      </c>
      <c r="H10" s="1772"/>
      <c r="I10" s="1772"/>
      <c r="J10" s="1773"/>
      <c r="K10" s="50"/>
      <c r="L10" s="50"/>
    </row>
    <row r="11" spans="1:10" ht="190.5" customHeight="1">
      <c r="A11" s="1764" t="s">
        <v>625</v>
      </c>
      <c r="B11" s="1764"/>
      <c r="C11" s="1764"/>
      <c r="D11" s="1764"/>
      <c r="E11" s="1764"/>
      <c r="F11" s="277" t="s">
        <v>624</v>
      </c>
      <c r="G11" s="1765" t="s">
        <v>1254</v>
      </c>
      <c r="H11" s="1765"/>
      <c r="I11" s="1765"/>
      <c r="J11" s="1765"/>
    </row>
    <row r="12" spans="1:12" s="16" customFormat="1" ht="21.75" customHeight="1">
      <c r="A12" s="278"/>
      <c r="B12" s="279"/>
      <c r="C12" s="279"/>
      <c r="D12" s="279"/>
      <c r="E12" s="280"/>
      <c r="F12" s="281"/>
      <c r="G12" s="21"/>
      <c r="H12" s="282"/>
      <c r="I12" s="25"/>
      <c r="J12" s="85"/>
      <c r="K12" s="50"/>
      <c r="L12" s="50"/>
    </row>
    <row r="13" spans="1:10" ht="15.75" customHeight="1">
      <c r="A13" s="1766" t="s">
        <v>626</v>
      </c>
      <c r="B13" s="1766"/>
      <c r="C13" s="1766"/>
      <c r="D13" s="1766"/>
      <c r="E13" s="1766"/>
      <c r="F13" s="1766"/>
      <c r="G13" s="1766"/>
      <c r="H13" s="1766"/>
      <c r="I13" s="1766"/>
      <c r="J13" s="1766"/>
    </row>
    <row r="14" spans="1:10" ht="139.5" customHeight="1">
      <c r="A14" s="1767" t="s">
        <v>627</v>
      </c>
      <c r="B14" s="1767"/>
      <c r="C14" s="1767"/>
      <c r="D14" s="1767"/>
      <c r="E14" s="1767"/>
      <c r="F14" s="1767"/>
      <c r="G14" s="1767"/>
      <c r="H14" s="1767"/>
      <c r="I14" s="1767"/>
      <c r="J14" s="1767"/>
    </row>
    <row r="15" ht="17.25" customHeight="1"/>
    <row r="19" ht="18" customHeight="1"/>
  </sheetData>
  <sheetProtection password="92D1" sheet="1" formatCells="0" formatColumns="0" formatRows="0"/>
  <mergeCells count="12">
    <mergeCell ref="A13:J13"/>
    <mergeCell ref="A14:J14"/>
    <mergeCell ref="A8:J8"/>
    <mergeCell ref="G9:J9"/>
    <mergeCell ref="A10:E10"/>
    <mergeCell ref="G10:J10"/>
    <mergeCell ref="A1:G1"/>
    <mergeCell ref="A3:C3"/>
    <mergeCell ref="D3:G3"/>
    <mergeCell ref="D6:G6"/>
    <mergeCell ref="A11:E11"/>
    <mergeCell ref="G11:J11"/>
  </mergeCells>
  <conditionalFormatting sqref="E9">
    <cfRule type="cellIs" priority="1" dxfId="0" operator="lessThan" stopIfTrue="1">
      <formula>0</formula>
    </cfRule>
  </conditionalFormatting>
  <dataValidations count="3">
    <dataValidation type="list" allowBlank="1" showErrorMessage="1" sqref="C2:F2">
      <formula1>"Select,USD,EUR"</formula1>
      <formula2>0</formula2>
    </dataValidation>
    <dataValidation allowBlank="1" sqref="F9">
      <formula1>0</formula1>
      <formula2>0</formula2>
    </dataValidation>
    <dataValidation type="list" allowBlank="1" showErrorMessage="1" sqref="F10:F11">
      <formula1>"Seleccionar,Sí,No,N/A"</formula1>
      <formula2>0</formula2>
    </dataValidation>
  </dataValidations>
  <printOptions horizontalCentered="1"/>
  <pageMargins left="0.3541666666666667" right="0.3541666666666667" top="0.39375" bottom="0.5118055555555555" header="0.5118055555555555" footer="0.5118055555555555"/>
  <pageSetup cellComments="atEnd" fitToHeight="0" fitToWidth="1" horizontalDpi="300" verticalDpi="300" orientation="landscape" paperSize="9"/>
  <headerFooter alignWithMargins="0">
    <oddFooter>&amp;L&amp;9&amp;F&amp;C&amp;A&amp;R&amp;9Page &amp;P of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M33"/>
  <sheetViews>
    <sheetView zoomScale="80" zoomScaleNormal="80" zoomScaleSheetLayoutView="70" zoomScalePageLayoutView="0" workbookViewId="0" topLeftCell="A13">
      <selection activeCell="H16" sqref="H16"/>
    </sheetView>
  </sheetViews>
  <sheetFormatPr defaultColWidth="9.140625" defaultRowHeight="12.75"/>
  <cols>
    <col min="1" max="1" width="14.8515625" style="5" customWidth="1"/>
    <col min="2" max="2" width="19.8515625" style="5" customWidth="1"/>
    <col min="3" max="3" width="37.140625" style="5" customWidth="1"/>
    <col min="4" max="4" width="25.00390625" style="5" customWidth="1"/>
    <col min="5" max="5" width="14.8515625" style="5" customWidth="1"/>
    <col min="6" max="6" width="19.28125" style="5" customWidth="1"/>
    <col min="7" max="7" width="21.00390625" style="5" customWidth="1"/>
    <col min="8" max="8" width="30.28125" style="5" customWidth="1"/>
    <col min="9" max="9" width="20.7109375" style="5" customWidth="1"/>
    <col min="10" max="10" width="3.421875" style="5" customWidth="1"/>
    <col min="11" max="11" width="20.7109375" style="5" customWidth="1"/>
    <col min="12" max="12" width="4.8515625" style="5" customWidth="1"/>
    <col min="13" max="13" width="19.421875" style="5" customWidth="1"/>
    <col min="14" max="16384" width="9.140625" style="5" customWidth="1"/>
  </cols>
  <sheetData>
    <row r="1" spans="1:13" ht="25.5" customHeight="1">
      <c r="A1" s="1775" t="s">
        <v>628</v>
      </c>
      <c r="B1" s="1775"/>
      <c r="C1" s="1775"/>
      <c r="D1" s="1775"/>
      <c r="E1" s="1775"/>
      <c r="F1" s="1775"/>
      <c r="G1" s="1775"/>
      <c r="H1" s="1775"/>
      <c r="I1" s="283"/>
      <c r="J1" s="284"/>
      <c r="K1" s="285"/>
      <c r="L1" s="286"/>
      <c r="M1" s="287"/>
    </row>
    <row r="2" spans="1:13" s="50" customFormat="1" ht="27" customHeight="1">
      <c r="A2" s="72" t="s">
        <v>629</v>
      </c>
      <c r="B2" s="32"/>
      <c r="C2" s="32"/>
      <c r="D2" s="288"/>
      <c r="E2" s="289"/>
      <c r="F2" s="289"/>
      <c r="G2" s="32"/>
      <c r="H2" s="290"/>
      <c r="I2" s="291"/>
      <c r="J2" s="292"/>
      <c r="K2" s="292"/>
      <c r="L2" s="292"/>
      <c r="M2" s="293"/>
    </row>
    <row r="3" spans="1:13" s="295" customFormat="1" ht="28.5" customHeight="1">
      <c r="A3" s="1672" t="s">
        <v>74</v>
      </c>
      <c r="B3" s="1672"/>
      <c r="C3" s="1672"/>
      <c r="D3" s="1762" t="str">
        <f>IF('PR_Programmatic Progress_1A'!C7="","",'PR_Programmatic Progress_1A'!C7)</f>
        <v>SLV-910-G08-T</v>
      </c>
      <c r="E3" s="1762"/>
      <c r="F3" s="1762"/>
      <c r="G3" s="1762"/>
      <c r="H3" s="1776" t="s">
        <v>630</v>
      </c>
      <c r="I3" s="1776"/>
      <c r="J3" s="1776"/>
      <c r="K3" s="1776"/>
      <c r="L3" s="1776"/>
      <c r="M3" s="294"/>
    </row>
    <row r="4" spans="1:13" s="295" customFormat="1" ht="15" customHeight="1">
      <c r="A4" s="90" t="s">
        <v>631</v>
      </c>
      <c r="B4" s="91"/>
      <c r="C4" s="91"/>
      <c r="D4" s="92" t="s">
        <v>88</v>
      </c>
      <c r="E4" s="122" t="str">
        <f>IF('PR_Programmatic Progress_1A'!D12="Select","",'PR_Programmatic Progress_1A'!D12)</f>
        <v>Semestral</v>
      </c>
      <c r="F4" s="93" t="s">
        <v>90</v>
      </c>
      <c r="G4" s="123">
        <f>IF('PR_Programmatic Progress_1A'!F12="Select","",'PR_Programmatic Progress_1A'!F12)</f>
        <v>10</v>
      </c>
      <c r="H4" s="1776"/>
      <c r="I4" s="1776"/>
      <c r="J4" s="1776"/>
      <c r="K4" s="1776"/>
      <c r="L4" s="1776"/>
      <c r="M4" s="294"/>
    </row>
    <row r="5" spans="1:13" s="295" customFormat="1" ht="15" customHeight="1">
      <c r="A5" s="94" t="s">
        <v>632</v>
      </c>
      <c r="B5" s="95"/>
      <c r="C5" s="95"/>
      <c r="D5" s="96" t="s">
        <v>92</v>
      </c>
      <c r="E5" s="124">
        <f>IF('PR_Programmatic Progress_1A'!D13="","",'PR_Programmatic Progress_1A'!D13)</f>
        <v>42005</v>
      </c>
      <c r="F5" s="93" t="s">
        <v>93</v>
      </c>
      <c r="G5" s="125">
        <f>IF('PR_Programmatic Progress_1A'!F13="","",'PR_Programmatic Progress_1A'!F13)</f>
        <v>42185</v>
      </c>
      <c r="H5" s="1776"/>
      <c r="I5" s="1776"/>
      <c r="J5" s="1776"/>
      <c r="K5" s="1776"/>
      <c r="L5" s="1776"/>
      <c r="M5" s="294"/>
    </row>
    <row r="6" spans="1:13" s="295" customFormat="1" ht="15" customHeight="1">
      <c r="A6" s="97" t="s">
        <v>183</v>
      </c>
      <c r="B6" s="98"/>
      <c r="C6" s="99"/>
      <c r="D6" s="1763">
        <f>IF('PR_Programmatic Progress_1A'!C14="Select","",'PR_Programmatic Progress_1A'!C14)</f>
        <v>10</v>
      </c>
      <c r="E6" s="1763"/>
      <c r="F6" s="1763"/>
      <c r="G6" s="1763"/>
      <c r="H6" s="296"/>
      <c r="I6" s="297"/>
      <c r="J6" s="298"/>
      <c r="K6" s="298"/>
      <c r="L6" s="298"/>
      <c r="M6" s="297"/>
    </row>
    <row r="7" spans="1:7" s="75" customFormat="1" ht="15" customHeight="1">
      <c r="A7" s="1710" t="s">
        <v>82</v>
      </c>
      <c r="B7" s="1710"/>
      <c r="C7" s="126"/>
      <c r="D7" s="1711" t="str">
        <f>IF('PR_Programmatic Progress_1A'!C10="Select","",'PR_Programmatic Progress_1A'!C10)</f>
        <v>USD</v>
      </c>
      <c r="E7" s="1711"/>
      <c r="F7" s="1711"/>
      <c r="G7" s="1711"/>
    </row>
    <row r="8" spans="1:13" ht="27.75" customHeight="1">
      <c r="A8" s="299"/>
      <c r="B8" s="300"/>
      <c r="C8" s="300"/>
      <c r="D8" s="299"/>
      <c r="E8" s="300"/>
      <c r="F8" s="301"/>
      <c r="G8" s="302"/>
      <c r="H8" s="303"/>
      <c r="I8" s="304"/>
      <c r="J8" s="305"/>
      <c r="K8" s="303"/>
      <c r="L8" s="306"/>
      <c r="M8" s="307"/>
    </row>
    <row r="9" spans="1:13" ht="33.75" customHeight="1">
      <c r="A9" s="308" t="s">
        <v>633</v>
      </c>
      <c r="B9" s="309"/>
      <c r="C9" s="309"/>
      <c r="D9" s="310"/>
      <c r="E9" s="311"/>
      <c r="F9" s="312"/>
      <c r="G9" s="313"/>
      <c r="H9" s="314"/>
      <c r="I9" s="315"/>
      <c r="J9" s="313"/>
      <c r="K9" s="313"/>
      <c r="L9" s="313"/>
      <c r="M9" s="316"/>
    </row>
    <row r="10" spans="1:13" s="145" customFormat="1" ht="26.25" customHeight="1">
      <c r="A10" s="1777" t="s">
        <v>634</v>
      </c>
      <c r="B10" s="1777"/>
      <c r="C10" s="1777"/>
      <c r="D10" s="1777"/>
      <c r="E10" s="1777"/>
      <c r="F10" s="1777"/>
      <c r="G10" s="1777"/>
      <c r="H10" s="1777"/>
      <c r="I10" s="1777"/>
      <c r="J10" s="1777"/>
      <c r="K10" s="1777"/>
      <c r="L10" s="1777"/>
      <c r="M10" s="1777"/>
    </row>
    <row r="11" spans="1:13" s="145" customFormat="1" ht="26.25" customHeight="1">
      <c r="A11" s="1778"/>
      <c r="B11" s="1778"/>
      <c r="C11" s="1778"/>
      <c r="D11" s="1778"/>
      <c r="E11" s="1778"/>
      <c r="F11" s="1778"/>
      <c r="G11" s="1778"/>
      <c r="H11" s="1778"/>
      <c r="I11" s="1778"/>
      <c r="J11" s="1778"/>
      <c r="K11" s="1778"/>
      <c r="L11" s="1778"/>
      <c r="M11" s="1778"/>
    </row>
    <row r="12" spans="1:13" s="145" customFormat="1" ht="18" customHeight="1">
      <c r="A12" s="1779" t="s">
        <v>635</v>
      </c>
      <c r="B12" s="1779"/>
      <c r="C12" s="1779"/>
      <c r="D12" s="1779"/>
      <c r="E12" s="1779"/>
      <c r="F12" s="1779"/>
      <c r="G12" s="1779"/>
      <c r="H12" s="1779"/>
      <c r="I12" s="1779"/>
      <c r="J12" s="317"/>
      <c r="K12" s="317"/>
      <c r="L12" s="317"/>
      <c r="M12" s="318"/>
    </row>
    <row r="13" spans="1:13" s="145" customFormat="1" ht="24" customHeight="1">
      <c r="A13" s="319"/>
      <c r="B13" s="320"/>
      <c r="C13" s="320"/>
      <c r="D13" s="320"/>
      <c r="E13" s="320"/>
      <c r="F13" s="320"/>
      <c r="G13" s="320"/>
      <c r="H13" s="320"/>
      <c r="I13" s="320"/>
      <c r="J13" s="320"/>
      <c r="K13" s="321"/>
      <c r="L13" s="321"/>
      <c r="M13" s="322">
        <v>342078.56</v>
      </c>
    </row>
    <row r="14" spans="1:13" s="145" customFormat="1" ht="26.25" customHeight="1">
      <c r="A14" s="144"/>
      <c r="B14" s="323"/>
      <c r="C14" s="324"/>
      <c r="D14" s="323"/>
      <c r="E14" s="325"/>
      <c r="F14" s="326"/>
      <c r="G14" s="325"/>
      <c r="H14" s="325"/>
      <c r="I14" s="325"/>
      <c r="J14" s="327"/>
      <c r="K14" s="328"/>
      <c r="L14" s="329"/>
      <c r="M14" s="330"/>
    </row>
    <row r="15" spans="1:13" s="145" customFormat="1" ht="26.25" customHeight="1">
      <c r="A15" s="331" t="s">
        <v>636</v>
      </c>
      <c r="B15" s="298" t="s">
        <v>637</v>
      </c>
      <c r="C15" s="298"/>
      <c r="D15" s="298"/>
      <c r="E15" s="332"/>
      <c r="F15" s="333"/>
      <c r="G15" s="332"/>
      <c r="H15" s="332"/>
      <c r="I15" s="332"/>
      <c r="J15" s="327"/>
      <c r="K15" s="334">
        <v>0</v>
      </c>
      <c r="L15" s="329"/>
      <c r="M15" s="335"/>
    </row>
    <row r="16" spans="1:13" s="145" customFormat="1" ht="26.25" customHeight="1">
      <c r="A16" s="336"/>
      <c r="B16" s="298" t="s">
        <v>638</v>
      </c>
      <c r="C16" s="298"/>
      <c r="D16" s="298"/>
      <c r="E16" s="337"/>
      <c r="F16" s="338"/>
      <c r="G16" s="339"/>
      <c r="H16" s="332"/>
      <c r="I16" s="332"/>
      <c r="J16" s="332"/>
      <c r="K16" s="340"/>
      <c r="L16" s="329"/>
      <c r="M16" s="341"/>
    </row>
    <row r="17" spans="1:13" s="145" customFormat="1" ht="26.25" customHeight="1">
      <c r="A17" s="342"/>
      <c r="B17" s="298" t="s">
        <v>639</v>
      </c>
      <c r="C17" s="298"/>
      <c r="D17" s="298"/>
      <c r="E17" s="343"/>
      <c r="F17" s="344"/>
      <c r="G17" s="343"/>
      <c r="H17" s="332"/>
      <c r="I17" s="332"/>
      <c r="J17" s="327"/>
      <c r="K17" s="340">
        <v>953.26</v>
      </c>
      <c r="L17" s="329"/>
      <c r="M17" s="345"/>
    </row>
    <row r="18" spans="1:13" s="145" customFormat="1" ht="26.25" customHeight="1">
      <c r="A18" s="342"/>
      <c r="B18" s="298" t="s">
        <v>640</v>
      </c>
      <c r="C18" s="298"/>
      <c r="D18" s="298"/>
      <c r="E18" s="343"/>
      <c r="F18" s="343"/>
      <c r="G18" s="343"/>
      <c r="H18" s="332"/>
      <c r="I18" s="332"/>
      <c r="J18" s="327"/>
      <c r="K18" s="346"/>
      <c r="L18" s="329"/>
      <c r="M18" s="347"/>
    </row>
    <row r="19" spans="1:13" s="145" customFormat="1" ht="26.25" customHeight="1">
      <c r="A19" s="342"/>
      <c r="B19" s="295" t="s">
        <v>641</v>
      </c>
      <c r="C19" s="298"/>
      <c r="D19" s="298"/>
      <c r="E19" s="343"/>
      <c r="F19" s="343"/>
      <c r="G19" s="343"/>
      <c r="H19" s="332"/>
      <c r="I19" s="332"/>
      <c r="J19" s="327"/>
      <c r="K19" s="346">
        <v>0</v>
      </c>
      <c r="L19" s="329"/>
      <c r="M19" s="348">
        <f>+K15+K16+K17+K18+K19</f>
        <v>953.26</v>
      </c>
    </row>
    <row r="20" spans="1:13" s="145" customFormat="1" ht="26.25" customHeight="1">
      <c r="A20" s="349"/>
      <c r="B20" s="350"/>
      <c r="C20" s="349"/>
      <c r="D20" s="350"/>
      <c r="E20" s="351"/>
      <c r="F20" s="351"/>
      <c r="G20" s="352"/>
      <c r="H20" s="353"/>
      <c r="I20" s="354"/>
      <c r="J20" s="327"/>
      <c r="K20" s="355"/>
      <c r="L20" s="329"/>
      <c r="M20" s="356"/>
    </row>
    <row r="21" spans="1:13" s="145" customFormat="1" ht="26.25" customHeight="1">
      <c r="A21" s="357"/>
      <c r="B21" s="358"/>
      <c r="C21" s="359"/>
      <c r="D21" s="359"/>
      <c r="E21" s="360"/>
      <c r="F21" s="359"/>
      <c r="G21" s="361"/>
      <c r="H21" s="359"/>
      <c r="I21" s="362"/>
      <c r="J21" s="363"/>
      <c r="K21" s="364"/>
      <c r="L21" s="365"/>
      <c r="M21" s="366"/>
    </row>
    <row r="22" spans="1:13" s="145" customFormat="1" ht="26.25" customHeight="1">
      <c r="A22" s="342" t="s">
        <v>642</v>
      </c>
      <c r="B22" s="1780" t="s">
        <v>643</v>
      </c>
      <c r="C22" s="1780"/>
      <c r="D22" s="1780"/>
      <c r="E22" s="1780"/>
      <c r="F22" s="1780"/>
      <c r="G22" s="1780"/>
      <c r="H22" s="1780"/>
      <c r="I22" s="1780"/>
      <c r="J22" s="327"/>
      <c r="K22" s="367">
        <f>IF('PR_Total PR Cash Outflow_3A'!D12="","",'PR_Total PR Cash Outflow_3A'!D12)</f>
        <v>58430.34</v>
      </c>
      <c r="L22" s="329"/>
      <c r="M22" s="368"/>
    </row>
    <row r="23" spans="1:13" s="145" customFormat="1" ht="26.25" customHeight="1">
      <c r="A23" s="369"/>
      <c r="B23" s="295" t="s">
        <v>644</v>
      </c>
      <c r="C23" s="295"/>
      <c r="D23" s="295"/>
      <c r="E23" s="338"/>
      <c r="F23" s="338"/>
      <c r="G23" s="370"/>
      <c r="H23" s="371"/>
      <c r="I23" s="372"/>
      <c r="J23" s="332"/>
      <c r="K23" s="373">
        <v>0</v>
      </c>
      <c r="L23" s="374"/>
      <c r="M23" s="375"/>
    </row>
    <row r="24" spans="1:13" s="145" customFormat="1" ht="26.25" customHeight="1">
      <c r="A24" s="376"/>
      <c r="B24" s="295" t="s">
        <v>645</v>
      </c>
      <c r="C24" s="295"/>
      <c r="D24" s="295"/>
      <c r="E24" s="338"/>
      <c r="F24" s="338"/>
      <c r="G24" s="338"/>
      <c r="H24" s="377"/>
      <c r="I24" s="378"/>
      <c r="J24" s="332"/>
      <c r="K24" s="379">
        <v>0.05</v>
      </c>
      <c r="L24" s="374"/>
      <c r="M24" s="348">
        <f>+K22+K23+K24</f>
        <v>58430.39</v>
      </c>
    </row>
    <row r="25" spans="1:13" s="145" customFormat="1" ht="26.25" customHeight="1">
      <c r="A25" s="380"/>
      <c r="B25" s="381"/>
      <c r="C25" s="382"/>
      <c r="D25" s="381"/>
      <c r="E25" s="382"/>
      <c r="F25" s="383"/>
      <c r="G25" s="381"/>
      <c r="H25" s="384"/>
      <c r="I25" s="385"/>
      <c r="J25" s="363"/>
      <c r="K25" s="386"/>
      <c r="L25" s="365"/>
      <c r="M25" s="387"/>
    </row>
    <row r="26" spans="1:13" s="145" customFormat="1" ht="26.25" customHeight="1">
      <c r="A26" s="388" t="s">
        <v>646</v>
      </c>
      <c r="B26" s="360"/>
      <c r="C26" s="360"/>
      <c r="D26" s="360"/>
      <c r="E26" s="358"/>
      <c r="F26" s="358"/>
      <c r="G26" s="358"/>
      <c r="H26" s="358"/>
      <c r="I26" s="359"/>
      <c r="J26" s="363"/>
      <c r="K26" s="365"/>
      <c r="L26" s="365"/>
      <c r="M26" s="389">
        <f>M13+M19-M24</f>
        <v>284601.43</v>
      </c>
    </row>
    <row r="27" spans="1:13" s="145" customFormat="1" ht="19.5" customHeight="1">
      <c r="A27" s="381"/>
      <c r="B27" s="390"/>
      <c r="C27" s="390"/>
      <c r="D27" s="391"/>
      <c r="E27" s="392"/>
      <c r="F27" s="392"/>
      <c r="G27" s="392"/>
      <c r="H27" s="392"/>
      <c r="I27" s="390"/>
      <c r="J27" s="381"/>
      <c r="K27" s="390"/>
      <c r="L27" s="392"/>
      <c r="M27" s="393"/>
    </row>
    <row r="28" spans="1:13" ht="15.75">
      <c r="A28" s="394" t="s">
        <v>647</v>
      </c>
      <c r="B28" s="306"/>
      <c r="C28" s="306"/>
      <c r="D28" s="306"/>
      <c r="E28" s="306"/>
      <c r="F28" s="306"/>
      <c r="G28" s="306"/>
      <c r="H28" s="306"/>
      <c r="I28" s="395"/>
      <c r="J28" s="306"/>
      <c r="K28" s="396"/>
      <c r="L28" s="396"/>
      <c r="M28" s="397"/>
    </row>
    <row r="29" spans="1:13" ht="21.75" customHeight="1">
      <c r="A29" s="398" t="s">
        <v>648</v>
      </c>
      <c r="B29" s="399"/>
      <c r="C29" s="399"/>
      <c r="D29" s="399"/>
      <c r="E29" s="399"/>
      <c r="F29" s="399"/>
      <c r="G29" s="399"/>
      <c r="H29" s="399"/>
      <c r="I29" s="400"/>
      <c r="J29" s="399"/>
      <c r="K29" s="401"/>
      <c r="L29" s="401"/>
      <c r="M29" s="402"/>
    </row>
    <row r="30" spans="1:13" ht="12.75" customHeight="1">
      <c r="A30" s="1774"/>
      <c r="B30" s="1774"/>
      <c r="C30" s="1774"/>
      <c r="D30" s="1774"/>
      <c r="E30" s="1774"/>
      <c r="F30" s="1774"/>
      <c r="G30" s="1774"/>
      <c r="H30" s="1774"/>
      <c r="I30" s="1774"/>
      <c r="J30" s="1774"/>
      <c r="K30" s="1774"/>
      <c r="L30" s="1774"/>
      <c r="M30" s="1774"/>
    </row>
    <row r="31" spans="1:13" ht="12.75">
      <c r="A31" s="1774"/>
      <c r="B31" s="1774"/>
      <c r="C31" s="1774"/>
      <c r="D31" s="1774"/>
      <c r="E31" s="1774"/>
      <c r="F31" s="1774"/>
      <c r="G31" s="1774"/>
      <c r="H31" s="1774"/>
      <c r="I31" s="1774"/>
      <c r="J31" s="1774"/>
      <c r="K31" s="1774"/>
      <c r="L31" s="1774"/>
      <c r="M31" s="1774"/>
    </row>
    <row r="32" spans="1:13" ht="45.75" customHeight="1">
      <c r="A32" s="1774"/>
      <c r="B32" s="1774"/>
      <c r="C32" s="1774"/>
      <c r="D32" s="1774"/>
      <c r="E32" s="1774"/>
      <c r="F32" s="1774"/>
      <c r="G32" s="1774"/>
      <c r="H32" s="1774"/>
      <c r="I32" s="1774"/>
      <c r="J32" s="1774"/>
      <c r="K32" s="1774"/>
      <c r="L32" s="1774"/>
      <c r="M32" s="1774"/>
    </row>
    <row r="33" spans="1:13" ht="14.25">
      <c r="A33" s="403"/>
      <c r="B33" s="403"/>
      <c r="C33" s="403"/>
      <c r="D33" s="403"/>
      <c r="E33" s="403"/>
      <c r="F33" s="403"/>
      <c r="G33" s="403"/>
      <c r="H33" s="403"/>
      <c r="I33" s="404"/>
      <c r="J33" s="403"/>
      <c r="K33" s="403"/>
      <c r="L33" s="403"/>
      <c r="M33" s="405"/>
    </row>
  </sheetData>
  <sheetProtection password="92D1" sheet="1" formatCells="0" formatColumns="0" formatRows="0"/>
  <mergeCells count="12">
    <mergeCell ref="A12:I12"/>
    <mergeCell ref="B22:I22"/>
    <mergeCell ref="A30:M32"/>
    <mergeCell ref="A1:H1"/>
    <mergeCell ref="A3:C3"/>
    <mergeCell ref="D3:G3"/>
    <mergeCell ref="H3:L5"/>
    <mergeCell ref="D6:G6"/>
    <mergeCell ref="A7:B7"/>
    <mergeCell ref="D7:G7"/>
    <mergeCell ref="A10:M10"/>
    <mergeCell ref="A11:M11"/>
  </mergeCells>
  <dataValidations count="1">
    <dataValidation type="list" allowBlank="1" showErrorMessage="1" sqref="C2:G2">
      <formula1>"Select,USD,EUR"</formula1>
      <formula2>0</formula2>
    </dataValidation>
  </dataValidations>
  <printOptions horizontalCentered="1" verticalCentered="1"/>
  <pageMargins left="0.5511811023622047" right="0.5511811023622047" top="0.5905511811023623" bottom="0.5905511811023623" header="0.5118110236220472" footer="0.5118110236220472"/>
  <pageSetup cellComments="atEnd" fitToHeight="1" fitToWidth="1" horizontalDpi="300" verticalDpi="300" orientation="landscape" paperSize="119" scale="82" r:id="rId1"/>
  <headerFooter alignWithMargins="0">
    <oddFooter>&amp;L&amp;9&amp;F&amp;C&amp;A&amp;R&amp;9Page &amp;P of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T46"/>
  <sheetViews>
    <sheetView showGridLines="0" zoomScale="70" zoomScaleNormal="70" zoomScaleSheetLayoutView="70" zoomScalePageLayoutView="0" workbookViewId="0" topLeftCell="C10">
      <selection activeCell="U28" sqref="U28"/>
    </sheetView>
  </sheetViews>
  <sheetFormatPr defaultColWidth="9.140625" defaultRowHeight="12.75"/>
  <cols>
    <col min="1" max="1" width="14.8515625" style="2" customWidth="1"/>
    <col min="2" max="2" width="48.57421875" style="2" customWidth="1"/>
    <col min="3" max="3" width="8.57421875" style="2" customWidth="1"/>
    <col min="4" max="4" width="2.421875" style="2" customWidth="1"/>
    <col min="5" max="5" width="25.57421875" style="2" customWidth="1"/>
    <col min="6" max="6" width="30.28125" style="2" customWidth="1"/>
    <col min="7" max="7" width="20.7109375" style="2" customWidth="1"/>
    <col min="8" max="8" width="27.8515625" style="2" customWidth="1"/>
    <col min="9" max="9" width="18.00390625" style="2" customWidth="1"/>
    <col min="10" max="10" width="33.28125" style="2" customWidth="1"/>
    <col min="11" max="11" width="18.00390625" style="2" customWidth="1"/>
    <col min="12" max="12" width="22.57421875" style="2" customWidth="1"/>
    <col min="13" max="13" width="3.421875" style="2" customWidth="1"/>
    <col min="14" max="14" width="25.421875" style="2" customWidth="1"/>
    <col min="15" max="17" width="0" style="2" hidden="1" customWidth="1"/>
    <col min="18" max="18" width="7.00390625" style="2" customWidth="1"/>
    <col min="19" max="19" width="20.7109375" style="2" customWidth="1"/>
    <col min="20" max="20" width="9.8515625" style="2" customWidth="1"/>
    <col min="21" max="16384" width="9.140625" style="5" customWidth="1"/>
  </cols>
  <sheetData>
    <row r="1" spans="1:20" ht="25.5" customHeight="1">
      <c r="A1" s="1775" t="s">
        <v>62</v>
      </c>
      <c r="B1" s="1775"/>
      <c r="C1" s="1775"/>
      <c r="D1" s="1775"/>
      <c r="E1" s="1775"/>
      <c r="F1" s="1775"/>
      <c r="G1" s="1775"/>
      <c r="H1" s="1775"/>
      <c r="I1" s="1775"/>
      <c r="J1" s="1775"/>
      <c r="K1" s="283"/>
      <c r="L1" s="284"/>
      <c r="M1" s="284"/>
      <c r="N1" s="285"/>
      <c r="O1" s="285"/>
      <c r="P1" s="285"/>
      <c r="Q1" s="285"/>
      <c r="R1" s="286"/>
      <c r="S1" s="286"/>
      <c r="T1" s="307"/>
    </row>
    <row r="2" spans="1:20" s="50" customFormat="1" ht="27" customHeight="1">
      <c r="A2" s="72" t="s">
        <v>649</v>
      </c>
      <c r="B2" s="32"/>
      <c r="C2" s="32"/>
      <c r="D2" s="32"/>
      <c r="E2" s="32"/>
      <c r="F2" s="288"/>
      <c r="G2" s="289"/>
      <c r="H2" s="289"/>
      <c r="I2" s="32"/>
      <c r="J2" s="290"/>
      <c r="K2" s="291"/>
      <c r="L2" s="292"/>
      <c r="M2" s="292"/>
      <c r="N2" s="292"/>
      <c r="O2" s="292"/>
      <c r="P2" s="292"/>
      <c r="Q2" s="292"/>
      <c r="R2" s="292"/>
      <c r="S2" s="292"/>
      <c r="T2" s="406"/>
    </row>
    <row r="3" spans="1:20" s="295" customFormat="1" ht="28.5" customHeight="1">
      <c r="A3" s="1672" t="s">
        <v>74</v>
      </c>
      <c r="B3" s="1672"/>
      <c r="C3" s="1672"/>
      <c r="D3" s="1672"/>
      <c r="E3" s="1672"/>
      <c r="F3" s="1762" t="str">
        <f>IF('PR_Programmatic Progress_1A'!C7="","",'PR_Programmatic Progress_1A'!C7)</f>
        <v>SLV-910-G08-T</v>
      </c>
      <c r="G3" s="1762"/>
      <c r="H3" s="1762"/>
      <c r="I3" s="1762"/>
      <c r="J3" s="407"/>
      <c r="K3" s="294"/>
      <c r="L3" s="408"/>
      <c r="M3" s="408"/>
      <c r="N3" s="408"/>
      <c r="O3" s="408"/>
      <c r="P3" s="408"/>
      <c r="Q3" s="408"/>
      <c r="R3" s="408"/>
      <c r="S3" s="408"/>
      <c r="T3" s="297"/>
    </row>
    <row r="4" spans="1:20" s="295" customFormat="1" ht="15" customHeight="1">
      <c r="A4" s="90" t="s">
        <v>87</v>
      </c>
      <c r="B4" s="91"/>
      <c r="C4" s="91"/>
      <c r="D4" s="91"/>
      <c r="E4" s="91"/>
      <c r="F4" s="92" t="s">
        <v>88</v>
      </c>
      <c r="G4" s="122" t="str">
        <f>IF('PR_Programmatic Progress_1A'!D12="Select","",'PR_Programmatic Progress_1A'!D12)</f>
        <v>Semestral</v>
      </c>
      <c r="H4" s="93" t="s">
        <v>90</v>
      </c>
      <c r="I4" s="123">
        <f>IF('PR_Programmatic Progress_1A'!F12="Select","",'PR_Programmatic Progress_1A'!F12)</f>
        <v>10</v>
      </c>
      <c r="J4" s="409"/>
      <c r="K4" s="294"/>
      <c r="L4" s="408"/>
      <c r="M4" s="408"/>
      <c r="N4" s="408"/>
      <c r="O4" s="408"/>
      <c r="P4" s="408"/>
      <c r="Q4" s="408"/>
      <c r="R4" s="408"/>
      <c r="S4" s="408"/>
      <c r="T4" s="297"/>
    </row>
    <row r="5" spans="1:20" s="295" customFormat="1" ht="15" customHeight="1">
      <c r="A5" s="94" t="s">
        <v>91</v>
      </c>
      <c r="B5" s="95"/>
      <c r="C5" s="95"/>
      <c r="D5" s="95"/>
      <c r="E5" s="95"/>
      <c r="F5" s="96" t="s">
        <v>92</v>
      </c>
      <c r="G5" s="124">
        <f>IF('PR_Programmatic Progress_1A'!D13="","",'PR_Programmatic Progress_1A'!D13)</f>
        <v>42005</v>
      </c>
      <c r="H5" s="93" t="s">
        <v>650</v>
      </c>
      <c r="I5" s="125">
        <f>IF('PR_Programmatic Progress_1A'!F13="","",'PR_Programmatic Progress_1A'!F13)</f>
        <v>42185</v>
      </c>
      <c r="J5" s="409"/>
      <c r="K5" s="294"/>
      <c r="L5" s="408"/>
      <c r="M5" s="408"/>
      <c r="N5" s="408"/>
      <c r="O5" s="408"/>
      <c r="P5" s="408"/>
      <c r="Q5" s="408"/>
      <c r="R5" s="408"/>
      <c r="S5" s="408"/>
      <c r="T5" s="297"/>
    </row>
    <row r="6" spans="1:20" s="295" customFormat="1" ht="15" customHeight="1">
      <c r="A6" s="97" t="s">
        <v>183</v>
      </c>
      <c r="B6" s="98"/>
      <c r="C6" s="98"/>
      <c r="D6" s="98"/>
      <c r="E6" s="99"/>
      <c r="F6" s="1763">
        <f>IF('PR_Programmatic Progress_1A'!C14="Select","",'PR_Programmatic Progress_1A'!C14)</f>
        <v>10</v>
      </c>
      <c r="G6" s="1763"/>
      <c r="H6" s="1763"/>
      <c r="I6" s="1763"/>
      <c r="J6" s="409"/>
      <c r="K6" s="294"/>
      <c r="L6" s="408"/>
      <c r="M6" s="408"/>
      <c r="N6" s="408"/>
      <c r="O6" s="408"/>
      <c r="P6" s="408"/>
      <c r="Q6" s="408"/>
      <c r="R6" s="408"/>
      <c r="S6" s="408"/>
      <c r="T6" s="297"/>
    </row>
    <row r="7" spans="1:12" s="75" customFormat="1" ht="15" customHeight="1">
      <c r="A7" s="1710" t="s">
        <v>82</v>
      </c>
      <c r="B7" s="1710"/>
      <c r="C7" s="126"/>
      <c r="D7" s="1781" t="str">
        <f>IF('PR_Programmatic Progress_1A'!C10="Select","",'PR_Programmatic Progress_1A'!C10)</f>
        <v>USD</v>
      </c>
      <c r="E7" s="1781"/>
      <c r="F7" s="1781"/>
      <c r="G7" s="1781"/>
      <c r="H7" s="1781"/>
      <c r="I7" s="1781"/>
      <c r="J7" s="25"/>
      <c r="K7" s="25"/>
      <c r="L7" s="25"/>
    </row>
    <row r="8" spans="1:20" ht="8.25" customHeight="1">
      <c r="A8" s="299"/>
      <c r="B8" s="300"/>
      <c r="C8" s="300"/>
      <c r="D8" s="410"/>
      <c r="E8" s="410"/>
      <c r="F8" s="411"/>
      <c r="G8" s="410"/>
      <c r="H8" s="301"/>
      <c r="I8" s="412"/>
      <c r="J8" s="413"/>
      <c r="K8" s="414"/>
      <c r="L8" s="415"/>
      <c r="M8" s="415"/>
      <c r="N8" s="413"/>
      <c r="O8" s="413"/>
      <c r="P8" s="413"/>
      <c r="Q8" s="413"/>
      <c r="R8" s="286"/>
      <c r="S8" s="408"/>
      <c r="T8" s="307"/>
    </row>
    <row r="9" spans="1:20" ht="33.75" customHeight="1">
      <c r="A9" s="416" t="s">
        <v>651</v>
      </c>
      <c r="B9" s="309"/>
      <c r="C9" s="309"/>
      <c r="D9" s="309"/>
      <c r="E9" s="309"/>
      <c r="F9" s="310"/>
      <c r="G9" s="417"/>
      <c r="H9" s="418"/>
      <c r="I9" s="313"/>
      <c r="J9" s="314"/>
      <c r="K9" s="315"/>
      <c r="L9" s="313"/>
      <c r="M9" s="286"/>
      <c r="N9" s="286"/>
      <c r="O9" s="286"/>
      <c r="P9" s="286"/>
      <c r="Q9" s="286"/>
      <c r="R9" s="286"/>
      <c r="S9" s="286"/>
      <c r="T9" s="307"/>
    </row>
    <row r="10" spans="1:20" s="145" customFormat="1" ht="6.75" customHeight="1">
      <c r="A10" s="381"/>
      <c r="B10" s="390"/>
      <c r="C10" s="390"/>
      <c r="D10" s="390"/>
      <c r="E10" s="390"/>
      <c r="F10" s="391"/>
      <c r="G10" s="392"/>
      <c r="H10" s="392"/>
      <c r="I10" s="392"/>
      <c r="J10" s="392"/>
      <c r="K10" s="390"/>
      <c r="L10" s="390"/>
      <c r="M10" s="419"/>
      <c r="N10" s="419"/>
      <c r="O10" s="419"/>
      <c r="P10" s="419"/>
      <c r="Q10" s="419"/>
      <c r="R10" s="419"/>
      <c r="S10" s="419"/>
      <c r="T10" s="420"/>
    </row>
    <row r="11" spans="1:20" s="145" customFormat="1" ht="19.5" customHeight="1">
      <c r="A11" s="1777" t="s">
        <v>652</v>
      </c>
      <c r="B11" s="1777"/>
      <c r="C11" s="1777"/>
      <c r="D11" s="1777"/>
      <c r="E11" s="1777"/>
      <c r="F11" s="1777"/>
      <c r="G11" s="1777"/>
      <c r="H11" s="1777"/>
      <c r="I11" s="1777"/>
      <c r="J11" s="1777"/>
      <c r="K11" s="1777"/>
      <c r="L11" s="1777"/>
      <c r="M11" s="1777"/>
      <c r="N11" s="1777"/>
      <c r="O11" s="1777"/>
      <c r="P11" s="1777"/>
      <c r="Q11" s="1777"/>
      <c r="R11" s="1777"/>
      <c r="S11" s="1777"/>
      <c r="T11" s="421"/>
    </row>
    <row r="12" spans="1:20" s="145" customFormat="1" ht="4.5" customHeight="1">
      <c r="A12" s="1788"/>
      <c r="B12" s="1788"/>
      <c r="C12" s="1788"/>
      <c r="D12" s="1788"/>
      <c r="E12" s="1788"/>
      <c r="F12" s="1788"/>
      <c r="G12" s="1788"/>
      <c r="H12" s="1788"/>
      <c r="I12" s="1788"/>
      <c r="J12" s="1788"/>
      <c r="K12" s="1788"/>
      <c r="L12" s="1788"/>
      <c r="M12" s="1788"/>
      <c r="N12" s="1788"/>
      <c r="O12" s="1788"/>
      <c r="P12" s="1788"/>
      <c r="Q12" s="1788"/>
      <c r="R12" s="1788"/>
      <c r="S12" s="1788"/>
      <c r="T12" s="420"/>
    </row>
    <row r="13" spans="1:20" s="145" customFormat="1" ht="4.5" customHeight="1">
      <c r="A13" s="422"/>
      <c r="B13" s="423"/>
      <c r="C13" s="423"/>
      <c r="D13" s="423"/>
      <c r="E13" s="422"/>
      <c r="F13" s="423"/>
      <c r="G13" s="422"/>
      <c r="H13" s="422"/>
      <c r="I13" s="423"/>
      <c r="J13" s="422"/>
      <c r="K13" s="422"/>
      <c r="L13" s="422"/>
      <c r="M13" s="422"/>
      <c r="N13" s="422"/>
      <c r="O13" s="423"/>
      <c r="P13" s="423"/>
      <c r="Q13" s="423"/>
      <c r="R13" s="423"/>
      <c r="S13" s="422"/>
      <c r="T13" s="420"/>
    </row>
    <row r="14" spans="1:20" s="145" customFormat="1" ht="15" customHeight="1">
      <c r="A14" s="424" t="s">
        <v>653</v>
      </c>
      <c r="B14" s="423"/>
      <c r="C14" s="423"/>
      <c r="D14" s="423"/>
      <c r="E14" s="425"/>
      <c r="F14" s="423"/>
      <c r="G14" s="320"/>
      <c r="H14" s="426"/>
      <c r="I14" s="423"/>
      <c r="J14" s="320"/>
      <c r="K14" s="320"/>
      <c r="L14" s="427"/>
      <c r="M14" s="320"/>
      <c r="N14" s="317"/>
      <c r="O14" s="423"/>
      <c r="P14" s="423"/>
      <c r="Q14" s="423"/>
      <c r="R14" s="423"/>
      <c r="S14" s="320"/>
      <c r="T14" s="420"/>
    </row>
    <row r="15" spans="1:20" s="145" customFormat="1" ht="17.25" customHeight="1">
      <c r="A15" s="428"/>
      <c r="B15" s="429"/>
      <c r="C15" s="430"/>
      <c r="D15" s="430"/>
      <c r="E15" s="430"/>
      <c r="F15" s="431"/>
      <c r="G15" s="432"/>
      <c r="H15" s="430"/>
      <c r="I15" s="432"/>
      <c r="J15" s="429"/>
      <c r="K15" s="432"/>
      <c r="L15" s="432"/>
      <c r="M15" s="430"/>
      <c r="N15" s="432"/>
      <c r="O15" s="431"/>
      <c r="P15" s="431"/>
      <c r="Q15" s="431"/>
      <c r="R15" s="431"/>
      <c r="S15" s="433"/>
      <c r="T15" s="420"/>
    </row>
    <row r="16" spans="1:20" s="449" customFormat="1" ht="19.5" customHeight="1">
      <c r="A16" s="434" t="s">
        <v>654</v>
      </c>
      <c r="B16" s="435"/>
      <c r="C16" s="436"/>
      <c r="D16" s="436"/>
      <c r="E16" s="437">
        <f>IF('PR_Programmatic Progress_1A'!D17="","",'PR_Programmatic Progress_1A'!D17)</f>
      </c>
      <c r="F16" s="438"/>
      <c r="G16" s="439" t="s">
        <v>655</v>
      </c>
      <c r="H16" s="437">
        <f>IF('PR_Programmatic Progress_1A'!F17="","",'PR_Programmatic Progress_1A'!F17)</f>
      </c>
      <c r="I16" s="434"/>
      <c r="J16" s="440" t="s">
        <v>656</v>
      </c>
      <c r="K16" s="441">
        <v>126274.59</v>
      </c>
      <c r="L16" s="442" t="s">
        <v>657</v>
      </c>
      <c r="M16" s="443"/>
      <c r="N16" s="444">
        <f>126274.59+14278.32+104692.03+18949.4</f>
        <v>264194.34</v>
      </c>
      <c r="O16" s="445"/>
      <c r="P16" s="445"/>
      <c r="Q16" s="445"/>
      <c r="R16" s="446"/>
      <c r="S16" s="447"/>
      <c r="T16" s="448"/>
    </row>
    <row r="17" spans="1:20" s="449" customFormat="1" ht="24.75" customHeight="1">
      <c r="A17" s="434" t="s">
        <v>658</v>
      </c>
      <c r="B17" s="435"/>
      <c r="C17" s="436"/>
      <c r="D17" s="436"/>
      <c r="E17" s="450"/>
      <c r="F17" s="438"/>
      <c r="G17" s="451"/>
      <c r="H17" s="452"/>
      <c r="I17" s="434"/>
      <c r="J17" s="453"/>
      <c r="K17" s="454"/>
      <c r="L17" s="442"/>
      <c r="M17" s="455"/>
      <c r="N17" s="456"/>
      <c r="O17" s="457"/>
      <c r="P17" s="457"/>
      <c r="Q17" s="457"/>
      <c r="R17" s="446"/>
      <c r="S17" s="458"/>
      <c r="T17" s="459"/>
    </row>
    <row r="18" spans="1:20" s="449" customFormat="1" ht="22.5" customHeight="1">
      <c r="A18" s="460" t="s">
        <v>659</v>
      </c>
      <c r="B18" s="435"/>
      <c r="C18" s="436"/>
      <c r="D18" s="436"/>
      <c r="E18" s="437">
        <f>IF(H16="","",H16+1)</f>
      </c>
      <c r="F18" s="438"/>
      <c r="G18" s="439" t="s">
        <v>655</v>
      </c>
      <c r="H18" s="437">
        <f>IF(E18="","",DATE(YEAR(E18),MONTH(E18)+3,DAY(E18)-1))</f>
      </c>
      <c r="I18" s="434"/>
      <c r="J18" s="440" t="s">
        <v>656</v>
      </c>
      <c r="K18" s="334">
        <v>0</v>
      </c>
      <c r="L18" s="442" t="s">
        <v>657</v>
      </c>
      <c r="M18" s="461"/>
      <c r="N18" s="334">
        <v>0</v>
      </c>
      <c r="O18" s="462"/>
      <c r="P18" s="462"/>
      <c r="Q18" s="462"/>
      <c r="R18" s="463"/>
      <c r="S18" s="458"/>
      <c r="T18" s="464"/>
    </row>
    <row r="19" spans="1:19" s="449" customFormat="1" ht="16.5" customHeight="1">
      <c r="A19" s="465"/>
      <c r="B19" s="466"/>
      <c r="C19" s="466"/>
      <c r="D19" s="466"/>
      <c r="E19" s="467"/>
      <c r="F19" s="466"/>
      <c r="G19" s="468"/>
      <c r="H19" s="469"/>
      <c r="I19" s="466"/>
      <c r="J19" s="466"/>
      <c r="K19" s="470"/>
      <c r="L19" s="471"/>
      <c r="M19" s="472"/>
      <c r="N19" s="470"/>
      <c r="O19" s="473"/>
      <c r="P19" s="473"/>
      <c r="Q19" s="473"/>
      <c r="R19" s="474"/>
      <c r="S19" s="475" t="s">
        <v>660</v>
      </c>
    </row>
    <row r="20" spans="1:19" s="449" customFormat="1" ht="25.5" customHeight="1">
      <c r="A20" s="434" t="s">
        <v>661</v>
      </c>
      <c r="B20" s="466"/>
      <c r="D20" s="466"/>
      <c r="E20" s="467"/>
      <c r="F20" s="466"/>
      <c r="G20" s="466"/>
      <c r="H20" s="469"/>
      <c r="I20" s="466"/>
      <c r="J20" s="466"/>
      <c r="K20" s="473"/>
      <c r="L20" s="476"/>
      <c r="M20" s="477"/>
      <c r="N20" s="473"/>
      <c r="O20" s="473"/>
      <c r="P20" s="473"/>
      <c r="Q20" s="473"/>
      <c r="R20" s="474"/>
      <c r="S20" s="348">
        <f>N16+N18+N22</f>
        <v>264194.34</v>
      </c>
    </row>
    <row r="21" spans="1:19" s="449" customFormat="1" ht="25.5" customHeight="1">
      <c r="A21" s="460" t="s">
        <v>662</v>
      </c>
      <c r="B21" s="466"/>
      <c r="C21" s="478" t="s">
        <v>63</v>
      </c>
      <c r="D21" s="466"/>
      <c r="E21" s="467"/>
      <c r="F21" s="466"/>
      <c r="G21" s="466"/>
      <c r="H21" s="469"/>
      <c r="I21" s="466"/>
      <c r="J21" s="466"/>
      <c r="K21" s="479"/>
      <c r="L21" s="480"/>
      <c r="M21" s="481"/>
      <c r="N21" s="482"/>
      <c r="O21" s="482"/>
      <c r="P21" s="482"/>
      <c r="Q21" s="482"/>
      <c r="R21" s="483"/>
      <c r="S21" s="484"/>
    </row>
    <row r="22" spans="1:19" s="449" customFormat="1" ht="20.25" customHeight="1">
      <c r="A22" s="465" t="s">
        <v>663</v>
      </c>
      <c r="B22" s="466"/>
      <c r="D22" s="466"/>
      <c r="E22" s="437">
        <f>IF(H18="","",H18+1)</f>
      </c>
      <c r="F22" s="466"/>
      <c r="G22" s="434" t="s">
        <v>655</v>
      </c>
      <c r="H22" s="485">
        <f>IF(C21="","",IF(C21="1M",DATE(YEAR(E22),MONTH(E22)+1,DAY(E22)-1),IF(C21="2M",DATE(YEAR(E22),MONTH(E22)+2,DAY(E22)-1),IF(C21="3M",DATE(YEAR(E22),MONTH(E22)+3,DAY(E22)-1),""))))</f>
      </c>
      <c r="I22" s="466"/>
      <c r="J22" s="466" t="s">
        <v>656</v>
      </c>
      <c r="K22" s="486"/>
      <c r="L22" s="480" t="s">
        <v>657</v>
      </c>
      <c r="M22" s="481"/>
      <c r="N22" s="487"/>
      <c r="O22" s="482"/>
      <c r="P22" s="482"/>
      <c r="Q22" s="482"/>
      <c r="R22" s="483"/>
      <c r="S22" s="484"/>
    </row>
    <row r="23" spans="1:19" s="449" customFormat="1" ht="14.25" customHeight="1">
      <c r="A23" s="465"/>
      <c r="B23" s="466"/>
      <c r="D23" s="466"/>
      <c r="E23" s="467"/>
      <c r="F23" s="466"/>
      <c r="G23" s="466"/>
      <c r="H23" s="469"/>
      <c r="I23" s="466"/>
      <c r="J23" s="466"/>
      <c r="K23" s="479"/>
      <c r="L23" s="480"/>
      <c r="M23" s="481"/>
      <c r="N23" s="479"/>
      <c r="O23" s="479"/>
      <c r="P23" s="479"/>
      <c r="Q23" s="479"/>
      <c r="R23" s="488"/>
      <c r="S23" s="489"/>
    </row>
    <row r="24" spans="1:20" s="449" customFormat="1" ht="40.5" customHeight="1">
      <c r="A24" s="1789" t="s">
        <v>664</v>
      </c>
      <c r="B24" s="1789"/>
      <c r="C24" s="1789"/>
      <c r="D24" s="1789"/>
      <c r="E24" s="1789"/>
      <c r="F24" s="1789"/>
      <c r="G24" s="1789"/>
      <c r="H24" s="1789"/>
      <c r="I24" s="1789"/>
      <c r="J24" s="1789"/>
      <c r="K24" s="1789"/>
      <c r="L24" s="1789"/>
      <c r="M24" s="1789"/>
      <c r="N24" s="1789"/>
      <c r="O24" s="1789"/>
      <c r="P24" s="1789"/>
      <c r="Q24" s="1789"/>
      <c r="R24" s="1789"/>
      <c r="S24" s="1789"/>
      <c r="T24" s="1789"/>
    </row>
    <row r="25" spans="1:20" s="449" customFormat="1" ht="33" customHeight="1">
      <c r="A25" s="1790" t="s">
        <v>665</v>
      </c>
      <c r="B25" s="1790"/>
      <c r="C25" s="1790"/>
      <c r="D25" s="1790"/>
      <c r="E25" s="1790"/>
      <c r="F25" s="1790"/>
      <c r="G25" s="1790"/>
      <c r="H25" s="1790"/>
      <c r="I25" s="1790"/>
      <c r="J25" s="1790"/>
      <c r="K25" s="1790"/>
      <c r="L25" s="1790"/>
      <c r="M25" s="1790"/>
      <c r="N25" s="1790"/>
      <c r="O25" s="1790"/>
      <c r="P25" s="1790"/>
      <c r="Q25" s="1790"/>
      <c r="R25" s="1790"/>
      <c r="S25" s="1790"/>
      <c r="T25" s="1790"/>
    </row>
    <row r="26" spans="1:19" s="449" customFormat="1" ht="13.5" customHeight="1">
      <c r="A26" s="436"/>
      <c r="B26" s="436"/>
      <c r="C26" s="436"/>
      <c r="D26" s="436"/>
      <c r="E26" s="436"/>
      <c r="F26" s="436"/>
      <c r="G26" s="490"/>
      <c r="H26" s="490"/>
      <c r="I26" s="490"/>
      <c r="J26" s="436"/>
      <c r="K26" s="436"/>
      <c r="L26" s="436"/>
      <c r="M26" s="436"/>
      <c r="N26" s="491"/>
      <c r="O26" s="491"/>
      <c r="P26" s="491"/>
      <c r="Q26" s="491"/>
      <c r="R26" s="436"/>
      <c r="S26" s="491"/>
    </row>
    <row r="27" spans="1:20" ht="142.5" customHeight="1">
      <c r="A27" s="1786" t="s">
        <v>666</v>
      </c>
      <c r="B27" s="1786"/>
      <c r="C27" s="1786"/>
      <c r="D27" s="1786"/>
      <c r="E27" s="1786"/>
      <c r="F27" s="1786"/>
      <c r="G27" s="1786"/>
      <c r="H27" s="1786"/>
      <c r="I27" s="1787" t="s">
        <v>1249</v>
      </c>
      <c r="J27" s="1787"/>
      <c r="K27" s="1787"/>
      <c r="L27" s="1787"/>
      <c r="M27" s="1787"/>
      <c r="N27" s="1787"/>
      <c r="O27" s="1787"/>
      <c r="P27" s="1787"/>
      <c r="Q27" s="1787"/>
      <c r="R27" s="1787"/>
      <c r="S27" s="1787"/>
      <c r="T27" s="5"/>
    </row>
    <row r="28" spans="1:20" ht="180.75" customHeight="1">
      <c r="A28" s="1786"/>
      <c r="B28" s="1786"/>
      <c r="C28" s="1786"/>
      <c r="D28" s="1786"/>
      <c r="E28" s="1786"/>
      <c r="F28" s="1786"/>
      <c r="G28" s="1786"/>
      <c r="H28" s="1786"/>
      <c r="I28" s="1787"/>
      <c r="J28" s="1787"/>
      <c r="K28" s="1787"/>
      <c r="L28" s="1787"/>
      <c r="M28" s="1787"/>
      <c r="N28" s="1787"/>
      <c r="O28" s="1787"/>
      <c r="P28" s="1787"/>
      <c r="Q28" s="1787"/>
      <c r="R28" s="1787"/>
      <c r="S28" s="1787"/>
      <c r="T28" s="5"/>
    </row>
    <row r="29" spans="1:20" s="449" customFormat="1" ht="6.75" customHeight="1">
      <c r="A29" s="492"/>
      <c r="B29" s="493"/>
      <c r="C29" s="493"/>
      <c r="D29" s="493"/>
      <c r="E29" s="494"/>
      <c r="F29" s="494"/>
      <c r="G29" s="495"/>
      <c r="H29" s="495"/>
      <c r="I29" s="496"/>
      <c r="J29" s="497"/>
      <c r="K29" s="436"/>
      <c r="L29" s="497"/>
      <c r="M29" s="498"/>
      <c r="N29" s="499"/>
      <c r="O29" s="499"/>
      <c r="P29" s="499"/>
      <c r="Q29" s="499"/>
      <c r="R29" s="498"/>
      <c r="S29" s="500"/>
      <c r="T29" s="448"/>
    </row>
    <row r="30" spans="1:20" s="449" customFormat="1" ht="27" customHeight="1">
      <c r="A30" s="501"/>
      <c r="B30" s="502"/>
      <c r="C30" s="502"/>
      <c r="D30" s="502"/>
      <c r="E30" s="503"/>
      <c r="F30" s="503"/>
      <c r="G30" s="504"/>
      <c r="H30" s="504"/>
      <c r="I30" s="505"/>
      <c r="J30" s="506"/>
      <c r="K30" s="502"/>
      <c r="L30" s="506"/>
      <c r="M30" s="502"/>
      <c r="N30" s="507"/>
      <c r="O30" s="507"/>
      <c r="P30" s="507"/>
      <c r="Q30" s="507"/>
      <c r="R30" s="506"/>
      <c r="S30" s="508"/>
      <c r="T30" s="448"/>
    </row>
    <row r="31" spans="1:20" s="449" customFormat="1" ht="26.25" customHeight="1">
      <c r="A31" s="1784" t="s">
        <v>642</v>
      </c>
      <c r="B31" s="498" t="s">
        <v>667</v>
      </c>
      <c r="C31" s="498"/>
      <c r="D31" s="498"/>
      <c r="E31" s="498"/>
      <c r="F31" s="498"/>
      <c r="G31" s="498"/>
      <c r="H31" s="498"/>
      <c r="I31" s="498"/>
      <c r="J31" s="498"/>
      <c r="K31" s="498"/>
      <c r="L31" s="498"/>
      <c r="M31" s="509"/>
      <c r="N31" s="367">
        <f>+'PR_Cash Reconciliation_5A'!M26</f>
        <v>284601.43</v>
      </c>
      <c r="O31" s="510"/>
      <c r="P31" s="510"/>
      <c r="Q31" s="510"/>
      <c r="R31" s="511"/>
      <c r="S31" s="512"/>
      <c r="T31" s="448"/>
    </row>
    <row r="32" spans="1:20" s="449" customFormat="1" ht="26.25" customHeight="1">
      <c r="A32" s="1784"/>
      <c r="B32" s="513"/>
      <c r="C32" s="513"/>
      <c r="D32" s="513"/>
      <c r="E32" s="434"/>
      <c r="F32" s="434"/>
      <c r="G32" s="434"/>
      <c r="H32" s="434"/>
      <c r="I32" s="434"/>
      <c r="J32" s="434"/>
      <c r="K32" s="434"/>
      <c r="L32" s="434"/>
      <c r="M32" s="436"/>
      <c r="N32" s="514"/>
      <c r="O32" s="474"/>
      <c r="P32" s="474"/>
      <c r="Q32" s="474"/>
      <c r="R32" s="515"/>
      <c r="S32" s="447"/>
      <c r="T32" s="448"/>
    </row>
    <row r="33" spans="1:20" s="449" customFormat="1" ht="26.25" customHeight="1">
      <c r="A33" s="1784"/>
      <c r="B33" s="434" t="s">
        <v>668</v>
      </c>
      <c r="C33" s="516"/>
      <c r="D33" s="516"/>
      <c r="E33" s="517"/>
      <c r="F33" s="434"/>
      <c r="G33" s="434"/>
      <c r="H33" s="434"/>
      <c r="I33" s="518"/>
      <c r="J33" s="518"/>
      <c r="K33" s="518"/>
      <c r="L33" s="434"/>
      <c r="M33" s="519"/>
      <c r="N33" s="520"/>
      <c r="O33" s="473"/>
      <c r="P33" s="473"/>
      <c r="Q33" s="473"/>
      <c r="R33" s="515"/>
      <c r="S33" s="447"/>
      <c r="T33" s="448"/>
    </row>
    <row r="34" spans="1:20" s="449" customFormat="1" ht="26.25" customHeight="1">
      <c r="A34" s="521"/>
      <c r="B34" s="522" t="s">
        <v>669</v>
      </c>
      <c r="C34" s="466"/>
      <c r="D34" s="466"/>
      <c r="E34" s="466"/>
      <c r="F34" s="523"/>
      <c r="G34" s="522"/>
      <c r="H34" s="1785"/>
      <c r="I34" s="1785"/>
      <c r="J34" s="1785"/>
      <c r="K34" s="1785"/>
      <c r="L34" s="1785"/>
      <c r="M34" s="1785"/>
      <c r="N34" s="520"/>
      <c r="O34" s="473"/>
      <c r="P34" s="473"/>
      <c r="Q34" s="473"/>
      <c r="R34" s="524"/>
      <c r="S34" s="348">
        <f>+N31+N33+N34</f>
        <v>284601.43</v>
      </c>
      <c r="T34" s="525"/>
    </row>
    <row r="35" spans="1:19" s="449" customFormat="1" ht="21" customHeight="1">
      <c r="A35" s="526"/>
      <c r="B35" s="527"/>
      <c r="C35" s="502"/>
      <c r="D35" s="502"/>
      <c r="E35" s="502"/>
      <c r="F35" s="528"/>
      <c r="G35" s="528"/>
      <c r="H35" s="527"/>
      <c r="I35" s="502"/>
      <c r="J35" s="527"/>
      <c r="K35" s="502"/>
      <c r="L35" s="529"/>
      <c r="M35" s="527"/>
      <c r="N35" s="530"/>
      <c r="O35" s="531"/>
      <c r="P35" s="531"/>
      <c r="Q35" s="531"/>
      <c r="R35" s="531"/>
      <c r="S35" s="532"/>
    </row>
    <row r="36" spans="1:20" s="449" customFormat="1" ht="26.25" customHeight="1">
      <c r="A36" s="436" t="s">
        <v>670</v>
      </c>
      <c r="B36" s="436"/>
      <c r="C36" s="436"/>
      <c r="D36" s="436"/>
      <c r="E36" s="436"/>
      <c r="F36" s="436"/>
      <c r="G36" s="436"/>
      <c r="H36" s="436"/>
      <c r="I36" s="436"/>
      <c r="J36" s="436"/>
      <c r="K36" s="436"/>
      <c r="L36" s="498"/>
      <c r="M36" s="498"/>
      <c r="N36" s="511"/>
      <c r="O36" s="533"/>
      <c r="P36" s="533"/>
      <c r="Q36" s="533"/>
      <c r="R36" s="533"/>
      <c r="S36" s="389">
        <f>IF(S20=0,0,IF(S20-S34&lt;0,0,S20-S34))</f>
        <v>0</v>
      </c>
      <c r="T36" s="534"/>
    </row>
    <row r="37" spans="1:20" s="449" customFormat="1" ht="9.75" customHeight="1">
      <c r="A37" s="535"/>
      <c r="B37" s="535"/>
      <c r="C37" s="535"/>
      <c r="D37" s="535"/>
      <c r="E37" s="535"/>
      <c r="F37" s="535"/>
      <c r="G37" s="535"/>
      <c r="H37" s="535"/>
      <c r="I37" s="536"/>
      <c r="J37" s="535"/>
      <c r="K37" s="535"/>
      <c r="L37" s="535"/>
      <c r="M37" s="535"/>
      <c r="N37" s="535"/>
      <c r="O37" s="453"/>
      <c r="P37" s="453"/>
      <c r="Q37" s="453"/>
      <c r="R37" s="453"/>
      <c r="S37" s="537"/>
      <c r="T37" s="448"/>
    </row>
    <row r="38" spans="1:20" s="449" customFormat="1" ht="26.25" customHeight="1">
      <c r="A38" s="408" t="s">
        <v>671</v>
      </c>
      <c r="B38" s="535"/>
      <c r="C38" s="535"/>
      <c r="D38" s="535"/>
      <c r="E38" s="535"/>
      <c r="F38" s="535"/>
      <c r="G38" s="535"/>
      <c r="H38" s="538"/>
      <c r="I38" s="539" t="s">
        <v>672</v>
      </c>
      <c r="J38" s="540"/>
      <c r="K38" s="535"/>
      <c r="L38" s="535"/>
      <c r="M38" s="535"/>
      <c r="N38" s="535"/>
      <c r="O38" s="453"/>
      <c r="P38" s="453"/>
      <c r="Q38" s="453"/>
      <c r="R38" s="453"/>
      <c r="S38" s="453"/>
      <c r="T38" s="448"/>
    </row>
    <row r="39" spans="1:20" s="449" customFormat="1" ht="11.25" customHeight="1">
      <c r="A39" s="408"/>
      <c r="B39" s="535"/>
      <c r="C39" s="535"/>
      <c r="D39" s="535"/>
      <c r="E39" s="535"/>
      <c r="F39" s="535"/>
      <c r="G39" s="535"/>
      <c r="H39" s="535"/>
      <c r="I39" s="541"/>
      <c r="J39" s="513"/>
      <c r="K39" s="535"/>
      <c r="L39" s="535"/>
      <c r="M39" s="535"/>
      <c r="N39" s="513"/>
      <c r="O39" s="542"/>
      <c r="P39" s="542"/>
      <c r="Q39" s="542"/>
      <c r="R39" s="453"/>
      <c r="S39" s="453"/>
      <c r="T39" s="448"/>
    </row>
    <row r="40" spans="1:20" s="449" customFormat="1" ht="26.25" customHeight="1">
      <c r="A40" s="543" t="s">
        <v>673</v>
      </c>
      <c r="B40" s="535"/>
      <c r="C40" s="535"/>
      <c r="D40" s="535"/>
      <c r="E40" s="535"/>
      <c r="F40" s="535"/>
      <c r="G40" s="544"/>
      <c r="H40" s="545"/>
      <c r="I40" s="546" t="s">
        <v>674</v>
      </c>
      <c r="J40" s="517"/>
      <c r="K40" s="517"/>
      <c r="L40" s="518"/>
      <c r="M40" s="547"/>
      <c r="N40" s="548"/>
      <c r="O40" s="548"/>
      <c r="P40" s="548"/>
      <c r="Q40" s="548"/>
      <c r="R40" s="548"/>
      <c r="S40" s="547"/>
      <c r="T40" s="448"/>
    </row>
    <row r="41" spans="1:20" s="449" customFormat="1" ht="36" customHeight="1">
      <c r="A41" s="513"/>
      <c r="B41" s="518" t="s">
        <v>675</v>
      </c>
      <c r="C41" s="518"/>
      <c r="D41" s="518"/>
      <c r="E41" s="518"/>
      <c r="F41" s="549"/>
      <c r="G41" s="550" t="s">
        <v>676</v>
      </c>
      <c r="H41" s="551"/>
      <c r="I41" s="1783" t="s">
        <v>677</v>
      </c>
      <c r="J41" s="1783"/>
      <c r="K41" s="1783"/>
      <c r="L41" s="1783"/>
      <c r="M41" s="542"/>
      <c r="N41" s="513"/>
      <c r="O41" s="542"/>
      <c r="P41" s="542"/>
      <c r="Q41" s="542"/>
      <c r="R41" s="542"/>
      <c r="S41" s="542"/>
      <c r="T41" s="448"/>
    </row>
    <row r="42" spans="1:20" s="449" customFormat="1" ht="9.75" customHeight="1">
      <c r="A42" s="513"/>
      <c r="B42" s="518"/>
      <c r="C42" s="434"/>
      <c r="D42" s="434"/>
      <c r="E42" s="434"/>
      <c r="F42" s="438"/>
      <c r="G42" s="552"/>
      <c r="H42" s="537"/>
      <c r="I42" s="553"/>
      <c r="J42" s="553"/>
      <c r="K42" s="553"/>
      <c r="L42" s="553"/>
      <c r="M42" s="513"/>
      <c r="N42" s="513"/>
      <c r="O42" s="542"/>
      <c r="P42" s="542"/>
      <c r="Q42" s="542"/>
      <c r="R42" s="542"/>
      <c r="S42" s="542"/>
      <c r="T42" s="448"/>
    </row>
    <row r="43" spans="1:20" s="449" customFormat="1" ht="36" customHeight="1">
      <c r="A43" s="554"/>
      <c r="B43" s="518" t="s">
        <v>678</v>
      </c>
      <c r="C43" s="518"/>
      <c r="D43" s="518"/>
      <c r="E43" s="518"/>
      <c r="F43" s="549"/>
      <c r="G43" s="550" t="s">
        <v>676</v>
      </c>
      <c r="H43" s="551"/>
      <c r="I43" s="1783" t="s">
        <v>677</v>
      </c>
      <c r="J43" s="1783"/>
      <c r="K43" s="1783"/>
      <c r="L43" s="1783"/>
      <c r="M43" s="542"/>
      <c r="N43" s="513"/>
      <c r="O43" s="542"/>
      <c r="P43" s="542"/>
      <c r="Q43" s="542"/>
      <c r="R43" s="542"/>
      <c r="S43" s="542"/>
      <c r="T43" s="448"/>
    </row>
    <row r="44" spans="1:20" s="449" customFormat="1" ht="9.75" customHeight="1">
      <c r="A44" s="554"/>
      <c r="B44" s="434"/>
      <c r="C44" s="434"/>
      <c r="D44" s="434"/>
      <c r="E44" s="434"/>
      <c r="F44" s="434"/>
      <c r="G44" s="436"/>
      <c r="H44" s="438"/>
      <c r="I44" s="553"/>
      <c r="J44" s="553"/>
      <c r="K44" s="553"/>
      <c r="L44" s="553"/>
      <c r="M44" s="513"/>
      <c r="N44" s="513"/>
      <c r="O44" s="542"/>
      <c r="P44" s="542"/>
      <c r="Q44" s="542"/>
      <c r="R44" s="542"/>
      <c r="S44" s="542"/>
      <c r="T44" s="448"/>
    </row>
    <row r="45" spans="1:20" s="449" customFormat="1" ht="35.25" customHeight="1">
      <c r="A45" s="554"/>
      <c r="B45" s="1782" t="s">
        <v>679</v>
      </c>
      <c r="C45" s="1782"/>
      <c r="D45" s="1782"/>
      <c r="E45" s="1782"/>
      <c r="F45" s="555"/>
      <c r="G45" s="550" t="s">
        <v>676</v>
      </c>
      <c r="H45" s="556"/>
      <c r="I45" s="1783" t="s">
        <v>677</v>
      </c>
      <c r="J45" s="1783"/>
      <c r="K45" s="1783"/>
      <c r="L45" s="1783"/>
      <c r="M45" s="557"/>
      <c r="N45" s="558"/>
      <c r="O45" s="557"/>
      <c r="P45" s="557"/>
      <c r="Q45" s="557"/>
      <c r="R45" s="557"/>
      <c r="S45" s="557"/>
      <c r="T45" s="525"/>
    </row>
    <row r="46" spans="1:19" s="449" customFormat="1" ht="6" customHeight="1">
      <c r="A46" s="559"/>
      <c r="B46" s="436"/>
      <c r="C46" s="436"/>
      <c r="D46" s="436"/>
      <c r="E46" s="436"/>
      <c r="F46" s="560"/>
      <c r="G46" s="560"/>
      <c r="H46" s="560"/>
      <c r="I46" s="561"/>
      <c r="J46" s="561"/>
      <c r="K46" s="561"/>
      <c r="L46" s="561"/>
      <c r="M46" s="561"/>
      <c r="N46" s="561"/>
      <c r="O46" s="561"/>
      <c r="P46" s="561"/>
      <c r="Q46" s="561"/>
      <c r="R46" s="561"/>
      <c r="S46" s="561"/>
    </row>
  </sheetData>
  <sheetProtection password="92D1" sheet="1" formatCells="0" formatColumns="0" formatRows="0"/>
  <mergeCells count="18">
    <mergeCell ref="A27:H28"/>
    <mergeCell ref="I27:S28"/>
    <mergeCell ref="A11:S11"/>
    <mergeCell ref="A12:S12"/>
    <mergeCell ref="A24:T24"/>
    <mergeCell ref="A25:T25"/>
    <mergeCell ref="B45:E45"/>
    <mergeCell ref="I45:L45"/>
    <mergeCell ref="A31:A33"/>
    <mergeCell ref="H34:M34"/>
    <mergeCell ref="I41:L41"/>
    <mergeCell ref="I43:L43"/>
    <mergeCell ref="A7:B7"/>
    <mergeCell ref="D7:I7"/>
    <mergeCell ref="A1:J1"/>
    <mergeCell ref="A3:E3"/>
    <mergeCell ref="F3:I3"/>
    <mergeCell ref="F6:I6"/>
  </mergeCells>
  <conditionalFormatting sqref="E16">
    <cfRule type="cellIs" priority="1" dxfId="10" operator="equal" stopIfTrue="1">
      <formula>$S$5</formula>
    </cfRule>
  </conditionalFormatting>
  <conditionalFormatting sqref="H16">
    <cfRule type="cellIs" priority="2" dxfId="10" operator="equal" stopIfTrue="1">
      <formula>$S$5</formula>
    </cfRule>
  </conditionalFormatting>
  <conditionalFormatting sqref="E18">
    <cfRule type="cellIs" priority="3" dxfId="10" operator="equal" stopIfTrue="1">
      <formula>$S$5</formula>
    </cfRule>
  </conditionalFormatting>
  <conditionalFormatting sqref="H18">
    <cfRule type="cellIs" priority="4" dxfId="10" operator="equal" stopIfTrue="1">
      <formula>$S$5</formula>
    </cfRule>
  </conditionalFormatting>
  <conditionalFormatting sqref="E22">
    <cfRule type="cellIs" priority="5" dxfId="10" operator="equal" stopIfTrue="1">
      <formula>$S$5</formula>
    </cfRule>
  </conditionalFormatting>
  <conditionalFormatting sqref="H22">
    <cfRule type="cellIs" priority="6" dxfId="10" operator="equal" stopIfTrue="1">
      <formula>$S$5</formula>
    </cfRule>
  </conditionalFormatting>
  <dataValidations count="4">
    <dataValidation type="list" allowBlank="1" showErrorMessage="1" sqref="I39">
      <formula1>"Select,Yes,No"</formula1>
      <formula2>0</formula2>
    </dataValidation>
    <dataValidation type="list" allowBlank="1" showErrorMessage="1" sqref="E2:I2">
      <formula1>"Select,USD,EUR"</formula1>
      <formula2>0</formula2>
    </dataValidation>
    <dataValidation type="list" allowBlank="1" showErrorMessage="1" sqref="C21">
      <formula1>"Seleccionar,1M,2M,3M"</formula1>
      <formula2>0</formula2>
    </dataValidation>
    <dataValidation type="list" allowBlank="1" showErrorMessage="1" sqref="I38">
      <formula1>"Seleccionar,Sí,No"</formula1>
      <formula2>0</formula2>
    </dataValidation>
  </dataValidations>
  <printOptions horizontalCentered="1" verticalCentered="1"/>
  <pageMargins left="0.35433070866141736" right="0.35433070866141736" top="0.1968503937007874" bottom="0.5118110236220472" header="0.5118110236220472" footer="0.31496062992125984"/>
  <pageSetup cellComments="atEnd" fitToHeight="2" fitToWidth="1" horizontalDpi="300" verticalDpi="300" orientation="landscape" paperSize="119" scale="62" r:id="rId1"/>
  <headerFooter alignWithMargins="0">
    <oddFooter>&amp;L&amp;9&amp;F&amp;C&amp;A&amp;R&amp;9Page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Houtan Afkhami</dc:creator>
  <cp:keywords/>
  <dc:description/>
  <cp:lastModifiedBy>gflores</cp:lastModifiedBy>
  <cp:lastPrinted>2015-08-27T16:58:17Z</cp:lastPrinted>
  <dcterms:created xsi:type="dcterms:W3CDTF">2005-11-03T14:33:15Z</dcterms:created>
  <dcterms:modified xsi:type="dcterms:W3CDTF">2015-09-03T14:32:49Z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0x0101005FBB0C72A9D87144A7B972E58A0B54D1</vt:lpwstr>
  </property>
</Properties>
</file>