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4440" tabRatio="820" firstSheet="1" activeTab="3"/>
  </bookViews>
  <sheets>
    <sheet name="Menú" sheetId="1" r:id="rId1"/>
    <sheet name="Lista de indicadores" sheetId="2" r:id="rId2"/>
    <sheet name="Información de la subvención" sheetId="3" r:id="rId3"/>
    <sheet name="Introducción de datos" sheetId="4" r:id="rId4"/>
    <sheet name="Financiamiento" sheetId="5" r:id="rId5"/>
    <sheet name="Gestión" sheetId="6" r:id="rId6"/>
    <sheet name="Programatico" sheetId="7" r:id="rId7"/>
    <sheet name="Recomendaciones" sheetId="8" r:id="rId8"/>
    <sheet name="Acciones" sheetId="9" r:id="rId9"/>
    <sheet name="Setup" sheetId="10" state="hidden" r:id="rId10"/>
    <sheet name="Hoja2" sheetId="11" r:id="rId11"/>
  </sheets>
  <externalReferences>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'Gestión'!$A$1:$L$36</definedName>
    <definedName name="_xlnm.Print_Area" localSheetId="2">'Información de la subvención'!$A$1:$K$15</definedName>
    <definedName name="_xlnm.Print_Area" localSheetId="3">'Introducción de datos'!$A$1:$Q$175</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datos'!$B$25:$J$68</definedName>
    <definedName name="PrintDataM">'Introducción de datos'!$B$70:$H$123</definedName>
    <definedName name="PrintF">'Financiamiento'!$A$2:$K$32</definedName>
    <definedName name="PrintGD">'Información de la subvención'!$A$2:$J$13</definedName>
    <definedName name="PrintM" localSheetId="8">'Acciones'!$A$2:$L$6</definedName>
    <definedName name="PrintM">'Gestión'!$A$2:$L$38</definedName>
    <definedName name="PrintP">'Programatico'!$A$2:$P$26</definedName>
    <definedName name="PrintR">'Recomendaciones'!$A$2:$N$41</definedName>
    <definedName name="Rating">'Setup'!$G$9:$G$14</definedName>
    <definedName name="Round">'Setup'!$D$9:$D$21</definedName>
  </definedNames>
  <calcPr fullCalcOnLoad="1"/>
</workbook>
</file>

<file path=xl/comments4.xml><?xml version="1.0" encoding="utf-8"?>
<comments xmlns="http://schemas.openxmlformats.org/spreadsheetml/2006/main">
  <authors>
    <author/>
    <author>Francisco Jos? Lemus</author>
  </authors>
  <commentList>
    <comment ref="B75" authorId="0">
      <text>
        <r>
          <rPr>
            <b/>
            <sz val="8"/>
            <color indexed="32"/>
            <rFont val="Tahoma"/>
            <family val="2"/>
          </rPr>
          <t xml:space="preserve">Si los datos no están disponibles, no introduzca ceros; deje las celdas de la tabla en blanco. </t>
        </r>
      </text>
    </comment>
    <comment ref="B76" authorId="0">
      <text>
        <r>
          <rPr>
            <b/>
            <sz val="8"/>
            <color indexed="32"/>
            <rFont val="Tahoma"/>
            <family val="2"/>
          </rPr>
          <t>Si los datos no están disponibles, no introduzca ceros; deje las celdas de esta tabla en blanco.</t>
        </r>
      </text>
    </comment>
    <comment ref="E100" authorId="1">
      <text>
        <r>
          <rPr>
            <b/>
            <sz val="9"/>
            <rFont val="Tahoma"/>
            <family val="2"/>
          </rPr>
          <t>Francisco José Lemus:</t>
        </r>
        <r>
          <rPr>
            <sz val="9"/>
            <rFont val="Tahoma"/>
            <family val="2"/>
          </rPr>
          <t xml:space="preserve">
compromiso que se pagara en este período + compromisos de PNUD
</t>
        </r>
      </text>
    </comment>
    <comment ref="E104" authorId="1">
      <text>
        <r>
          <rPr>
            <b/>
            <sz val="9"/>
            <rFont val="Tahoma"/>
            <family val="2"/>
          </rPr>
          <t>Francisco José Lemus:</t>
        </r>
        <r>
          <rPr>
            <sz val="9"/>
            <rFont val="Tahoma"/>
            <family val="2"/>
          </rPr>
          <t xml:space="preserve">
</t>
        </r>
      </text>
    </comment>
    <comment ref="E101" authorId="1">
      <text>
        <r>
          <rPr>
            <b/>
            <sz val="9"/>
            <rFont val="Tahoma"/>
            <family val="2"/>
          </rPr>
          <t>Francisco José Lemus:</t>
        </r>
        <r>
          <rPr>
            <sz val="9"/>
            <rFont val="Tahoma"/>
            <family val="2"/>
          </rPr>
          <t xml:space="preserve">
gastos de RP y gastos de PNUD</t>
        </r>
      </text>
    </comment>
  </commentList>
</comments>
</file>

<file path=xl/sharedStrings.xml><?xml version="1.0" encoding="utf-8"?>
<sst xmlns="http://schemas.openxmlformats.org/spreadsheetml/2006/main" count="564" uniqueCount="393">
  <si>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</si>
  <si>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</si>
  <si>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</si>
  <si>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</si>
  <si>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</si>
  <si>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</si>
  <si>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</si>
  <si>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</si>
  <si>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</si>
  <si>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</si>
  <si>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</si>
  <si>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</si>
  <si>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</si>
  <si>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</si>
  <si>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</si>
  <si>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</si>
  <si>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</si>
  <si>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</si>
  <si>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</si>
  <si>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</si>
  <si>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</si>
  <si>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</si>
  <si>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</si>
  <si>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</si>
  <si>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</si>
  <si>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</si>
  <si>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</si>
  <si>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</si>
  <si>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</si>
  <si>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</si>
  <si>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</si>
  <si>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</si>
  <si>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</si>
  <si>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</si>
  <si>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</si>
  <si>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</si>
  <si>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</si>
  <si>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</si>
  <si>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</si>
  <si>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</si>
  <si>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</si>
  <si>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</si>
  <si>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</si>
  <si>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</si>
  <si>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</si>
  <si>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</si>
  <si>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</si>
  <si>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</si>
  <si>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</si>
  <si>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</si>
  <si>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</si>
  <si>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</si>
  <si>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</si>
  <si>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</si>
  <si>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</si>
  <si>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</si>
  <si>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</si>
  <si>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</si>
  <si>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</si>
  <si>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</si>
  <si>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</si>
  <si>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</si>
  <si>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</si>
  <si>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</si>
  <si>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</si>
  <si>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</si>
  <si>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</si>
  <si>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</si>
  <si>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</si>
  <si>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</si>
  <si>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</si>
  <si>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</si>
  <si>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</si>
  <si>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</si>
  <si>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</si>
  <si>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</si>
  <si>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</si>
  <si>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</si>
  <si>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</si>
  <si>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</si>
  <si>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</si>
  <si>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</si>
  <si>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</si>
  <si>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</si>
  <si>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</si>
  <si>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</si>
  <si>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</si>
  <si>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</si>
  <si>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</si>
  <si>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</si>
  <si>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</si>
  <si>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</si>
  <si>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</si>
  <si>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</si>
  <si>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</si>
  <si>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</si>
  <si>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</si>
  <si>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</si>
  <si>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</si>
  <si>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</si>
  <si>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</si>
  <si>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</si>
  <si>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</si>
  <si>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</si>
  <si>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</si>
  <si>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</si>
  <si>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</si>
  <si>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</si>
  <si>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</si>
  <si>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</si>
  <si>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</si>
  <si>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</si>
  <si>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</si>
  <si>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</si>
  <si>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</si>
  <si>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</si>
  <si>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</si>
  <si>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</si>
  <si>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</si>
  <si>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</si>
  <si>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</si>
  <si>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</si>
  <si>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</si>
  <si>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</si>
  <si>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</si>
  <si>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</si>
  <si>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</si>
  <si>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</si>
  <si>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</si>
  <si>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</si>
  <si>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</si>
  <si>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</si>
  <si>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</si>
  <si>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</si>
  <si>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</si>
  <si>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</si>
  <si>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</si>
  <si>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</si>
  <si>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</si>
  <si>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</si>
  <si>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</si>
  <si>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</si>
  <si>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</si>
  <si>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</si>
  <si>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</si>
  <si>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</si>
  <si>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</si>
  <si>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</si>
  <si>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</si>
  <si>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</si>
  <si>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</si>
  <si>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</si>
  <si>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</si>
  <si>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</si>
  <si>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</si>
  <si>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</si>
  <si>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</si>
  <si>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</si>
  <si>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</si>
  <si>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</si>
  <si>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</si>
  <si>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</si>
  <si>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</si>
  <si>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</si>
  <si>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</si>
  <si>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</si>
  <si>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</si>
  <si>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</si>
  <si>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</si>
  <si>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</si>
  <si>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</si>
  <si>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</si>
  <si>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</si>
  <si>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</si>
  <si>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</si>
  <si>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</si>
  <si>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</si>
  <si>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</si>
  <si>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</si>
  <si>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</si>
  <si>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</si>
  <si>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</si>
  <si>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</si>
  <si>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</si>
  <si>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</si>
  <si>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</si>
  <si>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</si>
  <si>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</si>
  <si>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</si>
  <si>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</si>
  <si>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</si>
  <si>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</si>
  <si>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</si>
  <si>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</si>
  <si>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</si>
  <si>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</si>
  <si>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</si>
  <si>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</si>
  <si>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</si>
  <si>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</si>
  <si>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</si>
  <si>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</si>
  <si>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</si>
  <si>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</si>
  <si>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</si>
  <si>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</si>
  <si>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</si>
  <si>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</si>
  <si>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</si>
  <si>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</si>
  <si>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</si>
  <si>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</si>
  <si>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</si>
  <si>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</si>
  <si>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</si>
  <si>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</si>
  <si>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</si>
  <si>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</si>
  <si>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</si>
  <si>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</si>
  <si>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</si>
  <si>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</si>
  <si>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</si>
  <si>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</si>
  <si>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</si>
  <si>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</si>
  <si>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</si>
  <si>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</si>
  <si>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</si>
  <si>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</si>
  <si>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</si>
  <si>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</si>
  <si>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</si>
  <si>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</si>
  <si>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</si>
  <si>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</si>
  <si>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</si>
  <si>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</si>
  <si>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</si>
  <si>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</si>
  <si>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</si>
  <si>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</si>
  <si>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</si>
  <si>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</si>
  <si>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</si>
  <si>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</si>
  <si>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</si>
  <si>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</si>
  <si>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</si>
  <si>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</si>
  <si>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</si>
  <si>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</si>
  <si>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</si>
  <si>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</si>
  <si>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</si>
  <si>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</si>
  <si>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</si>
  <si>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</si>
  <si>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</si>
  <si>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</si>
  <si>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</si>
  <si>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</si>
  <si>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</si>
  <si>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</si>
  <si>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</si>
  <si>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</si>
  <si>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</si>
  <si>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</si>
  <si>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</si>
  <si>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</si>
  <si>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</si>
  <si>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</si>
  <si>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</si>
  <si>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</si>
  <si>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</si>
  <si>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</si>
  <si>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</si>
  <si>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</si>
  <si>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</si>
  <si>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</si>
  <si>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</si>
  <si>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</si>
  <si>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</si>
  <si>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</si>
  <si>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</si>
  <si>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</si>
  <si>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</si>
  <si>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</si>
  <si>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</si>
  <si>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</si>
  <si>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</si>
  <si>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</si>
  <si>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</si>
  <si>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</si>
  <si>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</si>
  <si>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</si>
  <si>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</si>
  <si>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</si>
  <si>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</si>
  <si>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</si>
  <si>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</si>
  <si>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</si>
  <si>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</si>
  <si>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</si>
  <si>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</si>
  <si>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</si>
  <si>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</si>
  <si>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</si>
  <si>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</si>
  <si>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</si>
  <si>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</si>
  <si>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</si>
  <si>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</si>
  <si>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</si>
  <si>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</si>
  <si>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</si>
  <si>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</si>
  <si>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</si>
  <si>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IMPACTO</t>
  </si>
  <si>
    <t>COMENTARIOS CME -MCP</t>
  </si>
  <si>
    <t>SLV-H-PLAN</t>
  </si>
  <si>
    <t>PLAN  INTERNACIONAL</t>
  </si>
  <si>
    <t>INNOVANDO SERVICIOS, REDUCIENDO RIESGOS, RENOVANDO VIDAS EN EL SALVADOR</t>
  </si>
  <si>
    <t>GRUPO JACOBS</t>
  </si>
  <si>
    <t xml:space="preserve">UCP/PLAN </t>
  </si>
  <si>
    <t>SR al RP</t>
  </si>
  <si>
    <t>CONDONES FEMENINOS</t>
  </si>
  <si>
    <t>% de Población Transgenero infectada por el VIH</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</si>
  <si>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</si>
  <si>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</si>
  <si>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</si>
  <si>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</si>
  <si>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</si>
  <si>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</si>
  <si>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</si>
  <si>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</si>
  <si>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</si>
  <si>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</si>
  <si>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</si>
  <si>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</si>
  <si>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</si>
  <si>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</si>
  <si>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</si>
  <si>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</si>
  <si>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</si>
  <si>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</si>
  <si>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</si>
  <si>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</si>
  <si>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</si>
  <si>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(1)
Número de condones por usuario por intervencion en promedio entre las 3 poblaciones</t>
  </si>
  <si>
    <t>MANTAS DE LATEX</t>
  </si>
  <si>
    <t>No existieron condiciones precedentes</t>
  </si>
  <si>
    <t>Los recursos estan contratados desde el primer semestre</t>
  </si>
  <si>
    <t>A solicitud del Fondo Mundial, se presento informe PU el 31 de julio de 2015 (nueva fecha limite), sin embargo, éste fue observado, por lo que se presentó corregido el dia 12 de agosto de 2015.</t>
  </si>
  <si>
    <t>La diferencia entre el presupuesto y los gastos acumulados se debe principalmente a que al cierre del año 2014 se presentaron economías en algunas lineas presupuestarias, (algunas de las cuales fue solicitada su reprogramación) adicionalmente para el periodo (P3) de este informe, se tiene presupuestada la compra de productos de salud, la cual se encontraba en proceso de compra al cierre de este informe.</t>
  </si>
  <si>
    <t>La variación entre los desembolsos efectuados por el Fondo Mundial y los gastos del RP+ desembolsos a SR, se debe principalmente a compras en proceso que el RP no logro realizar en el P3. 
La variacion entre los desembolsos a SR y los gastos ejecutados por ellos, se debe principalmente a la recalendarización de actividades asi como, a la contratación tardia de recursos humanos en algunos SR, que no permitieron la ejecucion total del desembolso asignado.</t>
  </si>
  <si>
    <t xml:space="preserve">La diferencia entre el presupuesto aprobado y desembolsos recibidos, se debe a que el fondo global para efectos de realizar el desembolso del P3, desconto el saldo de caja al 31 de diciembre de 2014, y sumo los compromisos pendientes para el año 2015. </t>
  </si>
  <si>
    <t>Los 10 SR presentaron sus informes de ejecucion técnica y financiera, correspondiente al segundo semestre.</t>
  </si>
  <si>
    <t>10 subreceptores contratados , 6 contratos fueron firmados en el primer semestre y el resto corresponden al segundo semestre.</t>
  </si>
  <si>
    <t>* Fuente de Información : PUDR_S1  VIH,31 Julio 2015</t>
  </si>
  <si>
    <t>Tal como en el semestre pasado la promoción de actividades del componente complementario contribuyó grandemente al cierre de ciclos de prevención al servir de enlace para que la población TSF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con organizacones o intituciones con las que PASMO realizo alianzas estrategicas para el desarrollo de este componente. En el caso de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t>
  </si>
  <si>
    <t>, Se tenía pendiente que el SR Atlacatl, entregara informe de cierre al 31 de diciembre sin embargo solo presento informe financiero, los 20 informes reflejados corresponden a los SR´s vigentes</t>
  </si>
  <si>
    <t>El porcentaje reportado indica el acumulado del año 2 y corresponde a las personas HSH que han participado en los componentes del paquete básico, de acuerdo con  el desarrollo de la metodologia de prevencion combinada.</t>
  </si>
  <si>
    <t xml:space="preserve">El porcentaje reportado indica el acumulado del año 2 y corresponde a las personas TS que han participado en los componentes del paquete básico, de acuerdo con  el desarrollo de la metodologia de prevencion combinada. </t>
  </si>
  <si>
    <t>El porcentaje reportado indica el acumulado del año 2 y corresponde a las personas TRANS que han participado en los componentes del paquete básico, de acuerdo con  el desarrollo de la metodologia de prevencion combinada.</t>
  </si>
  <si>
    <t xml:space="preserve">El progreso alcanzado durante el  primer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Para este semestre las actividades  se focalizarón en acciones dentro de  zonas geográficas  de concentracion de  población  HSH que fueron identificadas por los diferentes SR´s, lo que permitio  alcanzar de manera efectiva el cumplimeinto de la meta.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La promoción de actividades del componente complementario contribuyo grandemente al cierre de ciclos del paquete basico, al servir de enlace para que la población HSH asistiese a las  actividades. Esto a su vez incremento de manera significativa el número de actividades dentro del componente complementario. 
Tambien en este periodo se desarrolllaron otras actividades de cambio de comportamiento con los usuarios alcanzados en el año 1, los cuales fueron registrados como seguimiento. La meta de seguimientos para el periodo 3 (primer periodo en que se realizan seguimientos) corresponde a 1947 personas en seguimiento. Debido a que la meta alcanzada el año 1 supero la meta de personas alcanzadas con ciclo cerrado y CUI (4128 correspondiendo a un 106%) la meta de seguimientos se incremento para el año 2, para el periodo 3 se tienen una meta de 2064 . Actualmente se han registrado en seguimiento 1618 personas de las cuales 249 han cerrado un nuevo ciclo. </t>
  </si>
  <si>
    <t xml:space="preserve">El progreso alcanzado durante el  primer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TSF y así lograr un número mayor de intervenciones. 
Para este semestre las actividades  se focalizarón en acciones dentro de  zonas geográficas  de concentracion de  población TSF que fueron identificadas por los diferentes SR´s, lo que permitio  alcanzar de manera efectiva el cumplimeinto de la meta.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La promoción de actividades del componente complementario contribuyo grandemente al cierre de ciclos del paquete basico, al servir de enlace para que la población TSF asistiese a las  actividades. Esto a su vez incremento de manera significativa el número de actividades dentro del componente complementario.
Tambien en este periodo se desarrolllaron otras actividades de cambio de comportamiento con las usuarias alcanzadas en el año 1, las cuales fueron registradas como seguimiento. La meta de seguimientos para el periodo 3 (primer periodo en que se realizan seguimientos) corresponde a 1,464 personas en seguimiento. Debido a que la meta alcanzada el año 1 supero la meta de personas alcanzadas con ciclo cerrado y CUI (2,962 correspondiendo a un 101%) la meta de seguimientos se incremento para el año 2, para el periodo 3 se tienen una meta de 1,481 (Ver achivo anexo de Analisis de metas de seguimiento). Actualmente se han registrado en seguimiento 1122 personas de las cuales 339 han cerrado un nuevo ciclo. </t>
  </si>
  <si>
    <t>El progreso alcanzado durante el primer  semestre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seguimientos para el periodo 3 (primer periodo en que se realizan seguimientos) corresponde a 276 personas en seguimiento. Debido a que la meta alcanzada el año 1 supero la meta de personas alcanzadas con ciclo cerrado y CUI (558 correspondiendo a un 101%) la meta de seguimientos se incremento para el año 2, para el periodo 3 se tienen una meta de 279 (Ver achivo anexo de Analisis de metas de seguimiento). Actualmente se han registrado en seguimiento 257 personas de las cuales 23 han cerrado un nuevo ciclo.
El cumplimiento de las metas fue particularmente  dificil en este semestre  para esta población debido a la violencia concentrada  hacia las mujeres  TRANS. En este periodo asesinaron de manera violenta y en circunstancias muy poco  precisas a la responsable del CCPI  de mujeres Trans en Santa Ana: Francella Méndez,  lo que impacto de manera muy particular a la poblacion; por este mismo tema de violencia  muchas mujeres Trans decidieron migrar  de manera ilegal  por miedo a la situacion,  a la impunidad de los asesinatos y otros hechos de violencia en contra de las mujeres TRANS.</t>
  </si>
  <si>
    <t xml:space="preserve">Tal como en el semestre pasado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implemento como estrategia la focalizacion de actividades dirigidas en areas geográficas de concentracion  HSH, lo cual permitió mayor alcance de la poblacion y facilitó la oferta de paquetes complementarios.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Atravez de los talleres de autocuido FUNDASIDA continuo logrando la concentracion de usuarios para generar  demanda en atención psicologica para la  población HSH. </t>
  </si>
  <si>
    <t xml:space="preserve">El desempeño de este semestre ha disminuido drasticamente en comparacion al periodo anterior, particularmente debido a la violencia ejercida hacia la población  Trans. Muchas de las actividades planificadas  para alcanzar la meta de este indicador no  se pudieron realizar, por la  inseguridad, la cantidad de  casos de violencia  ejercida escificamente a ellas por su expresión de genero y la impunidad  al resolver  los crímenes de odio. Esto provoco que muchas de ellas no se quisieran reunir ni en lugares públicos ni en el CCPI por temor a ser señaladas y agredidas.
Aún cuando se convocó y se obtuvo confirmación de las participantes, no se pudieron realizar debido actividades complementarias debido a la falta de asistentes. Al contactarlas nuevamente afirmaron que no asistieron a las actividades debido al temor a la violencia existentes en el país.
 En el caso de este proyecto la mayoría de actividades para el componente complementario se da en los CCPI, y debido a que muchas mujeres Trans tienen temor a trasladarse en horarios diurnos por distintas zonas de centro de San Salvador, debido al accionar de las maras (pandillas y grupos armados), el numero de asistentes a actividades complementarias se vio reducido considerablemente.
Cada organización sub receptora implemento diferentes estrategias que tenían la intención de generar un aumento en la demanda y la oferta para el paquete complementario, por los motivos mensionados anteriormente. Aun con estas medidas los resultados fuerón modestos.  Por su parte ASPIDH contrató los servicios de un endocrinólogo para ofrecer talleres sobre hormonización y gestionó la participación de la PDDH para brindar asesoría en  prevención de violencia . Colectivo Alejandría coordinó talleres con Ciudad Mujer para diversos temas de asistencia psicológica,  además de  generar espacios de incidencia política  para la promulgación de la ley de identidad. 
</t>
  </si>
  <si>
    <t>CONDONES MASCULINOS (HSH)</t>
  </si>
  <si>
    <t>CONDONES MASCULINOS (TS)</t>
  </si>
  <si>
    <t>CONDONES MASCULINOS (TRANS)</t>
  </si>
  <si>
    <t>*PRUEBA RAPIDA: el dato es estimadotomando en cuenta que en promedio se realizan 300 pruebas mensuales</t>
  </si>
  <si>
    <t>PRUEBAS RAPIDAS*</t>
  </si>
  <si>
    <t>LUBRICANTES/TUBOS HSH</t>
  </si>
  <si>
    <t>LUBRICANTES/TUBOS TS</t>
  </si>
  <si>
    <t>LUBRICANTES/TUBOS TRANS</t>
  </si>
  <si>
    <t>LUBRICANTES/SACHETS HSH</t>
  </si>
  <si>
    <t>LUBRICANTES/SACHETS TS</t>
  </si>
  <si>
    <t>LUBRICANTES/SACHETS TRANS</t>
  </si>
  <si>
    <t xml:space="preserve">(2= 1x3)
Producto 
(condones por usuario cada año distribuidos en las 3 intervenciones) </t>
  </si>
  <si>
    <t>Si bien es cierto las cifras presentan riesgo, a esta fecha se han eliminado, debido a que ya las compras de insumos estaban en transito y estas por recibirse</t>
  </si>
  <si>
    <t>La adquisicion de producto de salud es realizada a traves de PNUD, con fondos NMF, hasta este el P4 Plan estara realizando compras.</t>
  </si>
  <si>
    <t xml:space="preserve">(3)
Número total de ususarios de productos de salud de las 3 poblaciones alcanzadas </t>
  </si>
  <si>
    <t>(4 = 2 x 3)
Número total de productos de salud que se necesitan para los usuarios durante un año *</t>
  </si>
  <si>
    <t>Compromisos al 30 de junio*</t>
  </si>
  <si>
    <t>Saldo en caja*</t>
  </si>
  <si>
    <t>* Los compromisos al 30 de junio reportados corresponden a la suma de compromisos en PNUD y Plan</t>
  </si>
  <si>
    <t>nota: los 11 evalulados vienen del año anterior, se tiene contratos vigentes con 10 SR</t>
  </si>
  <si>
    <t>*Es importante hacer notar que el numero de productos de salud calculadas por año, es tomando en cuenta que esas cantidades son las establecidas por año por usuario, pero el numero de poblacion alcanzada que se incluye en el reporte es semestral (lo que significa que el verdadero valor de los productos a necesitar por año son los establecidos en la columna G pero multiplicados por 2</t>
  </si>
  <si>
    <t>* El saldo de caja reportado corresponde a la suma de los saldo en PNUD, Plan y los SR</t>
  </si>
  <si>
    <t>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</si>
</sst>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 numFmtId="205" formatCode="&quot;$&quot;#,##0.000"/>
    <numFmt numFmtId="206" formatCode="&quot;$&quot;#,##0.00"/>
  </numFmts>
  <fonts count="135">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b/>
      <sz val="9"/>
      <name val="Tahoma"/>
      <family val="2"/>
    </font>
    <font>
      <sz val="6"/>
      <color indexed="8"/>
      <name val="Arial"/>
      <family val="0"/>
    </font>
    <font>
      <sz val="3.35"/>
      <color indexed="8"/>
      <name val="Arial"/>
      <family val="0"/>
    </font>
    <font>
      <sz val="7"/>
      <color indexed="8"/>
      <name val="Calibri"/>
      <family val="0"/>
    </font>
    <font>
      <sz val="7"/>
      <color indexed="8"/>
      <name val="Arial"/>
      <family val="0"/>
    </font>
    <font>
      <sz val="5"/>
      <color indexed="8"/>
      <name val="Arial"/>
      <family val="0"/>
    </font>
    <font>
      <b/>
      <sz val="10.5"/>
      <color indexed="8"/>
      <name val="Calibri"/>
      <family val="0"/>
    </font>
    <font>
      <sz val="7.1"/>
      <color indexed="8"/>
      <name val="Calibri"/>
      <family val="0"/>
    </font>
    <font>
      <b/>
      <sz val="9"/>
      <color indexed="8"/>
      <name val="Arial"/>
      <family val="0"/>
    </font>
    <font>
      <b/>
      <sz val="8"/>
      <color indexed="8"/>
      <name val="Arial"/>
      <family val="0"/>
    </font>
    <font>
      <sz val="8"/>
      <color indexed="8"/>
      <name val="Arial"/>
      <family val="0"/>
    </font>
    <font>
      <sz val="4.75"/>
      <color indexed="8"/>
      <name val="Arial"/>
      <family val="0"/>
    </font>
    <font>
      <sz val="6.75"/>
      <color indexed="8"/>
      <name val="Arial"/>
      <family val="0"/>
    </font>
    <font>
      <sz val="4.25"/>
      <color indexed="8"/>
      <name val="Arial"/>
      <family val="0"/>
    </font>
    <font>
      <sz val="4.9"/>
      <color indexed="8"/>
      <name val="Arial"/>
      <family val="0"/>
    </font>
    <font>
      <b/>
      <sz val="5.5"/>
      <color indexed="8"/>
      <name val="Arial"/>
      <family val="0"/>
    </font>
    <font>
      <b/>
      <i/>
      <sz val="8"/>
      <color indexed="8"/>
      <name val="Calibri"/>
      <family val="2"/>
    </font>
    <font>
      <sz val="12"/>
      <color indexed="8"/>
      <name val="Arial"/>
      <family val="0"/>
    </font>
    <font>
      <b/>
      <sz val="5.75"/>
      <color indexed="8"/>
      <name val="Arial"/>
      <family val="0"/>
    </font>
    <font>
      <b/>
      <i/>
      <sz val="8"/>
      <color theme="1"/>
      <name val="Calibri"/>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25"/>
        <bgColor indexed="64"/>
      </patternFill>
    </fill>
    <fill>
      <patternFill patternType="solid">
        <fgColor indexed="18"/>
        <bgColor indexed="64"/>
      </patternFill>
    </fill>
    <fill>
      <patternFill patternType="gray0625">
        <fgColor indexed="52"/>
        <bgColor indexed="43"/>
      </patternFill>
    </fill>
    <fill>
      <patternFill patternType="solid">
        <fgColor indexed="43"/>
        <bgColor indexed="64"/>
      </patternFill>
    </fill>
    <fill>
      <patternFill patternType="solid">
        <fgColor indexed="13"/>
        <bgColor indexed="64"/>
      </patternFill>
    </fill>
  </fills>
  <borders count="2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color indexed="63"/>
      </left>
      <right style="medium">
        <color indexed="51"/>
      </right>
      <top>
        <color indexed="63"/>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58"/>
      </right>
      <top style="thin">
        <color indexed="58"/>
      </top>
      <bottom style="thin">
        <color indexed="58"/>
      </bottom>
    </border>
    <border>
      <left>
        <color indexed="63"/>
      </left>
      <right style="thin">
        <color indexed="58"/>
      </right>
      <top style="thin">
        <color indexed="58"/>
      </top>
      <bottom>
        <color indexed="63"/>
      </bottom>
    </border>
    <border>
      <left style="medium"/>
      <right style="thin">
        <color indexed="32"/>
      </right>
      <top style="medium"/>
      <bottom style="thin">
        <color indexed="32"/>
      </bottom>
    </border>
    <border>
      <left style="thin">
        <color indexed="32"/>
      </left>
      <right style="thin">
        <color indexed="32"/>
      </right>
      <top style="medium"/>
      <bottom>
        <color indexed="63"/>
      </bottom>
    </border>
    <border>
      <left style="thin">
        <color indexed="32"/>
      </left>
      <right style="thin">
        <color indexed="32"/>
      </right>
      <top style="medium"/>
      <bottom style="thin">
        <color indexed="32"/>
      </bottom>
    </border>
    <border>
      <left style="thin">
        <color indexed="32"/>
      </left>
      <right style="medium"/>
      <top style="medium"/>
      <bottom style="thin">
        <color indexed="32"/>
      </bottom>
    </border>
    <border>
      <left style="thin">
        <color indexed="32"/>
      </left>
      <right style="medium"/>
      <top style="thin">
        <color indexed="32"/>
      </top>
      <bottom style="thin">
        <color indexed="32"/>
      </bottom>
    </border>
    <border>
      <left style="thin"/>
      <right style="thin"/>
      <top style="thin"/>
      <bottom style="medium"/>
    </border>
    <border>
      <left>
        <color indexed="63"/>
      </left>
      <right style="thin">
        <color indexed="58"/>
      </right>
      <top style="thin">
        <color indexed="58"/>
      </top>
      <bottom style="mediu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color indexed="63"/>
      </bottom>
    </border>
    <border>
      <left style="thin">
        <color indexed="32"/>
      </left>
      <right>
        <color indexed="63"/>
      </right>
      <top style="medium">
        <color indexed="32"/>
      </top>
      <bottom>
        <color indexed="63"/>
      </bottom>
    </border>
    <border>
      <left style="thin">
        <color indexed="32"/>
      </left>
      <right style="thin">
        <color indexed="32"/>
      </right>
      <top style="medium">
        <color indexed="32"/>
      </top>
      <bottom>
        <color indexed="63"/>
      </bottom>
    </border>
    <border>
      <left>
        <color indexed="63"/>
      </left>
      <right style="medium">
        <color indexed="32"/>
      </right>
      <top style="medium">
        <color indexed="32"/>
      </top>
      <bottom>
        <color indexed="63"/>
      </bottom>
    </border>
    <border>
      <left style="thin">
        <color indexed="32"/>
      </left>
      <right>
        <color indexed="63"/>
      </right>
      <top style="medium"/>
      <bottom style="thin">
        <color indexed="32"/>
      </bottom>
    </border>
    <border>
      <left>
        <color indexed="63"/>
      </left>
      <right style="medium"/>
      <top style="thin">
        <color indexed="32"/>
      </top>
      <bottom style="thin">
        <color indexed="32"/>
      </bottom>
    </border>
    <border>
      <left style="thin">
        <color indexed="32"/>
      </left>
      <right style="thin">
        <color indexed="32"/>
      </right>
      <top style="thin">
        <color indexed="32"/>
      </top>
      <bottom style="medium"/>
    </border>
    <border>
      <left style="thin">
        <color indexed="58"/>
      </left>
      <right style="thin">
        <color indexed="58"/>
      </right>
      <top style="thin">
        <color indexed="58"/>
      </top>
      <bottom style="medium"/>
    </border>
    <border>
      <left style="medium">
        <color theme="5"/>
      </left>
      <right style="thin"/>
      <top style="medium">
        <color theme="5"/>
      </top>
      <bottom style="thin"/>
    </border>
    <border>
      <left style="thin"/>
      <right style="thin"/>
      <top style="medium">
        <color theme="5"/>
      </top>
      <bottom style="thin"/>
    </border>
    <border>
      <left style="thin"/>
      <right style="medium">
        <color theme="5"/>
      </right>
      <top style="medium">
        <color theme="5"/>
      </top>
      <bottom style="thin"/>
    </border>
    <border>
      <left style="medium">
        <color theme="5"/>
      </left>
      <right style="thin"/>
      <top style="thin"/>
      <bottom style="thin"/>
    </border>
    <border>
      <left style="thin"/>
      <right style="medium">
        <color theme="5"/>
      </right>
      <top style="thin"/>
      <bottom style="thin"/>
    </border>
    <border>
      <left style="medium">
        <color theme="5"/>
      </left>
      <right style="thin"/>
      <top style="thin"/>
      <bottom style="medium">
        <color theme="5"/>
      </bottom>
    </border>
    <border>
      <left style="thin"/>
      <right style="thin"/>
      <top style="thin"/>
      <bottom style="medium">
        <color theme="5"/>
      </bottom>
    </border>
    <border>
      <left style="thin"/>
      <right style="medium">
        <color theme="5"/>
      </right>
      <top style="thin"/>
      <bottom style="medium">
        <color theme="5"/>
      </bottom>
    </border>
    <border>
      <left>
        <color indexed="63"/>
      </left>
      <right>
        <color indexed="63"/>
      </right>
      <top style="thin">
        <color indexed="32"/>
      </top>
      <bottom>
        <color indexed="63"/>
      </bottom>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thin">
        <color indexed="32"/>
      </left>
      <right style="thin">
        <color indexed="32"/>
      </right>
      <top>
        <color indexed="63"/>
      </top>
      <bottom style="thin">
        <color indexed="58"/>
      </bottom>
    </border>
    <border>
      <left style="thin">
        <color indexed="32"/>
      </left>
      <right style="medium"/>
      <top style="thin">
        <color indexed="32"/>
      </top>
      <bottom>
        <color indexed="63"/>
      </bottom>
    </border>
    <border>
      <left style="thin">
        <color indexed="32"/>
      </left>
      <right style="medium"/>
      <top>
        <color indexed="63"/>
      </top>
      <bottom>
        <color indexed="63"/>
      </bottom>
    </border>
    <border>
      <left style="thin">
        <color indexed="32"/>
      </left>
      <right style="medium"/>
      <top>
        <color indexed="63"/>
      </top>
      <bottom style="thin">
        <color indexed="32"/>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thin">
        <color indexed="32"/>
      </left>
      <right style="medium"/>
      <top>
        <color indexed="63"/>
      </top>
      <bottom style="mediu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thin">
        <color indexed="32"/>
      </left>
      <right style="thin">
        <color indexed="32"/>
      </right>
      <top style="thin">
        <color indexed="58"/>
      </top>
      <bottom>
        <color indexed="63"/>
      </bottom>
    </border>
    <border>
      <left style="thin">
        <color indexed="32"/>
      </left>
      <right style="thin">
        <color indexed="32"/>
      </right>
      <top>
        <color indexed="63"/>
      </top>
      <bottom style="medium"/>
    </border>
    <border>
      <left style="medium"/>
      <right>
        <color indexed="63"/>
      </right>
      <top style="thin">
        <color indexed="32"/>
      </top>
      <bottom style="medium">
        <color indexed="32"/>
      </bottom>
    </border>
    <border>
      <left style="medium"/>
      <right>
        <color indexed="63"/>
      </right>
      <top style="thin">
        <color indexed="32"/>
      </top>
      <bottom style="mediu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style="medium">
        <color indexed="32"/>
      </left>
      <right>
        <color indexed="63"/>
      </right>
      <top style="thin">
        <color indexed="32"/>
      </top>
      <bottom style="thin">
        <color indexed="32"/>
      </bottom>
    </border>
    <border>
      <left>
        <color indexed="63"/>
      </left>
      <right style="medium">
        <color indexed="32"/>
      </right>
      <top style="thin">
        <color indexed="32"/>
      </top>
      <bottom style="thin">
        <color indexed="32"/>
      </bottom>
    </border>
    <border>
      <left style="medium"/>
      <right style="thin">
        <color indexed="32"/>
      </right>
      <top style="medium"/>
      <bottom>
        <color indexed="63"/>
      </bottom>
    </border>
    <border>
      <left style="medium"/>
      <right style="thin">
        <color indexed="32"/>
      </right>
      <top>
        <color indexed="63"/>
      </top>
      <bottom>
        <color indexed="63"/>
      </bottom>
    </border>
    <border>
      <left style="medium"/>
      <right style="thin">
        <color indexed="32"/>
      </right>
      <top>
        <color indexed="63"/>
      </top>
      <bottom style="medium"/>
    </border>
    <border>
      <left style="thin">
        <color indexed="32"/>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0"/>
      </right>
      <top style="hair">
        <color indexed="23"/>
      </top>
      <bottom style="hair">
        <color indexed="23"/>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style="hair">
        <color indexed="32"/>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color indexed="63"/>
      </left>
      <right style="medium">
        <color indexed="52"/>
      </right>
      <top>
        <color indexed="63"/>
      </top>
      <bottom>
        <color indexed="63"/>
      </bottom>
    </border>
    <border>
      <left style="medium">
        <color indexed="51"/>
      </left>
      <right style="medium">
        <color indexed="51"/>
      </right>
      <top style="hair">
        <color indexed="51"/>
      </top>
      <bottom style="medium">
        <color indexed="51"/>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color indexed="63"/>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20" fillId="0" borderId="4" applyNumberFormat="0" applyFill="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73" fontId="0" fillId="0" borderId="0" applyFill="0" applyBorder="0" applyAlignment="0" applyProtection="0"/>
    <xf numFmtId="169" fontId="1" fillId="0" borderId="0" applyFill="0" applyBorder="0" applyAlignment="0" applyProtection="0"/>
    <xf numFmtId="173"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8" applyNumberFormat="0" applyAlignment="0" applyProtection="0"/>
    <xf numFmtId="0" fontId="0" fillId="4" borderId="8" applyNumberFormat="0" applyAlignment="0" applyProtection="0"/>
    <xf numFmtId="0" fontId="15" fillId="2" borderId="9"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9"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764">
    <xf numFmtId="0" fontId="0" fillId="0" borderId="0" xfId="0" applyAlignment="1">
      <alignment/>
    </xf>
    <xf numFmtId="173" fontId="24" fillId="0" borderId="0" xfId="98" applyFont="1" applyFill="1" applyAlignment="1">
      <alignment vertical="center"/>
      <protection/>
    </xf>
    <xf numFmtId="0" fontId="26" fillId="0" borderId="0" xfId="0" applyFont="1" applyAlignment="1">
      <alignment/>
    </xf>
    <xf numFmtId="173" fontId="26" fillId="0" borderId="0" xfId="0" applyNumberFormat="1" applyFont="1" applyAlignment="1">
      <alignment/>
    </xf>
    <xf numFmtId="173"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3" fillId="0" borderId="0" xfId="97" applyFont="1" applyFill="1" applyAlignment="1" applyProtection="1">
      <alignment horizontal="center" vertical="center"/>
      <protection/>
    </xf>
    <xf numFmtId="173" fontId="24" fillId="0" borderId="0" xfId="97"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73" fontId="43" fillId="0" borderId="0" xfId="89" applyFont="1" applyFill="1" applyAlignment="1" applyProtection="1">
      <alignment vertical="center"/>
      <protection/>
    </xf>
    <xf numFmtId="173" fontId="44" fillId="0" borderId="0" xfId="0" applyNumberFormat="1" applyFont="1" applyAlignment="1" applyProtection="1">
      <alignment horizontal="right"/>
      <protection/>
    </xf>
    <xf numFmtId="173"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75" fontId="0" fillId="0" borderId="0" xfId="0" applyNumberFormat="1" applyAlignment="1" applyProtection="1">
      <alignment/>
      <protection/>
    </xf>
    <xf numFmtId="175" fontId="0" fillId="0"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0" fontId="0" fillId="0" borderId="0" xfId="0" applyBorder="1" applyAlignment="1" applyProtection="1">
      <alignment/>
      <protection/>
    </xf>
    <xf numFmtId="173"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73" fontId="46" fillId="0" borderId="17" xfId="132" applyNumberFormat="1" applyFont="1" applyFill="1" applyBorder="1" applyAlignment="1" applyProtection="1">
      <alignment/>
      <protection/>
    </xf>
    <xf numFmtId="173" fontId="0" fillId="0" borderId="17" xfId="132" applyNumberFormat="1" applyFill="1" applyBorder="1" applyAlignment="1" applyProtection="1">
      <alignment vertical="center"/>
      <protection/>
    </xf>
    <xf numFmtId="173" fontId="47" fillId="0" borderId="17" xfId="132" applyNumberFormat="1" applyFont="1" applyFill="1" applyBorder="1" applyAlignment="1" applyProtection="1">
      <alignment horizontal="left" vertical="center"/>
      <protection/>
    </xf>
    <xf numFmtId="173" fontId="0" fillId="3" borderId="18" xfId="132" applyNumberFormat="1" applyFill="1" applyBorder="1" applyAlignment="1" applyProtection="1">
      <alignment vertical="center"/>
      <protection/>
    </xf>
    <xf numFmtId="173" fontId="48" fillId="0" borderId="0" xfId="132" applyNumberFormat="1" applyFont="1" applyFill="1" applyBorder="1" applyAlignment="1" applyProtection="1">
      <alignment vertical="center"/>
      <protection locked="0"/>
    </xf>
    <xf numFmtId="173" fontId="28" fillId="0" borderId="15"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6"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9" fillId="0" borderId="19" xfId="0" applyNumberFormat="1" applyFont="1" applyBorder="1" applyAlignment="1" applyProtection="1">
      <alignment horizontal="left"/>
      <protection/>
    </xf>
    <xf numFmtId="176" fontId="49" fillId="10" borderId="20" xfId="0" applyNumberFormat="1" applyFont="1" applyFill="1" applyBorder="1" applyAlignment="1" applyProtection="1">
      <alignment horizontal="center"/>
      <protection locked="0"/>
    </xf>
    <xf numFmtId="175" fontId="41" fillId="0" borderId="21" xfId="0" applyNumberFormat="1" applyFont="1" applyBorder="1" applyAlignment="1" applyProtection="1">
      <alignment horizontal="left"/>
      <protection/>
    </xf>
    <xf numFmtId="179"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75" fontId="41" fillId="0" borderId="22" xfId="0" applyNumberFormat="1" applyFont="1" applyBorder="1" applyAlignment="1" applyProtection="1">
      <alignment horizontal="left"/>
      <protection/>
    </xf>
    <xf numFmtId="179" fontId="41" fillId="0" borderId="15" xfId="0" applyNumberFormat="1" applyFont="1" applyFill="1" applyBorder="1" applyAlignment="1" applyProtection="1">
      <alignment/>
      <protection/>
    </xf>
    <xf numFmtId="175" fontId="41" fillId="0" borderId="23" xfId="0" applyNumberFormat="1" applyFont="1" applyBorder="1" applyAlignment="1" applyProtection="1">
      <alignment horizontal="left"/>
      <protection/>
    </xf>
    <xf numFmtId="179" fontId="41" fillId="0" borderId="24" xfId="0" applyNumberFormat="1" applyFont="1" applyFill="1" applyBorder="1" applyAlignment="1" applyProtection="1">
      <alignment/>
      <protection/>
    </xf>
    <xf numFmtId="9" fontId="2" fillId="0" borderId="0" xfId="110"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9" fillId="0" borderId="0" xfId="0" applyNumberFormat="1" applyFont="1" applyFill="1" applyBorder="1" applyAlignment="1">
      <alignment horizontal="center"/>
    </xf>
    <xf numFmtId="173" fontId="41" fillId="0" borderId="0" xfId="0" applyNumberFormat="1" applyFont="1" applyFill="1" applyBorder="1" applyAlignment="1">
      <alignment/>
    </xf>
    <xf numFmtId="173" fontId="50" fillId="0" borderId="25" xfId="0" applyNumberFormat="1" applyFont="1" applyFill="1" applyBorder="1" applyAlignment="1" applyProtection="1">
      <alignment vertical="center" wrapText="1"/>
      <protection/>
    </xf>
    <xf numFmtId="0" fontId="50" fillId="0" borderId="26" xfId="0" applyNumberFormat="1" applyFont="1" applyFill="1" applyBorder="1" applyAlignment="1" applyProtection="1">
      <alignment horizontal="center" vertical="center" wrapText="1"/>
      <protection/>
    </xf>
    <xf numFmtId="0" fontId="50" fillId="0" borderId="27"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51" fillId="0" borderId="0" xfId="0" applyFont="1" applyFill="1" applyBorder="1" applyAlignment="1">
      <alignment horizontal="center"/>
    </xf>
    <xf numFmtId="173" fontId="51" fillId="0" borderId="28" xfId="0" applyNumberFormat="1" applyFont="1" applyFill="1" applyBorder="1" applyAlignment="1" applyProtection="1">
      <alignment wrapText="1"/>
      <protection locked="0"/>
    </xf>
    <xf numFmtId="180" fontId="0" fillId="3" borderId="29" xfId="83" applyNumberFormat="1" applyFont="1" applyFill="1" applyBorder="1" applyAlignment="1" applyProtection="1">
      <alignment/>
      <protection locked="0"/>
    </xf>
    <xf numFmtId="180" fontId="0" fillId="3" borderId="30" xfId="83" applyNumberFormat="1" applyFont="1" applyFill="1" applyBorder="1" applyAlignment="1" applyProtection="1">
      <alignment/>
      <protection locked="0"/>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1"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9" xfId="83" applyNumberFormat="1" applyFont="1" applyFill="1" applyBorder="1" applyAlignment="1" applyProtection="1">
      <alignment/>
      <protection locked="0"/>
    </xf>
    <xf numFmtId="181" fontId="0" fillId="3" borderId="30" xfId="83"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1" fillId="0" borderId="28" xfId="0" applyNumberFormat="1" applyFont="1" applyFill="1" applyBorder="1" applyAlignment="1" applyProtection="1">
      <alignment/>
      <protection locked="0"/>
    </xf>
    <xf numFmtId="0" fontId="51" fillId="0" borderId="28" xfId="0" applyFont="1" applyFill="1" applyBorder="1" applyAlignment="1" applyProtection="1">
      <alignment wrapText="1"/>
      <protection locked="0"/>
    </xf>
    <xf numFmtId="173" fontId="0" fillId="0" borderId="31" xfId="0" applyNumberFormat="1" applyFont="1" applyBorder="1" applyAlignment="1" applyProtection="1">
      <alignment/>
      <protection/>
    </xf>
    <xf numFmtId="181" fontId="0" fillId="0" borderId="32"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3" fillId="0" borderId="0" xfId="0" applyFont="1" applyFill="1" applyBorder="1" applyAlignment="1" applyProtection="1">
      <alignment horizontal="center" vertical="center"/>
      <protection/>
    </xf>
    <xf numFmtId="175" fontId="54" fillId="0" borderId="0" xfId="0" applyNumberFormat="1" applyFont="1" applyFill="1" applyBorder="1" applyAlignment="1" applyProtection="1">
      <alignment horizontal="center" vertical="center" wrapText="1"/>
      <protection/>
    </xf>
    <xf numFmtId="175" fontId="5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83" applyNumberFormat="1" applyFont="1" applyFill="1" applyBorder="1" applyAlignment="1" applyProtection="1">
      <alignment/>
      <protection locked="0"/>
    </xf>
    <xf numFmtId="184" fontId="14" fillId="0" borderId="0" xfId="110"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10" applyNumberFormat="1" applyFont="1" applyFill="1" applyBorder="1" applyAlignment="1" applyProtection="1">
      <alignment horizontal="center"/>
      <protection locked="0"/>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1" fillId="0" borderId="33" xfId="0" applyNumberFormat="1" applyFont="1" applyFill="1" applyBorder="1" applyAlignment="1" applyProtection="1">
      <alignment/>
      <protection/>
    </xf>
    <xf numFmtId="173" fontId="51" fillId="0" borderId="15" xfId="0" applyNumberFormat="1" applyFont="1" applyFill="1" applyBorder="1" applyAlignment="1" applyProtection="1">
      <alignment horizontal="center"/>
      <protection/>
    </xf>
    <xf numFmtId="173" fontId="51" fillId="0" borderId="34" xfId="0" applyNumberFormat="1" applyFont="1" applyFill="1" applyBorder="1" applyAlignment="1" applyProtection="1">
      <alignment horizontal="center"/>
      <protection/>
    </xf>
    <xf numFmtId="173" fontId="51" fillId="0" borderId="33"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34" xfId="0" applyNumberFormat="1" applyFill="1" applyBorder="1" applyAlignment="1" applyProtection="1">
      <alignment horizontal="center"/>
      <protection locked="0"/>
    </xf>
    <xf numFmtId="173" fontId="51" fillId="0" borderId="35" xfId="0" applyNumberFormat="1" applyFont="1" applyFill="1" applyBorder="1" applyAlignment="1" applyProtection="1">
      <alignment/>
      <protection/>
    </xf>
    <xf numFmtId="173" fontId="51" fillId="0" borderId="36" xfId="0" applyNumberFormat="1" applyFont="1" applyFill="1" applyBorder="1" applyAlignment="1" applyProtection="1">
      <alignment/>
      <protection/>
    </xf>
    <xf numFmtId="1" fontId="0" fillId="3" borderId="24" xfId="0" applyNumberFormat="1" applyFill="1" applyBorder="1" applyAlignment="1" applyProtection="1">
      <alignment horizontal="center"/>
      <protection locked="0"/>
    </xf>
    <xf numFmtId="1" fontId="0" fillId="3" borderId="37" xfId="0" applyNumberFormat="1" applyFill="1" applyBorder="1" applyAlignment="1" applyProtection="1">
      <alignment horizontal="center"/>
      <protection locked="0"/>
    </xf>
    <xf numFmtId="0" fontId="0" fillId="0" borderId="38" xfId="0" applyBorder="1" applyAlignment="1" applyProtection="1">
      <alignment/>
      <protection/>
    </xf>
    <xf numFmtId="173" fontId="57" fillId="0" borderId="38" xfId="132" applyNumberFormat="1" applyFont="1" applyFill="1" applyBorder="1" applyAlignment="1" applyProtection="1">
      <alignment/>
      <protection/>
    </xf>
    <xf numFmtId="173" fontId="48" fillId="0" borderId="38" xfId="132" applyNumberFormat="1" applyFont="1" applyFill="1" applyBorder="1" applyAlignment="1" applyProtection="1">
      <alignment vertical="center"/>
      <protection/>
    </xf>
    <xf numFmtId="173" fontId="58" fillId="0" borderId="38" xfId="132" applyNumberFormat="1" applyFont="1" applyFill="1" applyBorder="1" applyAlignment="1" applyProtection="1">
      <alignment vertical="center"/>
      <protection/>
    </xf>
    <xf numFmtId="173" fontId="48" fillId="0" borderId="38" xfId="132" applyNumberFormat="1" applyFont="1" applyFill="1" applyBorder="1" applyAlignment="1" applyProtection="1">
      <alignment horizontal="center" vertical="center"/>
      <protection/>
    </xf>
    <xf numFmtId="173" fontId="48" fillId="13" borderId="39" xfId="132" applyNumberFormat="1" applyFont="1" applyFill="1" applyBorder="1" applyAlignment="1" applyProtection="1">
      <alignment horizontal="center" vertical="center"/>
      <protection/>
    </xf>
    <xf numFmtId="173" fontId="48" fillId="0" borderId="40" xfId="132" applyNumberFormat="1" applyFont="1" applyFill="1" applyBorder="1" applyAlignment="1" applyProtection="1">
      <alignment vertical="center"/>
      <protection/>
    </xf>
    <xf numFmtId="173" fontId="48" fillId="0" borderId="0" xfId="132" applyNumberFormat="1" applyFont="1" applyFill="1" applyBorder="1" applyAlignment="1" applyProtection="1">
      <alignment horizontal="center" vertical="center"/>
      <protection locked="0"/>
    </xf>
    <xf numFmtId="173" fontId="57" fillId="0" borderId="0" xfId="132" applyNumberFormat="1" applyFont="1" applyFill="1" applyBorder="1" applyAlignment="1" applyProtection="1">
      <alignment/>
      <protection/>
    </xf>
    <xf numFmtId="173" fontId="48" fillId="0" borderId="0" xfId="132" applyNumberFormat="1" applyFont="1" applyFill="1" applyBorder="1" applyAlignment="1" applyProtection="1">
      <alignment vertical="center"/>
      <protection/>
    </xf>
    <xf numFmtId="173"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41" xfId="0" applyNumberFormat="1" applyFont="1" applyBorder="1" applyAlignment="1" applyProtection="1">
      <alignment horizontal="center"/>
      <protection/>
    </xf>
    <xf numFmtId="173" fontId="18" fillId="0" borderId="41" xfId="0" applyNumberFormat="1" applyFont="1" applyBorder="1" applyAlignment="1" applyProtection="1">
      <alignment horizontal="center" wrapText="1"/>
      <protection/>
    </xf>
    <xf numFmtId="173" fontId="18" fillId="0" borderId="42"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73" fontId="0" fillId="0" borderId="43" xfId="0" applyNumberFormat="1" applyFont="1" applyBorder="1" applyAlignment="1" applyProtection="1">
      <alignment horizontal="left"/>
      <protection/>
    </xf>
    <xf numFmtId="1" fontId="55" fillId="13" borderId="15" xfId="0" applyNumberFormat="1" applyFont="1" applyFill="1" applyBorder="1" applyAlignment="1" applyProtection="1">
      <alignment horizontal="center"/>
      <protection locked="0"/>
    </xf>
    <xf numFmtId="1" fontId="55" fillId="2" borderId="44"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45" xfId="0" applyNumberFormat="1" applyFont="1" applyBorder="1" applyAlignment="1" applyProtection="1">
      <alignment horizontal="left"/>
      <protection/>
    </xf>
    <xf numFmtId="1" fontId="55" fillId="13" borderId="46" xfId="0" applyNumberFormat="1" applyFont="1" applyFill="1" applyBorder="1" applyAlignment="1" applyProtection="1">
      <alignment horizontal="center"/>
      <protection locked="0"/>
    </xf>
    <xf numFmtId="1" fontId="55" fillId="2" borderId="47" xfId="0" applyNumberFormat="1" applyFont="1" applyFill="1" applyBorder="1" applyAlignment="1" applyProtection="1">
      <alignment horizontal="center"/>
      <protection/>
    </xf>
    <xf numFmtId="0" fontId="0" fillId="0" borderId="48" xfId="0" applyBorder="1" applyAlignment="1" applyProtection="1">
      <alignment/>
      <protection/>
    </xf>
    <xf numFmtId="173" fontId="0" fillId="0" borderId="41" xfId="0" applyNumberFormat="1" applyFont="1" applyBorder="1" applyAlignment="1" applyProtection="1">
      <alignment horizontal="center"/>
      <protection/>
    </xf>
    <xf numFmtId="173" fontId="0" fillId="0" borderId="42" xfId="0" applyNumberFormat="1" applyFont="1" applyBorder="1" applyAlignment="1" applyProtection="1">
      <alignment horizontal="center"/>
      <protection/>
    </xf>
    <xf numFmtId="0" fontId="0" fillId="13" borderId="46" xfId="0" applyNumberFormat="1" applyFill="1" applyBorder="1" applyAlignment="1" applyProtection="1">
      <alignment horizontal="center"/>
      <protection locked="0"/>
    </xf>
    <xf numFmtId="0" fontId="0" fillId="0" borderId="47"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42" xfId="0" applyNumberFormat="1" applyFont="1" applyBorder="1" applyAlignment="1" applyProtection="1">
      <alignment horizontal="center" wrapText="1"/>
      <protection/>
    </xf>
    <xf numFmtId="0" fontId="0" fillId="13" borderId="47"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9" fillId="0" borderId="41" xfId="0" applyNumberFormat="1" applyFont="1" applyBorder="1" applyAlignment="1" applyProtection="1">
      <alignment horizontal="center"/>
      <protection/>
    </xf>
    <xf numFmtId="173" fontId="49" fillId="0" borderId="42" xfId="0" applyNumberFormat="1" applyFont="1" applyBorder="1" applyAlignment="1" applyProtection="1">
      <alignment horizontal="center"/>
      <protection/>
    </xf>
    <xf numFmtId="1" fontId="0" fillId="13" borderId="15" xfId="0" applyNumberFormat="1" applyFill="1" applyBorder="1" applyAlignment="1" applyProtection="1">
      <alignment horizontal="center"/>
      <protection locked="0"/>
    </xf>
    <xf numFmtId="1" fontId="0" fillId="0" borderId="44" xfId="0" applyNumberFormat="1" applyFill="1" applyBorder="1" applyAlignment="1" applyProtection="1">
      <alignment horizontal="center"/>
      <protection/>
    </xf>
    <xf numFmtId="1" fontId="0" fillId="13" borderId="46" xfId="0" applyNumberFormat="1" applyFill="1" applyBorder="1" applyAlignment="1" applyProtection="1">
      <alignment horizontal="center"/>
      <protection locked="0"/>
    </xf>
    <xf numFmtId="0" fontId="0" fillId="0" borderId="49" xfId="0" applyBorder="1" applyAlignment="1" applyProtection="1">
      <alignment/>
      <protection/>
    </xf>
    <xf numFmtId="176" fontId="49" fillId="10" borderId="50" xfId="0" applyNumberFormat="1" applyFont="1" applyFill="1" applyBorder="1" applyAlignment="1" applyProtection="1">
      <alignment horizontal="center"/>
      <protection locked="0"/>
    </xf>
    <xf numFmtId="176" fontId="49" fillId="10" borderId="51" xfId="0" applyNumberFormat="1" applyFont="1" applyFill="1" applyBorder="1" applyAlignment="1" applyProtection="1">
      <alignment horizontal="center"/>
      <protection locked="0"/>
    </xf>
    <xf numFmtId="176" fontId="0" fillId="0" borderId="52" xfId="0" applyNumberFormat="1" applyFont="1" applyFill="1" applyBorder="1" applyAlignment="1" applyProtection="1">
      <alignment horizontal="left"/>
      <protection/>
    </xf>
    <xf numFmtId="179" fontId="0" fillId="13" borderId="53" xfId="0" applyNumberFormat="1" applyFill="1" applyBorder="1" applyAlignment="1" applyProtection="1">
      <alignment horizontal="right" wrapText="1"/>
      <protection/>
    </xf>
    <xf numFmtId="179" fontId="0" fillId="13" borderId="15" xfId="0" applyNumberFormat="1" applyFill="1" applyBorder="1" applyAlignment="1" applyProtection="1">
      <alignment horizontal="right" wrapText="1"/>
      <protection locked="0"/>
    </xf>
    <xf numFmtId="176" fontId="0" fillId="0" borderId="54" xfId="0" applyNumberFormat="1" applyFont="1" applyBorder="1" applyAlignment="1" applyProtection="1">
      <alignment horizontal="left"/>
      <protection/>
    </xf>
    <xf numFmtId="179" fontId="0" fillId="0" borderId="53" xfId="0" applyNumberFormat="1" applyBorder="1" applyAlignment="1" applyProtection="1">
      <alignment horizontal="right" wrapText="1"/>
      <protection/>
    </xf>
    <xf numFmtId="179" fontId="0" fillId="0" borderId="15" xfId="0" applyNumberFormat="1" applyBorder="1" applyAlignment="1" applyProtection="1">
      <alignment horizontal="right" wrapText="1"/>
      <protection/>
    </xf>
    <xf numFmtId="176" fontId="0" fillId="0" borderId="35" xfId="0" applyNumberFormat="1" applyFont="1" applyBorder="1" applyAlignment="1" applyProtection="1">
      <alignment horizontal="left" wrapText="1"/>
      <protection/>
    </xf>
    <xf numFmtId="179" fontId="0" fillId="0" borderId="53" xfId="83"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3"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173" fontId="60" fillId="0" borderId="55" xfId="132" applyNumberFormat="1" applyFont="1" applyFill="1" applyBorder="1" applyAlignment="1" applyProtection="1">
      <alignment/>
      <protection/>
    </xf>
    <xf numFmtId="173" fontId="61" fillId="0" borderId="55" xfId="132" applyNumberFormat="1" applyFont="1" applyFill="1" applyBorder="1" applyAlignment="1" applyProtection="1">
      <alignment/>
      <protection/>
    </xf>
    <xf numFmtId="173" fontId="48" fillId="0" borderId="55" xfId="132" applyNumberFormat="1" applyFont="1" applyFill="1" applyBorder="1" applyAlignment="1" applyProtection="1">
      <alignment vertical="center"/>
      <protection/>
    </xf>
    <xf numFmtId="173" fontId="62" fillId="0" borderId="55" xfId="132" applyNumberFormat="1" applyFont="1" applyFill="1" applyBorder="1" applyAlignment="1" applyProtection="1">
      <alignment vertical="center"/>
      <protection/>
    </xf>
    <xf numFmtId="173" fontId="5" fillId="0" borderId="55" xfId="132" applyNumberFormat="1" applyFont="1" applyFill="1" applyBorder="1" applyAlignment="1" applyProtection="1">
      <alignment vertical="center"/>
      <protection/>
    </xf>
    <xf numFmtId="0" fontId="0" fillId="0" borderId="55" xfId="0" applyFill="1" applyBorder="1" applyAlignment="1" applyProtection="1">
      <alignment/>
      <protection/>
    </xf>
    <xf numFmtId="173" fontId="61" fillId="0" borderId="55" xfId="132" applyNumberFormat="1" applyFont="1" applyFill="1" applyBorder="1" applyAlignment="1" applyProtection="1">
      <alignment vertical="center"/>
      <protection/>
    </xf>
    <xf numFmtId="0" fontId="0" fillId="0" borderId="55" xfId="0" applyBorder="1" applyAlignment="1" applyProtection="1">
      <alignment/>
      <protection/>
    </xf>
    <xf numFmtId="0" fontId="0" fillId="0" borderId="55" xfId="0" applyBorder="1" applyAlignment="1">
      <alignment/>
    </xf>
    <xf numFmtId="173" fontId="63" fillId="0" borderId="56" xfId="0" applyNumberFormat="1" applyFont="1" applyFill="1" applyBorder="1" applyAlignment="1" applyProtection="1">
      <alignment horizontal="center" vertical="center"/>
      <protection/>
    </xf>
    <xf numFmtId="173" fontId="63" fillId="0" borderId="57" xfId="0" applyNumberFormat="1" applyFont="1" applyFill="1" applyBorder="1" applyAlignment="1" applyProtection="1">
      <alignment horizontal="center" vertical="center" wrapText="1"/>
      <protection/>
    </xf>
    <xf numFmtId="0" fontId="1" fillId="0" borderId="58" xfId="0" applyFont="1" applyFill="1" applyBorder="1" applyAlignment="1" applyProtection="1">
      <alignment horizontal="center"/>
      <protection/>
    </xf>
    <xf numFmtId="176" fontId="18" fillId="10" borderId="59" xfId="0" applyNumberFormat="1" applyFont="1" applyFill="1" applyBorder="1" applyAlignment="1" applyProtection="1">
      <alignment horizontal="center"/>
      <protection locked="0"/>
    </xf>
    <xf numFmtId="173" fontId="63" fillId="0" borderId="60" xfId="0" applyNumberFormat="1" applyFont="1" applyFill="1" applyBorder="1" applyAlignment="1" applyProtection="1">
      <alignment horizontal="center" vertical="center"/>
      <protection/>
    </xf>
    <xf numFmtId="0" fontId="63" fillId="0" borderId="61" xfId="0" applyFont="1" applyFill="1" applyBorder="1" applyAlignment="1" applyProtection="1">
      <alignment horizontal="center" vertical="center"/>
      <protection/>
    </xf>
    <xf numFmtId="173" fontId="63" fillId="0" borderId="62" xfId="0" applyNumberFormat="1" applyFont="1" applyFill="1" applyBorder="1" applyAlignment="1" applyProtection="1">
      <alignment horizontal="center" vertical="center"/>
      <protection/>
    </xf>
    <xf numFmtId="173" fontId="63" fillId="0" borderId="63" xfId="0" applyNumberFormat="1" applyFont="1" applyFill="1" applyBorder="1" applyAlignment="1" applyProtection="1">
      <alignment horizontal="center" vertical="center" wrapText="1"/>
      <protection/>
    </xf>
    <xf numFmtId="0" fontId="1" fillId="0" borderId="64" xfId="0" applyFont="1" applyFill="1" applyBorder="1" applyAlignment="1" applyProtection="1">
      <alignment horizontal="center"/>
      <protection/>
    </xf>
    <xf numFmtId="179" fontId="1" fillId="12" borderId="53" xfId="0" applyNumberFormat="1" applyFont="1" applyFill="1" applyBorder="1" applyAlignment="1" applyProtection="1">
      <alignment horizontal="center" vertical="center" wrapText="1"/>
      <protection/>
    </xf>
    <xf numFmtId="186" fontId="1" fillId="12" borderId="53" xfId="0" applyNumberFormat="1" applyFont="1" applyFill="1" applyBorder="1" applyAlignment="1" applyProtection="1">
      <alignment horizontal="center" vertical="center" wrapText="1"/>
      <protection/>
    </xf>
    <xf numFmtId="0" fontId="39" fillId="0" borderId="0" xfId="0" applyFont="1" applyAlignment="1" applyProtection="1">
      <alignment/>
      <protection/>
    </xf>
    <xf numFmtId="49" fontId="0" fillId="0" borderId="0" xfId="0" applyNumberFormat="1" applyFont="1" applyAlignment="1" applyProtection="1">
      <alignment/>
      <protection/>
    </xf>
    <xf numFmtId="49" fontId="63" fillId="0" borderId="56" xfId="0" applyNumberFormat="1" applyFont="1" applyFill="1" applyBorder="1" applyAlignment="1" applyProtection="1">
      <alignment horizontal="center" vertical="center"/>
      <protection/>
    </xf>
    <xf numFmtId="49" fontId="63" fillId="0" borderId="57" xfId="0" applyNumberFormat="1" applyFont="1" applyFill="1" applyBorder="1" applyAlignment="1" applyProtection="1">
      <alignment horizontal="center" vertical="center" wrapText="1"/>
      <protection/>
    </xf>
    <xf numFmtId="49" fontId="1" fillId="2" borderId="65" xfId="0" applyNumberFormat="1" applyFont="1" applyFill="1" applyBorder="1" applyAlignment="1" applyProtection="1">
      <alignment/>
      <protection/>
    </xf>
    <xf numFmtId="179" fontId="1" fillId="0" borderId="53"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7" borderId="15" xfId="0" applyNumberFormat="1" applyFont="1" applyFill="1" applyBorder="1" applyAlignment="1" applyProtection="1">
      <alignment/>
      <protection/>
    </xf>
    <xf numFmtId="179" fontId="1" fillId="27" borderId="15" xfId="0" applyNumberFormat="1" applyFont="1" applyFill="1" applyBorder="1" applyAlignment="1" applyProtection="1">
      <alignment vertical="center"/>
      <protection/>
    </xf>
    <xf numFmtId="49" fontId="1" fillId="2" borderId="66" xfId="0" applyNumberFormat="1" applyFont="1" applyFill="1" applyBorder="1" applyAlignment="1" applyProtection="1">
      <alignment/>
      <protection/>
    </xf>
    <xf numFmtId="179" fontId="1" fillId="0" borderId="67" xfId="0" applyNumberFormat="1" applyFont="1" applyFill="1" applyBorder="1" applyAlignment="1" applyProtection="1">
      <alignment vertical="center"/>
      <protection/>
    </xf>
    <xf numFmtId="173" fontId="65" fillId="0" borderId="0" xfId="89" applyFont="1" applyFill="1" applyAlignment="1" applyProtection="1">
      <alignment vertical="center"/>
      <protection/>
    </xf>
    <xf numFmtId="0" fontId="55" fillId="0" borderId="0" xfId="0" applyFont="1" applyAlignment="1" applyProtection="1">
      <alignment/>
      <protection/>
    </xf>
    <xf numFmtId="173" fontId="66" fillId="0" borderId="0" xfId="101"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7" fillId="0" borderId="0" xfId="0" applyFont="1" applyFill="1" applyBorder="1" applyAlignment="1" applyProtection="1">
      <alignment horizontal="left"/>
      <protection/>
    </xf>
    <xf numFmtId="0" fontId="68" fillId="0" borderId="0" xfId="0" applyFont="1" applyFill="1" applyAlignment="1" applyProtection="1">
      <alignment/>
      <protection/>
    </xf>
    <xf numFmtId="0" fontId="2" fillId="0" borderId="0" xfId="0" applyFont="1" applyAlignment="1" applyProtection="1">
      <alignment/>
      <protection/>
    </xf>
    <xf numFmtId="173" fontId="69" fillId="0" borderId="0" xfId="101" applyFont="1" applyFill="1" applyAlignment="1" applyProtection="1">
      <alignment/>
      <protection/>
    </xf>
    <xf numFmtId="173" fontId="69" fillId="0" borderId="0" xfId="101" applyFont="1" applyFill="1" applyAlignment="1" applyProtection="1">
      <alignment horizontal="center"/>
      <protection/>
    </xf>
    <xf numFmtId="173" fontId="69" fillId="0" borderId="0" xfId="101" applyFont="1" applyFill="1" applyAlignment="1" applyProtection="1">
      <alignment horizontal="right"/>
      <protection/>
    </xf>
    <xf numFmtId="173" fontId="69" fillId="0" borderId="0" xfId="101" applyFont="1" applyFill="1" applyBorder="1" applyAlignment="1" applyProtection="1">
      <alignment horizontal="center"/>
      <protection/>
    </xf>
    <xf numFmtId="173" fontId="0" fillId="0" borderId="0" xfId="100"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73" fontId="0" fillId="0" borderId="68" xfId="126" applyNumberFormat="1" applyFont="1" applyFill="1" applyBorder="1" applyAlignment="1" applyProtection="1">
      <alignment horizontal="right"/>
      <protection/>
    </xf>
    <xf numFmtId="189" fontId="39" fillId="13" borderId="68" xfId="126" applyNumberFormat="1" applyFont="1" applyFill="1" applyBorder="1" applyAlignment="1" applyProtection="1">
      <alignment horizontal="center" vertical="center"/>
      <protection/>
    </xf>
    <xf numFmtId="173" fontId="66" fillId="0" borderId="68" xfId="126" applyNumberFormat="1" applyFont="1" applyFill="1" applyBorder="1" applyAlignment="1" applyProtection="1">
      <alignment horizontal="right"/>
      <protection/>
    </xf>
    <xf numFmtId="173" fontId="39" fillId="13" borderId="68" xfId="126" applyNumberFormat="1" applyFont="1" applyFill="1" applyBorder="1" applyAlignment="1" applyProtection="1">
      <alignment horizontal="center" vertical="center"/>
      <protection/>
    </xf>
    <xf numFmtId="175" fontId="39" fillId="13" borderId="68" xfId="126" applyNumberFormat="1" applyFont="1" applyFill="1" applyBorder="1" applyAlignment="1" applyProtection="1">
      <alignment horizontal="center" vertical="center"/>
      <protection/>
    </xf>
    <xf numFmtId="173" fontId="2" fillId="0" borderId="0" xfId="100" applyFont="1" applyProtection="1">
      <alignment/>
      <protection/>
    </xf>
    <xf numFmtId="191" fontId="39" fillId="13" borderId="68" xfId="126" applyNumberFormat="1" applyFont="1" applyFill="1" applyBorder="1" applyAlignment="1" applyProtection="1">
      <alignment horizontal="center"/>
      <protection/>
    </xf>
    <xf numFmtId="179" fontId="39" fillId="13" borderId="68" xfId="126" applyNumberFormat="1" applyFont="1" applyFill="1" applyBorder="1" applyAlignment="1" applyProtection="1">
      <alignment horizontal="center"/>
      <protection/>
    </xf>
    <xf numFmtId="173" fontId="39" fillId="13" borderId="68"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9" fillId="13" borderId="68" xfId="126" applyNumberFormat="1" applyFont="1" applyFill="1" applyBorder="1" applyAlignment="1" applyProtection="1">
      <alignment horizontal="center"/>
      <protection/>
    </xf>
    <xf numFmtId="0" fontId="71" fillId="0" borderId="0" xfId="0" applyFont="1" applyFill="1" applyBorder="1" applyAlignment="1" applyProtection="1">
      <alignment/>
      <protection/>
    </xf>
    <xf numFmtId="0" fontId="27" fillId="0" borderId="0" xfId="100" applyNumberFormat="1" applyFont="1" applyBorder="1" applyProtection="1">
      <alignment/>
      <protection/>
    </xf>
    <xf numFmtId="173" fontId="72" fillId="0" borderId="0" xfId="100" applyFont="1" applyProtection="1">
      <alignment/>
      <protection/>
    </xf>
    <xf numFmtId="173" fontId="2" fillId="0" borderId="0" xfId="102" applyFont="1" applyProtection="1">
      <alignment/>
      <protection/>
    </xf>
    <xf numFmtId="173" fontId="72" fillId="0" borderId="0" xfId="102" applyFont="1" applyProtection="1">
      <alignment/>
      <protection/>
    </xf>
    <xf numFmtId="173" fontId="24" fillId="0" borderId="0" xfId="89" applyFont="1" applyFill="1" applyAlignment="1">
      <alignment vertical="center"/>
      <protection/>
    </xf>
    <xf numFmtId="173" fontId="41" fillId="0" borderId="0" xfId="0" applyNumberFormat="1" applyFont="1" applyAlignment="1" applyProtection="1">
      <alignment horizontal="right"/>
      <protection/>
    </xf>
    <xf numFmtId="173"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1" fillId="0" borderId="0" xfId="0" applyFont="1" applyAlignment="1">
      <alignment/>
    </xf>
    <xf numFmtId="175" fontId="41" fillId="0" borderId="0" xfId="0" applyNumberFormat="1" applyFont="1" applyAlignment="1" applyProtection="1">
      <alignment horizontal="center"/>
      <protection/>
    </xf>
    <xf numFmtId="173" fontId="41" fillId="0" borderId="0" xfId="0" applyNumberFormat="1" applyFont="1" applyAlignment="1" applyProtection="1">
      <alignment/>
      <protection/>
    </xf>
    <xf numFmtId="177" fontId="41" fillId="0" borderId="0" xfId="83" applyNumberFormat="1" applyFont="1" applyFill="1" applyBorder="1" applyAlignment="1" applyProtection="1">
      <alignment horizontal="left"/>
      <protection/>
    </xf>
    <xf numFmtId="173" fontId="41" fillId="0" borderId="0" xfId="0" applyNumberFormat="1" applyFont="1" applyBorder="1" applyAlignment="1" applyProtection="1">
      <alignment/>
      <protection/>
    </xf>
    <xf numFmtId="0" fontId="69" fillId="0" borderId="0" xfId="0" applyFont="1" applyBorder="1" applyAlignment="1" applyProtection="1">
      <alignment horizontal="center"/>
      <protection/>
    </xf>
    <xf numFmtId="0" fontId="69" fillId="0" borderId="0" xfId="0" applyFont="1" applyAlignment="1" applyProtection="1">
      <alignment horizontal="center"/>
      <protection/>
    </xf>
    <xf numFmtId="175" fontId="41" fillId="0" borderId="0" xfId="0" applyNumberFormat="1" applyFont="1" applyAlignment="1" applyProtection="1">
      <alignment horizontal="right"/>
      <protection/>
    </xf>
    <xf numFmtId="175" fontId="41" fillId="0" borderId="0" xfId="0" applyNumberFormat="1" applyFont="1" applyAlignment="1" applyProtection="1">
      <alignment horizontal="left"/>
      <protection/>
    </xf>
    <xf numFmtId="173" fontId="74" fillId="0" borderId="0" xfId="0" applyNumberFormat="1" applyFont="1" applyBorder="1" applyAlignment="1" applyProtection="1">
      <alignment/>
      <protection/>
    </xf>
    <xf numFmtId="0" fontId="75" fillId="0" borderId="0" xfId="0" applyFont="1" applyBorder="1" applyAlignment="1" applyProtection="1">
      <alignment/>
      <protection/>
    </xf>
    <xf numFmtId="0" fontId="2" fillId="0" borderId="0" xfId="0" applyFont="1" applyAlignment="1">
      <alignment/>
    </xf>
    <xf numFmtId="173" fontId="77" fillId="0" borderId="0" xfId="0" applyNumberFormat="1" applyFont="1" applyAlignment="1" applyProtection="1">
      <alignment/>
      <protection/>
    </xf>
    <xf numFmtId="0" fontId="0" fillId="0" borderId="0" xfId="0" applyBorder="1" applyAlignment="1">
      <alignment horizontal="left" wrapText="1"/>
    </xf>
    <xf numFmtId="0" fontId="75" fillId="0" borderId="0" xfId="0" applyFont="1" applyFill="1" applyAlignment="1" applyProtection="1">
      <alignment horizontal="left"/>
      <protection locked="0"/>
    </xf>
    <xf numFmtId="0" fontId="75" fillId="0" borderId="0" xfId="0" applyFont="1" applyFill="1" applyBorder="1" applyAlignment="1" applyProtection="1">
      <alignment horizontal="left"/>
      <protection locked="0"/>
    </xf>
    <xf numFmtId="173" fontId="78" fillId="0" borderId="0" xfId="0" applyNumberFormat="1" applyFont="1" applyBorder="1" applyAlignment="1" applyProtection="1">
      <alignment vertical="center" wrapText="1"/>
      <protection/>
    </xf>
    <xf numFmtId="173" fontId="78" fillId="0" borderId="49" xfId="0" applyNumberFormat="1" applyFont="1" applyFill="1" applyBorder="1" applyAlignment="1" applyProtection="1">
      <alignment horizontal="center" wrapText="1"/>
      <protection/>
    </xf>
    <xf numFmtId="173" fontId="78" fillId="0" borderId="69" xfId="0" applyNumberFormat="1" applyFont="1" applyFill="1" applyBorder="1" applyAlignment="1" applyProtection="1">
      <alignment horizontal="center" wrapText="1"/>
      <protection/>
    </xf>
    <xf numFmtId="0" fontId="78" fillId="0" borderId="0" xfId="0" applyFont="1" applyFill="1" applyBorder="1" applyAlignment="1" applyProtection="1">
      <alignment wrapText="1"/>
      <protection/>
    </xf>
    <xf numFmtId="0" fontId="74" fillId="0" borderId="35" xfId="0" applyFont="1" applyFill="1" applyBorder="1" applyAlignment="1" applyProtection="1">
      <alignment horizontal="center"/>
      <protection/>
    </xf>
    <xf numFmtId="0" fontId="74" fillId="0" borderId="70" xfId="0" applyFont="1" applyFill="1" applyBorder="1" applyAlignment="1" applyProtection="1">
      <alignment horizontal="center"/>
      <protection/>
    </xf>
    <xf numFmtId="0" fontId="49" fillId="3" borderId="71" xfId="0" applyFont="1" applyFill="1" applyBorder="1" applyAlignment="1" applyProtection="1">
      <alignment horizontal="center"/>
      <protection/>
    </xf>
    <xf numFmtId="0" fontId="75" fillId="0" borderId="0" xfId="0" applyFont="1" applyAlignment="1" applyProtection="1">
      <alignment/>
      <protection/>
    </xf>
    <xf numFmtId="173" fontId="0" fillId="0" borderId="0" xfId="0" applyNumberFormat="1" applyAlignment="1">
      <alignment/>
    </xf>
    <xf numFmtId="173" fontId="24" fillId="0" borderId="0" xfId="99" applyFont="1" applyFill="1" applyAlignment="1">
      <alignment vertical="center"/>
      <protection/>
    </xf>
    <xf numFmtId="173" fontId="41" fillId="0" borderId="0" xfId="0" applyNumberFormat="1" applyFont="1" applyAlignment="1">
      <alignment horizontal="right"/>
    </xf>
    <xf numFmtId="173" fontId="41" fillId="0" borderId="0" xfId="0" applyNumberFormat="1" applyFont="1" applyAlignment="1">
      <alignment/>
    </xf>
    <xf numFmtId="173" fontId="77" fillId="0" borderId="0" xfId="0" applyNumberFormat="1" applyFont="1" applyAlignment="1">
      <alignment/>
    </xf>
    <xf numFmtId="0" fontId="75"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26"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5" fillId="0" borderId="0" xfId="0" applyNumberFormat="1" applyFont="1" applyFill="1" applyBorder="1" applyAlignment="1">
      <alignment horizontal="center"/>
    </xf>
    <xf numFmtId="1" fontId="67"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55" fillId="2" borderId="12" xfId="0" applyFont="1" applyFill="1" applyBorder="1" applyAlignment="1" applyProtection="1">
      <alignment/>
      <protection/>
    </xf>
    <xf numFmtId="186" fontId="0" fillId="2" borderId="15" xfId="0" applyNumberFormat="1" applyFill="1" applyBorder="1" applyAlignment="1" applyProtection="1">
      <alignment horizontal="center"/>
      <protection/>
    </xf>
    <xf numFmtId="186" fontId="0" fillId="0" borderId="15" xfId="0" applyNumberFormat="1" applyBorder="1" applyAlignment="1" applyProtection="1">
      <alignment horizontal="center"/>
      <protection/>
    </xf>
    <xf numFmtId="0" fontId="41" fillId="0" borderId="0" xfId="0" applyFont="1" applyAlignment="1" applyProtection="1">
      <alignment horizontal="center"/>
      <protection/>
    </xf>
    <xf numFmtId="173" fontId="41" fillId="0" borderId="0" xfId="0" applyNumberFormat="1" applyFont="1" applyAlignment="1" applyProtection="1">
      <alignment/>
      <protection/>
    </xf>
    <xf numFmtId="175"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9" fillId="0" borderId="0" xfId="0" applyNumberFormat="1" applyFont="1" applyAlignment="1" applyProtection="1">
      <alignment horizontal="center"/>
      <protection/>
    </xf>
    <xf numFmtId="0" fontId="75" fillId="0" borderId="15" xfId="0" applyFont="1" applyBorder="1" applyAlignment="1" applyProtection="1">
      <alignment horizontal="center" vertical="center" wrapText="1"/>
      <protection/>
    </xf>
    <xf numFmtId="9" fontId="81" fillId="14" borderId="15" xfId="110" applyFont="1" applyFill="1" applyBorder="1" applyAlignment="1" applyProtection="1">
      <alignment horizontal="center" vertical="center" wrapText="1"/>
      <protection/>
    </xf>
    <xf numFmtId="179" fontId="2" fillId="2" borderId="72" xfId="0" applyNumberFormat="1" applyFont="1" applyFill="1" applyBorder="1" applyAlignment="1">
      <alignment horizontal="right"/>
    </xf>
    <xf numFmtId="179" fontId="2" fillId="2" borderId="72" xfId="83" applyNumberFormat="1" applyFont="1" applyFill="1" applyBorder="1" applyAlignment="1" applyProtection="1">
      <alignment/>
      <protection/>
    </xf>
    <xf numFmtId="9" fontId="2" fillId="2" borderId="72" xfId="110" applyFont="1" applyFill="1" applyBorder="1" applyAlignment="1" applyProtection="1">
      <alignment/>
      <protection/>
    </xf>
    <xf numFmtId="9" fontId="2" fillId="2" borderId="72" xfId="110" applyNumberFormat="1" applyFont="1" applyFill="1" applyBorder="1" applyAlignment="1" applyProtection="1">
      <alignment/>
      <protection/>
    </xf>
    <xf numFmtId="9" fontId="2" fillId="2" borderId="72" xfId="110" applyFont="1" applyFill="1" applyBorder="1" applyAlignment="1" applyProtection="1">
      <alignment horizontal="center"/>
      <protection/>
    </xf>
    <xf numFmtId="179" fontId="2" fillId="0" borderId="0" xfId="0" applyNumberFormat="1" applyFont="1" applyAlignment="1">
      <alignment/>
    </xf>
    <xf numFmtId="179" fontId="2" fillId="2" borderId="72" xfId="0" applyNumberFormat="1" applyFont="1" applyFill="1" applyBorder="1" applyAlignment="1">
      <alignment/>
    </xf>
    <xf numFmtId="173" fontId="2" fillId="0" borderId="0" xfId="0" applyNumberFormat="1" applyFont="1" applyAlignment="1">
      <alignment/>
    </xf>
    <xf numFmtId="0" fontId="51" fillId="0" borderId="0" xfId="0" applyFont="1" applyFill="1" applyBorder="1" applyAlignment="1" applyProtection="1">
      <alignment/>
      <protection/>
    </xf>
    <xf numFmtId="0" fontId="82" fillId="0" borderId="0" xfId="0" applyFont="1" applyAlignment="1">
      <alignment/>
    </xf>
    <xf numFmtId="0" fontId="82" fillId="0" borderId="0" xfId="0" applyFont="1" applyAlignment="1">
      <alignment horizontal="right"/>
    </xf>
    <xf numFmtId="0" fontId="82" fillId="0" borderId="0" xfId="0" applyFont="1" applyAlignment="1" applyProtection="1">
      <alignment/>
      <protection/>
    </xf>
    <xf numFmtId="0" fontId="82" fillId="0" borderId="0" xfId="0" applyFont="1" applyAlignment="1" applyProtection="1">
      <alignment horizontal="right"/>
      <protection/>
    </xf>
    <xf numFmtId="173" fontId="42" fillId="0" borderId="0" xfId="99" applyFont="1" applyFill="1" applyAlignment="1">
      <alignment vertical="center"/>
      <protection/>
    </xf>
    <xf numFmtId="0" fontId="82" fillId="0" borderId="0" xfId="0" applyFont="1" applyBorder="1" applyAlignment="1" applyProtection="1">
      <alignment/>
      <protection/>
    </xf>
    <xf numFmtId="0" fontId="83" fillId="0" borderId="0" xfId="0" applyFont="1" applyBorder="1" applyAlignment="1" applyProtection="1">
      <alignment horizontal="left" vertical="center"/>
      <protection/>
    </xf>
    <xf numFmtId="0" fontId="83" fillId="0" borderId="0" xfId="0" applyFont="1" applyBorder="1" applyAlignment="1" applyProtection="1">
      <alignment horizontal="left"/>
      <protection/>
    </xf>
    <xf numFmtId="195" fontId="83" fillId="0" borderId="0" xfId="0" applyNumberFormat="1" applyFont="1" applyBorder="1" applyAlignment="1" applyProtection="1">
      <alignment horizontal="left"/>
      <protection/>
    </xf>
    <xf numFmtId="0" fontId="82" fillId="0" borderId="0" xfId="0" applyFont="1" applyBorder="1" applyAlignment="1">
      <alignment/>
    </xf>
    <xf numFmtId="0" fontId="85" fillId="0" borderId="0" xfId="0" applyFont="1" applyAlignment="1" applyProtection="1">
      <alignment/>
      <protection/>
    </xf>
    <xf numFmtId="0" fontId="88" fillId="0" borderId="0" xfId="0" applyFont="1" applyFill="1" applyBorder="1" applyAlignment="1" applyProtection="1">
      <alignment horizontal="right"/>
      <protection/>
    </xf>
    <xf numFmtId="0" fontId="85" fillId="0" borderId="0" xfId="0" applyFont="1" applyAlignment="1">
      <alignment/>
    </xf>
    <xf numFmtId="0" fontId="63" fillId="0" borderId="73" xfId="0" applyFont="1" applyFill="1" applyBorder="1" applyAlignment="1" applyProtection="1">
      <alignment horizontal="center" vertical="center" wrapText="1"/>
      <protection/>
    </xf>
    <xf numFmtId="0" fontId="89" fillId="0" borderId="74" xfId="0" applyNumberFormat="1" applyFont="1" applyFill="1" applyBorder="1" applyAlignment="1" applyProtection="1">
      <alignment horizontal="right"/>
      <protection/>
    </xf>
    <xf numFmtId="9" fontId="90" fillId="0" borderId="0" xfId="0" applyNumberFormat="1" applyFont="1" applyFill="1" applyBorder="1" applyAlignment="1" applyProtection="1">
      <alignment/>
      <protection/>
    </xf>
    <xf numFmtId="0" fontId="63" fillId="0" borderId="75" xfId="0" applyFont="1" applyFill="1" applyBorder="1" applyAlignment="1" applyProtection="1">
      <alignment horizontal="center"/>
      <protection/>
    </xf>
    <xf numFmtId="0" fontId="89" fillId="0" borderId="76" xfId="0" applyNumberFormat="1" applyFont="1" applyFill="1" applyBorder="1" applyAlignment="1" applyProtection="1">
      <alignment horizontal="right"/>
      <protection/>
    </xf>
    <xf numFmtId="0" fontId="63" fillId="0" borderId="77" xfId="0" applyFont="1" applyFill="1" applyBorder="1" applyAlignment="1" applyProtection="1">
      <alignment horizontal="center"/>
      <protection/>
    </xf>
    <xf numFmtId="0" fontId="89" fillId="0" borderId="78" xfId="0" applyNumberFormat="1" applyFont="1" applyFill="1" applyBorder="1" applyAlignment="1" applyProtection="1">
      <alignment horizontal="right"/>
      <protection/>
    </xf>
    <xf numFmtId="0" fontId="91" fillId="0" borderId="0" xfId="0" applyFont="1" applyFill="1" applyBorder="1" applyAlignment="1" applyProtection="1">
      <alignment horizontal="center"/>
      <protection/>
    </xf>
    <xf numFmtId="0" fontId="89"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0" fillId="0" borderId="0" xfId="0" applyNumberFormat="1" applyFont="1" applyFill="1" applyBorder="1" applyAlignment="1" applyProtection="1">
      <alignment horizontal="center"/>
      <protection/>
    </xf>
    <xf numFmtId="0" fontId="85" fillId="0" borderId="0" xfId="0" applyFont="1" applyFill="1" applyAlignment="1">
      <alignment/>
    </xf>
    <xf numFmtId="196" fontId="92" fillId="2" borderId="0" xfId="0" applyNumberFormat="1" applyFont="1" applyFill="1" applyBorder="1" applyAlignment="1" applyProtection="1">
      <alignment vertical="center"/>
      <protection/>
    </xf>
    <xf numFmtId="0" fontId="89"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3" fillId="2" borderId="0" xfId="0" applyFont="1" applyFill="1" applyBorder="1" applyAlignment="1" applyProtection="1">
      <alignment horizontal="center" vertical="center"/>
      <protection/>
    </xf>
    <xf numFmtId="186" fontId="92" fillId="2" borderId="0" xfId="110" applyNumberFormat="1" applyFont="1" applyFill="1" applyBorder="1" applyAlignment="1" applyProtection="1">
      <alignment horizontal="right"/>
      <protection/>
    </xf>
    <xf numFmtId="9" fontId="94" fillId="2" borderId="0" xfId="0" applyNumberFormat="1" applyFont="1" applyFill="1" applyBorder="1" applyAlignment="1" applyProtection="1">
      <alignment/>
      <protection/>
    </xf>
    <xf numFmtId="0" fontId="95" fillId="2" borderId="0" xfId="0" applyFont="1" applyFill="1" applyBorder="1" applyAlignment="1" applyProtection="1">
      <alignment horizontal="center" vertical="center"/>
      <protection/>
    </xf>
    <xf numFmtId="9" fontId="94" fillId="2" borderId="0" xfId="0" applyNumberFormat="1" applyFont="1" applyFill="1" applyBorder="1" applyAlignment="1" applyProtection="1">
      <alignment horizontal="left"/>
      <protection/>
    </xf>
    <xf numFmtId="0" fontId="75" fillId="0" borderId="0" xfId="0" applyFont="1" applyBorder="1" applyAlignment="1" applyProtection="1">
      <alignment horizontal="center" vertical="center"/>
      <protection/>
    </xf>
    <xf numFmtId="0" fontId="92" fillId="2" borderId="0" xfId="0" applyFont="1" applyFill="1" applyBorder="1" applyAlignment="1" applyProtection="1">
      <alignment horizontal="left" vertical="center"/>
      <protection/>
    </xf>
    <xf numFmtId="179" fontId="96" fillId="0" borderId="0" xfId="0" applyNumberFormat="1" applyFont="1" applyFill="1" applyBorder="1" applyAlignment="1" applyProtection="1">
      <alignment horizontal="right" vertical="center"/>
      <protection/>
    </xf>
    <xf numFmtId="0" fontId="97" fillId="2" borderId="0" xfId="0" applyFont="1" applyFill="1" applyBorder="1" applyAlignment="1" applyProtection="1">
      <alignment horizontal="left" vertical="center"/>
      <protection/>
    </xf>
    <xf numFmtId="0" fontId="63" fillId="0" borderId="79" xfId="0" applyNumberFormat="1" applyFont="1" applyFill="1" applyBorder="1" applyAlignment="1" applyProtection="1">
      <alignment horizontal="center"/>
      <protection/>
    </xf>
    <xf numFmtId="0" fontId="89" fillId="0" borderId="80" xfId="0" applyNumberFormat="1" applyFont="1" applyFill="1" applyBorder="1" applyAlignment="1" applyProtection="1">
      <alignment horizontal="right"/>
      <protection/>
    </xf>
    <xf numFmtId="9" fontId="94" fillId="0" borderId="0" xfId="0" applyNumberFormat="1" applyFont="1" applyFill="1" applyBorder="1" applyAlignment="1" applyProtection="1">
      <alignment/>
      <protection/>
    </xf>
    <xf numFmtId="0" fontId="63" fillId="0" borderId="81" xfId="0" applyNumberFormat="1" applyFont="1" applyFill="1" applyBorder="1" applyAlignment="1" applyProtection="1">
      <alignment horizontal="center"/>
      <protection/>
    </xf>
    <xf numFmtId="0" fontId="89" fillId="0" borderId="82" xfId="0" applyNumberFormat="1" applyFont="1" applyFill="1" applyBorder="1" applyAlignment="1" applyProtection="1">
      <alignment horizontal="right"/>
      <protection/>
    </xf>
    <xf numFmtId="0" fontId="82" fillId="0" borderId="0" xfId="0" applyNumberFormat="1" applyFont="1" applyBorder="1" applyAlignment="1">
      <alignment/>
    </xf>
    <xf numFmtId="0" fontId="63" fillId="0" borderId="81" xfId="0" applyNumberFormat="1" applyFont="1" applyFill="1" applyBorder="1" applyAlignment="1" applyProtection="1">
      <alignment horizontal="center" vertical="center"/>
      <protection/>
    </xf>
    <xf numFmtId="0" fontId="63" fillId="0" borderId="83" xfId="0" applyNumberFormat="1" applyFont="1" applyFill="1" applyBorder="1" applyAlignment="1" applyProtection="1">
      <alignment horizontal="center" vertical="center"/>
      <protection/>
    </xf>
    <xf numFmtId="0" fontId="89" fillId="0" borderId="84" xfId="0" applyNumberFormat="1" applyFont="1" applyFill="1" applyBorder="1" applyAlignment="1" applyProtection="1">
      <alignment horizontal="right"/>
      <protection/>
    </xf>
    <xf numFmtId="0" fontId="99" fillId="0" borderId="0" xfId="0" applyFont="1" applyFill="1" applyBorder="1" applyAlignment="1" applyProtection="1">
      <alignment/>
      <protection/>
    </xf>
    <xf numFmtId="0" fontId="100" fillId="0" borderId="0" xfId="0" applyFont="1" applyFill="1" applyBorder="1" applyAlignment="1" applyProtection="1">
      <alignment/>
      <protection/>
    </xf>
    <xf numFmtId="0" fontId="101"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center" vertical="center"/>
      <protection/>
    </xf>
    <xf numFmtId="0" fontId="102" fillId="0" borderId="0" xfId="0" applyFont="1" applyFill="1" applyBorder="1" applyAlignment="1" applyProtection="1">
      <alignment horizontal="right" vertical="center" indent="1"/>
      <protection/>
    </xf>
    <xf numFmtId="0" fontId="103" fillId="0" borderId="0" xfId="0" applyFont="1" applyFill="1" applyBorder="1" applyAlignment="1" applyProtection="1">
      <alignment horizontal="center"/>
      <protection/>
    </xf>
    <xf numFmtId="0" fontId="104" fillId="0" borderId="85" xfId="0" applyNumberFormat="1" applyFont="1" applyFill="1" applyBorder="1" applyAlignment="1" applyProtection="1">
      <alignment horizontal="center" vertical="center"/>
      <protection/>
    </xf>
    <xf numFmtId="0" fontId="75" fillId="0" borderId="86" xfId="0" applyNumberFormat="1" applyFont="1" applyFill="1" applyBorder="1" applyAlignment="1" applyProtection="1">
      <alignment vertical="center"/>
      <protection/>
    </xf>
    <xf numFmtId="0" fontId="104" fillId="0" borderId="87" xfId="0" applyNumberFormat="1" applyFont="1" applyFill="1" applyBorder="1" applyAlignment="1" applyProtection="1">
      <alignment horizontal="center" vertical="center"/>
      <protection/>
    </xf>
    <xf numFmtId="0" fontId="75" fillId="0" borderId="88" xfId="0" applyNumberFormat="1" applyFont="1" applyFill="1" applyBorder="1" applyAlignment="1" applyProtection="1">
      <alignment vertical="center"/>
      <protection/>
    </xf>
    <xf numFmtId="0" fontId="104" fillId="0" borderId="89" xfId="0" applyNumberFormat="1" applyFont="1" applyFill="1" applyBorder="1" applyAlignment="1" applyProtection="1">
      <alignment horizontal="center" vertical="center"/>
      <protection/>
    </xf>
    <xf numFmtId="0" fontId="75" fillId="0" borderId="90" xfId="0" applyNumberFormat="1" applyFont="1" applyFill="1" applyBorder="1" applyAlignment="1" applyProtection="1">
      <alignment vertical="center"/>
      <protection/>
    </xf>
    <xf numFmtId="0" fontId="75" fillId="0" borderId="91" xfId="0" applyNumberFormat="1" applyFont="1" applyFill="1" applyBorder="1" applyAlignment="1" applyProtection="1">
      <alignment vertical="center"/>
      <protection/>
    </xf>
    <xf numFmtId="175" fontId="0" fillId="0" borderId="0" xfId="0" applyNumberFormat="1" applyAlignment="1">
      <alignment/>
    </xf>
    <xf numFmtId="0" fontId="25" fillId="0" borderId="0" xfId="0" applyFont="1" applyAlignment="1">
      <alignment horizontal="center"/>
    </xf>
    <xf numFmtId="0" fontId="84" fillId="10" borderId="92" xfId="0" applyNumberFormat="1" applyFont="1" applyFill="1" applyBorder="1" applyAlignment="1">
      <alignment vertical="center"/>
    </xf>
    <xf numFmtId="0" fontId="84" fillId="10" borderId="92" xfId="0" applyFont="1" applyFill="1" applyBorder="1" applyAlignment="1">
      <alignment vertical="center"/>
    </xf>
    <xf numFmtId="0" fontId="18" fillId="0" borderId="0" xfId="0" applyFont="1" applyAlignment="1">
      <alignment/>
    </xf>
    <xf numFmtId="0" fontId="51" fillId="0" borderId="0" xfId="0" applyFont="1" applyAlignment="1">
      <alignment/>
    </xf>
    <xf numFmtId="0" fontId="105" fillId="0" borderId="0" xfId="106" applyNumberFormat="1" applyFont="1" applyFill="1" applyBorder="1" applyAlignment="1">
      <alignment horizontal="center" vertical="center" wrapText="1"/>
      <protection/>
    </xf>
    <xf numFmtId="0" fontId="105" fillId="8" borderId="93" xfId="106" applyNumberFormat="1" applyFont="1" applyFill="1" applyBorder="1" applyAlignment="1">
      <alignment horizontal="center" vertical="center" wrapText="1"/>
      <protection/>
    </xf>
    <xf numFmtId="0" fontId="107" fillId="0" borderId="0" xfId="0" applyNumberFormat="1" applyFont="1" applyAlignment="1">
      <alignment/>
    </xf>
    <xf numFmtId="0" fontId="107" fillId="0" borderId="0" xfId="0" applyFont="1" applyAlignment="1">
      <alignment/>
    </xf>
    <xf numFmtId="0" fontId="107" fillId="0" borderId="0" xfId="0" applyFont="1" applyAlignment="1">
      <alignment horizontal="center"/>
    </xf>
    <xf numFmtId="0" fontId="108" fillId="0" borderId="0" xfId="0" applyFont="1" applyBorder="1" applyAlignment="1">
      <alignment/>
    </xf>
    <xf numFmtId="0" fontId="109" fillId="10" borderId="92" xfId="0" applyFont="1" applyFill="1" applyBorder="1" applyAlignment="1">
      <alignment vertical="center"/>
    </xf>
    <xf numFmtId="0" fontId="50" fillId="0" borderId="0" xfId="0" applyFont="1" applyAlignment="1">
      <alignment/>
    </xf>
    <xf numFmtId="0" fontId="110" fillId="10" borderId="15" xfId="0" applyFont="1" applyFill="1" applyBorder="1" applyAlignment="1" applyProtection="1">
      <alignment horizontal="center"/>
      <protection/>
    </xf>
    <xf numFmtId="0" fontId="110"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2" fillId="0" borderId="15" xfId="0" applyFont="1" applyFill="1" applyBorder="1" applyAlignment="1" applyProtection="1">
      <alignment horizontal="center"/>
      <protection/>
    </xf>
    <xf numFmtId="0" fontId="72" fillId="0" borderId="15" xfId="0" applyFont="1" applyBorder="1" applyAlignment="1" applyProtection="1">
      <alignment horizontal="center"/>
      <protection/>
    </xf>
    <xf numFmtId="0" fontId="111" fillId="0" borderId="15" xfId="0" applyFont="1" applyBorder="1" applyAlignment="1" applyProtection="1">
      <alignment horizontal="left" indent="1"/>
      <protection/>
    </xf>
    <xf numFmtId="0" fontId="0" fillId="0" borderId="15" xfId="0" applyFont="1" applyBorder="1" applyAlignment="1">
      <alignment horizontal="center"/>
    </xf>
    <xf numFmtId="0" fontId="72" fillId="0" borderId="0" xfId="0" applyFont="1" applyFill="1" applyBorder="1" applyAlignment="1" applyProtection="1">
      <alignment/>
      <protection/>
    </xf>
    <xf numFmtId="0" fontId="72" fillId="0" borderId="15" xfId="0" applyFont="1" applyFill="1" applyBorder="1" applyAlignment="1" applyProtection="1">
      <alignment/>
      <protection/>
    </xf>
    <xf numFmtId="173" fontId="72" fillId="0" borderId="15" xfId="102" applyFont="1" applyBorder="1" applyProtection="1">
      <alignment/>
      <protection/>
    </xf>
    <xf numFmtId="0" fontId="0" fillId="0" borderId="15" xfId="0" applyFont="1" applyBorder="1" applyAlignment="1">
      <alignment/>
    </xf>
    <xf numFmtId="0" fontId="0" fillId="0" borderId="15" xfId="0" applyBorder="1" applyAlignment="1">
      <alignment/>
    </xf>
    <xf numFmtId="3" fontId="41" fillId="28" borderId="94" xfId="0" applyNumberFormat="1" applyFont="1" applyFill="1" applyBorder="1" applyAlignment="1" applyProtection="1">
      <alignment/>
      <protection locked="0"/>
    </xf>
    <xf numFmtId="3" fontId="41" fillId="28" borderId="20" xfId="0" applyNumberFormat="1" applyFont="1" applyFill="1" applyBorder="1" applyAlignment="1" applyProtection="1">
      <alignment/>
      <protection locked="0"/>
    </xf>
    <xf numFmtId="171" fontId="0" fillId="0" borderId="95" xfId="0" applyNumberFormat="1" applyBorder="1" applyAlignment="1" applyProtection="1">
      <alignment/>
      <protection/>
    </xf>
    <xf numFmtId="171" fontId="41" fillId="0" borderId="15" xfId="0" applyNumberFormat="1" applyFont="1" applyFill="1" applyBorder="1" applyAlignment="1" applyProtection="1">
      <alignment/>
      <protection/>
    </xf>
    <xf numFmtId="0" fontId="0" fillId="13" borderId="53" xfId="0" applyNumberFormat="1" applyFill="1" applyBorder="1" applyAlignment="1" applyProtection="1">
      <alignment horizontal="center" vertical="center"/>
      <protection/>
    </xf>
    <xf numFmtId="185" fontId="0" fillId="13" borderId="53" xfId="0" applyNumberFormat="1" applyFill="1" applyBorder="1" applyAlignment="1" applyProtection="1">
      <alignment horizontal="center" vertical="center"/>
      <protection/>
    </xf>
    <xf numFmtId="3" fontId="0" fillId="13" borderId="53"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96" xfId="0" applyNumberFormat="1" applyFont="1" applyFill="1" applyBorder="1" applyAlignment="1" applyProtection="1">
      <alignment horizontal="center"/>
      <protection locked="0"/>
    </xf>
    <xf numFmtId="179" fontId="1" fillId="12" borderId="97" xfId="0" applyNumberFormat="1" applyFont="1" applyFill="1" applyBorder="1" applyAlignment="1" applyProtection="1">
      <alignment horizontal="center" vertical="center" wrapText="1"/>
      <protection/>
    </xf>
    <xf numFmtId="187" fontId="1" fillId="12" borderId="97" xfId="0" applyNumberFormat="1" applyFont="1" applyFill="1" applyBorder="1" applyAlignment="1" applyProtection="1">
      <alignment horizontal="center" vertical="center" wrapText="1"/>
      <protection/>
    </xf>
    <xf numFmtId="179" fontId="1" fillId="12"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vertical="center"/>
      <protection locked="0"/>
    </xf>
    <xf numFmtId="179" fontId="1" fillId="29" borderId="97" xfId="0" applyNumberFormat="1" applyFont="1" applyFill="1" applyBorder="1" applyAlignment="1" applyProtection="1">
      <alignment horizontal="right" vertical="center"/>
      <protection locked="0"/>
    </xf>
    <xf numFmtId="188" fontId="1" fillId="12" borderId="97" xfId="0" applyNumberFormat="1" applyFont="1" applyFill="1" applyBorder="1" applyAlignment="1" applyProtection="1">
      <alignment horizontal="center" vertical="center" wrapText="1"/>
      <protection/>
    </xf>
    <xf numFmtId="185" fontId="1" fillId="12" borderId="97" xfId="0" applyNumberFormat="1" applyFont="1" applyFill="1" applyBorder="1" applyAlignment="1" applyProtection="1">
      <alignment horizontal="center" vertical="center" wrapText="1"/>
      <protection/>
    </xf>
    <xf numFmtId="49" fontId="1" fillId="0" borderId="97" xfId="0" applyNumberFormat="1" applyFont="1" applyFill="1" applyBorder="1" applyAlignment="1" applyProtection="1">
      <alignment horizontal="left"/>
      <protection/>
    </xf>
    <xf numFmtId="49" fontId="1" fillId="30" borderId="97" xfId="0" applyNumberFormat="1" applyFont="1" applyFill="1" applyBorder="1" applyAlignment="1" applyProtection="1">
      <alignment horizontal="left"/>
      <protection/>
    </xf>
    <xf numFmtId="4" fontId="1" fillId="31" borderId="97" xfId="0" applyNumberFormat="1" applyFont="1" applyFill="1" applyBorder="1" applyAlignment="1" applyProtection="1">
      <alignment horizontal="center" vertical="center" wrapText="1"/>
      <protection/>
    </xf>
    <xf numFmtId="3" fontId="1" fillId="31" borderId="97" xfId="0" applyNumberFormat="1" applyFont="1" applyFill="1" applyBorder="1" applyAlignment="1" applyProtection="1">
      <alignment horizontal="center" vertical="center" wrapText="1"/>
      <protection/>
    </xf>
    <xf numFmtId="3" fontId="1" fillId="32" borderId="97" xfId="0" applyNumberFormat="1" applyFont="1" applyFill="1" applyBorder="1" applyAlignment="1" applyProtection="1">
      <alignment horizontal="center" vertical="center" wrapText="1"/>
      <protection/>
    </xf>
    <xf numFmtId="185" fontId="41" fillId="0" borderId="15" xfId="0" applyNumberFormat="1" applyFont="1" applyBorder="1" applyAlignment="1" applyProtection="1">
      <alignment horizontal="center" vertical="center" wrapText="1"/>
      <protection/>
    </xf>
    <xf numFmtId="173" fontId="74" fillId="12" borderId="0" xfId="0" applyNumberFormat="1" applyFont="1" applyFill="1" applyAlignment="1" applyProtection="1">
      <alignment horizontal="left" vertical="top"/>
      <protection locked="0"/>
    </xf>
    <xf numFmtId="0" fontId="77" fillId="12" borderId="0" xfId="0" applyNumberFormat="1" applyFont="1" applyFill="1" applyAlignment="1" applyProtection="1">
      <alignment horizontal="left" vertical="center"/>
      <protection locked="0"/>
    </xf>
    <xf numFmtId="1" fontId="49" fillId="3" borderId="71" xfId="0" applyNumberFormat="1" applyFont="1" applyFill="1" applyBorder="1" applyAlignment="1" applyProtection="1">
      <alignment horizontal="center"/>
      <protection/>
    </xf>
    <xf numFmtId="204" fontId="41" fillId="0" borderId="15" xfId="0" applyNumberFormat="1" applyFont="1" applyBorder="1" applyAlignment="1" applyProtection="1">
      <alignment horizontal="center" vertical="center" wrapText="1"/>
      <protection/>
    </xf>
    <xf numFmtId="0" fontId="77" fillId="12" borderId="0" xfId="0" applyNumberFormat="1" applyFont="1" applyFill="1" applyBorder="1" applyAlignment="1" applyProtection="1">
      <alignment horizontal="left" vertical="center"/>
      <protection locked="0"/>
    </xf>
    <xf numFmtId="0" fontId="114" fillId="12" borderId="0" xfId="0" applyNumberFormat="1" applyFont="1" applyFill="1" applyBorder="1" applyAlignment="1" applyProtection="1">
      <alignment horizontal="left" vertical="center"/>
      <protection locked="0"/>
    </xf>
    <xf numFmtId="179" fontId="2" fillId="2" borderId="98" xfId="0" applyNumberFormat="1" applyFont="1" applyFill="1" applyBorder="1" applyAlignment="1">
      <alignment horizontal="right"/>
    </xf>
    <xf numFmtId="0" fontId="2" fillId="2" borderId="98" xfId="0" applyFont="1" applyFill="1" applyBorder="1" applyAlignment="1">
      <alignment/>
    </xf>
    <xf numFmtId="0" fontId="113" fillId="0" borderId="97" xfId="0" applyFont="1" applyBorder="1" applyAlignment="1">
      <alignment wrapText="1"/>
    </xf>
    <xf numFmtId="0" fontId="0" fillId="0" borderId="99" xfId="0" applyBorder="1" applyAlignment="1">
      <alignment vertical="center" wrapText="1"/>
    </xf>
    <xf numFmtId="0" fontId="0" fillId="0" borderId="97" xfId="0" applyBorder="1" applyAlignment="1">
      <alignment/>
    </xf>
    <xf numFmtId="0" fontId="0" fillId="0" borderId="97" xfId="0" applyBorder="1" applyAlignment="1">
      <alignment wrapText="1"/>
    </xf>
    <xf numFmtId="0" fontId="0" fillId="0" borderId="97" xfId="0" applyFill="1" applyBorder="1" applyAlignment="1">
      <alignment wrapText="1"/>
    </xf>
    <xf numFmtId="170" fontId="1" fillId="0" borderId="0" xfId="86" applyFill="1" applyBorder="1" applyAlignment="1" applyProtection="1">
      <alignment horizontal="center"/>
      <protection/>
    </xf>
    <xf numFmtId="203" fontId="0" fillId="0" borderId="0" xfId="0" applyNumberFormat="1" applyAlignment="1" applyProtection="1">
      <alignment/>
      <protection/>
    </xf>
    <xf numFmtId="0" fontId="55" fillId="0" borderId="0" xfId="0" applyFont="1" applyFill="1" applyBorder="1" applyAlignment="1" applyProtection="1">
      <alignment horizontal="center" wrapText="1"/>
      <protection/>
    </xf>
    <xf numFmtId="2" fontId="0" fillId="0" borderId="0" xfId="0" applyNumberFormat="1" applyBorder="1" applyAlignment="1" applyProtection="1">
      <alignment/>
      <protection/>
    </xf>
    <xf numFmtId="1" fontId="0" fillId="0" borderId="0" xfId="0" applyNumberFormat="1" applyFill="1" applyBorder="1" applyAlignment="1">
      <alignment/>
    </xf>
    <xf numFmtId="0" fontId="0" fillId="13" borderId="100" xfId="0" applyNumberFormat="1" applyFill="1" applyBorder="1" applyAlignment="1" applyProtection="1">
      <alignment horizontal="center" vertical="center"/>
      <protection/>
    </xf>
    <xf numFmtId="0" fontId="0" fillId="13" borderId="101" xfId="0" applyNumberFormat="1" applyFill="1" applyBorder="1" applyAlignment="1" applyProtection="1">
      <alignment horizontal="center" vertical="center"/>
      <protection/>
    </xf>
    <xf numFmtId="173" fontId="0" fillId="13" borderId="97" xfId="0" applyNumberFormat="1" applyFont="1" applyFill="1" applyBorder="1" applyAlignment="1" applyProtection="1">
      <alignment wrapText="1"/>
      <protection locked="0"/>
    </xf>
    <xf numFmtId="173" fontId="0" fillId="13" borderId="97" xfId="0" applyNumberFormat="1" applyFont="1" applyFill="1" applyBorder="1" applyAlignment="1" applyProtection="1">
      <alignment/>
      <protection locked="0"/>
    </xf>
    <xf numFmtId="49" fontId="0" fillId="13" borderId="97" xfId="0" applyNumberFormat="1" applyFont="1" applyFill="1" applyBorder="1" applyAlignment="1" applyProtection="1">
      <alignment horizontal="left" wrapText="1"/>
      <protection locked="0"/>
    </xf>
    <xf numFmtId="49" fontId="0" fillId="13" borderId="97" xfId="0" applyNumberFormat="1" applyFont="1" applyFill="1" applyBorder="1" applyAlignment="1" applyProtection="1">
      <alignment horizontal="left" wrapText="1"/>
      <protection/>
    </xf>
    <xf numFmtId="173" fontId="0" fillId="0" borderId="102" xfId="0" applyNumberFormat="1" applyFont="1" applyFill="1" applyBorder="1" applyAlignment="1" applyProtection="1">
      <alignment horizontal="left"/>
      <protection/>
    </xf>
    <xf numFmtId="173" fontId="0" fillId="0" borderId="103" xfId="0" applyNumberFormat="1" applyFont="1" applyFill="1" applyBorder="1" applyAlignment="1" applyProtection="1">
      <alignment horizontal="center" wrapText="1"/>
      <protection/>
    </xf>
    <xf numFmtId="173" fontId="41" fillId="0" borderId="104" xfId="0" applyNumberFormat="1" applyFont="1" applyBorder="1" applyAlignment="1">
      <alignment horizontal="center" wrapText="1"/>
    </xf>
    <xf numFmtId="173" fontId="0" fillId="0" borderId="104" xfId="0" applyNumberFormat="1" applyFont="1" applyBorder="1" applyAlignment="1">
      <alignment horizontal="center" wrapText="1"/>
    </xf>
    <xf numFmtId="173" fontId="0" fillId="0" borderId="105" xfId="0" applyNumberFormat="1" applyFont="1" applyFill="1" applyBorder="1" applyAlignment="1" applyProtection="1">
      <alignment horizontal="center" wrapText="1"/>
      <protection/>
    </xf>
    <xf numFmtId="186" fontId="0" fillId="0" borderId="106" xfId="0" applyNumberFormat="1" applyFill="1" applyBorder="1" applyAlignment="1" applyProtection="1">
      <alignment horizontal="center" vertical="center"/>
      <protection/>
    </xf>
    <xf numFmtId="49" fontId="0" fillId="13" borderId="107" xfId="0" applyNumberFormat="1" applyFont="1" applyFill="1" applyBorder="1" applyAlignment="1" applyProtection="1">
      <alignment horizontal="left" wrapText="1"/>
      <protection/>
    </xf>
    <xf numFmtId="0" fontId="0" fillId="13" borderId="108" xfId="0" applyNumberFormat="1" applyFill="1" applyBorder="1" applyAlignment="1" applyProtection="1">
      <alignment horizontal="center" vertical="center"/>
      <protection/>
    </xf>
    <xf numFmtId="0" fontId="55" fillId="2" borderId="109" xfId="0" applyFont="1" applyFill="1" applyBorder="1" applyAlignment="1" applyProtection="1">
      <alignment/>
      <protection/>
    </xf>
    <xf numFmtId="0" fontId="41" fillId="0" borderId="110" xfId="0" applyFont="1" applyFill="1" applyBorder="1" applyAlignment="1" applyProtection="1">
      <alignment horizontal="center" vertical="center" wrapText="1"/>
      <protection/>
    </xf>
    <xf numFmtId="0" fontId="41" fillId="0" borderId="111" xfId="0" applyFont="1" applyFill="1" applyBorder="1" applyAlignment="1" applyProtection="1">
      <alignment horizontal="center" vertical="center" wrapText="1"/>
      <protection/>
    </xf>
    <xf numFmtId="0" fontId="75" fillId="0" borderId="112" xfId="0" applyFont="1" applyFill="1" applyBorder="1" applyAlignment="1" applyProtection="1">
      <alignment horizontal="center" vertical="center" wrapText="1"/>
      <protection/>
    </xf>
    <xf numFmtId="0" fontId="41" fillId="0" borderId="112" xfId="0" applyNumberFormat="1" applyFont="1" applyFill="1" applyBorder="1" applyAlignment="1" applyProtection="1">
      <alignment horizontal="center" vertical="center" wrapText="1"/>
      <protection/>
    </xf>
    <xf numFmtId="0" fontId="75" fillId="0" borderId="113" xfId="0" applyNumberFormat="1" applyFont="1" applyFill="1" applyBorder="1" applyAlignment="1" applyProtection="1">
      <alignment horizontal="center" vertical="center" wrapText="1"/>
      <protection/>
    </xf>
    <xf numFmtId="0" fontId="55" fillId="2" borderId="114" xfId="0" applyFont="1" applyFill="1" applyBorder="1" applyAlignment="1" applyProtection="1">
      <alignment/>
      <protection/>
    </xf>
    <xf numFmtId="186" fontId="2" fillId="33" borderId="115" xfId="0" applyNumberFormat="1" applyFont="1" applyFill="1" applyBorder="1" applyAlignment="1" applyProtection="1">
      <alignment horizontal="center"/>
      <protection/>
    </xf>
    <xf numFmtId="0" fontId="55" fillId="2" borderId="116" xfId="0" applyFont="1" applyFill="1" applyBorder="1" applyAlignment="1" applyProtection="1">
      <alignment/>
      <protection/>
    </xf>
    <xf numFmtId="185" fontId="0" fillId="13" borderId="117" xfId="0" applyNumberFormat="1" applyFill="1" applyBorder="1" applyAlignment="1" applyProtection="1">
      <alignment horizontal="center" vertical="center"/>
      <protection/>
    </xf>
    <xf numFmtId="1" fontId="0" fillId="0" borderId="116" xfId="0" applyNumberFormat="1" applyFill="1" applyBorder="1" applyAlignment="1" applyProtection="1">
      <alignment horizontal="center" vertical="center"/>
      <protection/>
    </xf>
    <xf numFmtId="173" fontId="14" fillId="0" borderId="0" xfId="0" applyNumberFormat="1" applyFont="1" applyFill="1" applyBorder="1" applyAlignment="1" applyProtection="1">
      <alignment/>
      <protection/>
    </xf>
    <xf numFmtId="173" fontId="55" fillId="0" borderId="0" xfId="0" applyNumberFormat="1" applyFont="1" applyFill="1" applyBorder="1" applyAlignment="1" applyProtection="1">
      <alignment/>
      <protection/>
    </xf>
    <xf numFmtId="183" fontId="55" fillId="3" borderId="97" xfId="83" applyNumberFormat="1" applyFont="1" applyFill="1" applyBorder="1" applyAlignment="1" applyProtection="1">
      <alignment/>
      <protection locked="0"/>
    </xf>
    <xf numFmtId="183" fontId="55" fillId="3" borderId="97" xfId="83" applyNumberFormat="1" applyFont="1" applyFill="1" applyBorder="1" applyAlignment="1" applyProtection="1">
      <alignment horizontal="center" vertical="center"/>
      <protection locked="0"/>
    </xf>
    <xf numFmtId="0" fontId="50" fillId="0" borderId="118" xfId="0" applyFont="1" applyBorder="1" applyAlignment="1" applyProtection="1">
      <alignment vertical="distributed" wrapText="1"/>
      <protection/>
    </xf>
    <xf numFmtId="173" fontId="52" fillId="0" borderId="119" xfId="0" applyNumberFormat="1" applyFont="1" applyFill="1" applyBorder="1" applyAlignment="1" applyProtection="1">
      <alignment horizontal="center" vertical="center" wrapText="1"/>
      <protection/>
    </xf>
    <xf numFmtId="175" fontId="52" fillId="0" borderId="120" xfId="0" applyNumberFormat="1" applyFont="1" applyFill="1" applyBorder="1" applyAlignment="1" applyProtection="1">
      <alignment horizontal="center" vertical="center" wrapText="1"/>
      <protection/>
    </xf>
    <xf numFmtId="173" fontId="14" fillId="0" borderId="121" xfId="0" applyNumberFormat="1" applyFont="1" applyBorder="1" applyAlignment="1" applyProtection="1">
      <alignment/>
      <protection/>
    </xf>
    <xf numFmtId="179" fontId="14" fillId="0" borderId="122" xfId="83" applyNumberFormat="1" applyFont="1" applyFill="1" applyBorder="1" applyAlignment="1" applyProtection="1">
      <alignment/>
      <protection/>
    </xf>
    <xf numFmtId="173" fontId="14" fillId="0" borderId="123" xfId="0" applyNumberFormat="1" applyFont="1" applyBorder="1" applyAlignment="1" applyProtection="1">
      <alignment/>
      <protection/>
    </xf>
    <xf numFmtId="183" fontId="55" fillId="3" borderId="124" xfId="83" applyNumberFormat="1" applyFont="1" applyFill="1" applyBorder="1" applyAlignment="1" applyProtection="1">
      <alignment/>
      <protection locked="0"/>
    </xf>
    <xf numFmtId="183" fontId="55" fillId="3" borderId="124" xfId="83" applyNumberFormat="1" applyFont="1" applyFill="1" applyBorder="1" applyAlignment="1" applyProtection="1">
      <alignment horizontal="center" vertical="center"/>
      <protection locked="0"/>
    </xf>
    <xf numFmtId="179" fontId="14" fillId="0" borderId="125" xfId="83" applyNumberFormat="1" applyFont="1" applyFill="1" applyBorder="1" applyAlignment="1" applyProtection="1">
      <alignment/>
      <protection/>
    </xf>
    <xf numFmtId="2" fontId="0" fillId="0" borderId="15" xfId="0" applyNumberFormat="1" applyFill="1" applyBorder="1" applyAlignment="1" applyProtection="1">
      <alignment horizontal="center" vertical="center"/>
      <protection/>
    </xf>
    <xf numFmtId="173" fontId="23" fillId="34" borderId="0" xfId="98" applyFont="1" applyFill="1" applyBorder="1" applyAlignment="1">
      <alignment horizontal="center" vertical="center"/>
      <protection/>
    </xf>
    <xf numFmtId="173" fontId="25" fillId="0" borderId="0" xfId="0" applyNumberFormat="1" applyFont="1" applyBorder="1" applyAlignment="1">
      <alignment horizontal="center"/>
    </xf>
    <xf numFmtId="173" fontId="33" fillId="0" borderId="15" xfId="0" applyNumberFormat="1" applyFont="1" applyBorder="1" applyAlignment="1">
      <alignment horizontal="justify" vertical="center" wrapText="1"/>
    </xf>
    <xf numFmtId="9" fontId="34" fillId="0" borderId="15" xfId="110"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173" fontId="23" fillId="26" borderId="0" xfId="97" applyFont="1" applyFill="1" applyBorder="1" applyAlignment="1" applyProtection="1">
      <alignment horizontal="center" vertical="center"/>
      <protection/>
    </xf>
    <xf numFmtId="0" fontId="31" fillId="0" borderId="0" xfId="0" applyNumberFormat="1" applyFont="1" applyBorder="1" applyAlignment="1">
      <alignment horizontal="center"/>
    </xf>
    <xf numFmtId="0" fontId="32" fillId="3" borderId="15" xfId="0" applyNumberFormat="1" applyFont="1" applyFill="1" applyBorder="1" applyAlignment="1">
      <alignment horizontal="center"/>
    </xf>
    <xf numFmtId="173" fontId="33" fillId="0" borderId="15" xfId="0" applyNumberFormat="1" applyFont="1" applyBorder="1" applyAlignment="1">
      <alignment horizontal="left" vertical="center" wrapText="1"/>
    </xf>
    <xf numFmtId="0" fontId="34" fillId="0" borderId="15" xfId="0" applyFont="1" applyBorder="1" applyAlignment="1">
      <alignment horizontal="justify" vertical="center" wrapText="1"/>
    </xf>
    <xf numFmtId="0" fontId="30" fillId="0" borderId="15" xfId="0" applyFont="1" applyBorder="1" applyAlignment="1">
      <alignment horizontal="left" vertical="center" wrapText="1"/>
    </xf>
    <xf numFmtId="0" fontId="30" fillId="0" borderId="15" xfId="0" applyNumberFormat="1" applyFont="1" applyBorder="1" applyAlignment="1">
      <alignment horizontal="left" vertical="center" wrapText="1"/>
    </xf>
    <xf numFmtId="0" fontId="0" fillId="0" borderId="126" xfId="0" applyBorder="1" applyAlignment="1">
      <alignment horizontal="center"/>
    </xf>
    <xf numFmtId="0" fontId="0" fillId="0" borderId="126"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32" fillId="13" borderId="15" xfId="0" applyNumberFormat="1" applyFont="1" applyFill="1" applyBorder="1" applyAlignment="1">
      <alignment horizontal="center"/>
    </xf>
    <xf numFmtId="0" fontId="30" fillId="0" borderId="15" xfId="0" applyNumberFormat="1" applyFont="1" applyBorder="1" applyAlignment="1">
      <alignment horizontal="justify" vertical="center" wrapText="1"/>
    </xf>
    <xf numFmtId="0" fontId="30" fillId="0" borderId="15" xfId="0" applyFont="1" applyBorder="1" applyAlignment="1">
      <alignment horizontal="justify" vertical="center" wrapText="1"/>
    </xf>
    <xf numFmtId="0" fontId="37" fillId="0" borderId="64"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0" fontId="30" fillId="0" borderId="127" xfId="0" applyFont="1" applyBorder="1" applyAlignment="1">
      <alignment horizontal="justify" wrapText="1"/>
    </xf>
    <xf numFmtId="0" fontId="34" fillId="0" borderId="64" xfId="0" applyFont="1" applyBorder="1" applyAlignment="1">
      <alignment horizontal="justify" vertical="center" wrapText="1"/>
    </xf>
    <xf numFmtId="0" fontId="34" fillId="0" borderId="15" xfId="0" applyFont="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0" fontId="34" fillId="2" borderId="15" xfId="0" applyFont="1" applyFill="1" applyBorder="1" applyAlignment="1" applyProtection="1">
      <alignment vertical="center" wrapText="1"/>
      <protection locked="0"/>
    </xf>
    <xf numFmtId="0" fontId="34" fillId="12" borderId="15" xfId="0" applyFont="1" applyFill="1" applyBorder="1" applyAlignment="1">
      <alignment vertical="center" wrapText="1"/>
    </xf>
    <xf numFmtId="0" fontId="40"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33" fillId="0" borderId="15" xfId="0" applyFont="1" applyBorder="1" applyAlignment="1" applyProtection="1">
      <alignment vertical="center" wrapText="1"/>
      <protection locked="0"/>
    </xf>
    <xf numFmtId="49" fontId="0" fillId="0" borderId="15" xfId="0" applyNumberFormat="1" applyFont="1" applyBorder="1" applyAlignment="1" applyProtection="1">
      <alignment horizontal="center"/>
      <protection locked="0"/>
    </xf>
    <xf numFmtId="173" fontId="0" fillId="0" borderId="15" xfId="0" applyNumberFormat="1" applyFont="1" applyBorder="1" applyAlignment="1" applyProtection="1">
      <alignment horizontal="center"/>
      <protection locked="0"/>
    </xf>
    <xf numFmtId="173" fontId="2" fillId="22"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49" fontId="0" fillId="0" borderId="53" xfId="0" applyNumberFormat="1" applyFont="1" applyBorder="1" applyAlignment="1" applyProtection="1">
      <alignment horizontal="center"/>
      <protection locked="0"/>
    </xf>
    <xf numFmtId="173" fontId="42" fillId="26" borderId="0" xfId="89" applyFont="1" applyFill="1" applyBorder="1" applyAlignment="1" applyProtection="1">
      <alignment horizontal="center" vertical="center"/>
      <protection/>
    </xf>
    <xf numFmtId="173" fontId="44" fillId="0" borderId="0" xfId="0" applyNumberFormat="1" applyFont="1" applyBorder="1" applyAlignment="1" applyProtection="1">
      <alignment horizontal="right"/>
      <protection/>
    </xf>
    <xf numFmtId="49" fontId="41" fillId="0" borderId="53" xfId="0" applyNumberFormat="1" applyFont="1" applyBorder="1" applyAlignment="1" applyProtection="1">
      <alignment horizontal="center" wrapText="1"/>
      <protection locked="0"/>
    </xf>
    <xf numFmtId="175" fontId="0" fillId="0" borderId="15" xfId="126" applyNumberFormat="1" applyFont="1" applyFill="1" applyBorder="1" applyAlignment="1" applyProtection="1">
      <alignment horizontal="center"/>
      <protection locked="0"/>
    </xf>
    <xf numFmtId="173" fontId="44" fillId="0" borderId="128" xfId="0" applyNumberFormat="1" applyFont="1" applyBorder="1" applyAlignment="1" applyProtection="1">
      <alignment horizontal="right"/>
      <protection/>
    </xf>
    <xf numFmtId="174" fontId="0" fillId="0" borderId="53" xfId="0" applyNumberFormat="1" applyBorder="1" applyAlignment="1" applyProtection="1">
      <alignment horizontal="center"/>
      <protection locked="0"/>
    </xf>
    <xf numFmtId="0" fontId="0" fillId="12" borderId="15" xfId="0" applyFill="1" applyBorder="1" applyAlignment="1" applyProtection="1">
      <alignment horizontal="center"/>
      <protection/>
    </xf>
    <xf numFmtId="173" fontId="45" fillId="0" borderId="128" xfId="0" applyNumberFormat="1" applyFont="1" applyBorder="1" applyAlignment="1" applyProtection="1">
      <alignment horizontal="right"/>
      <protection/>
    </xf>
    <xf numFmtId="173" fontId="44" fillId="0" borderId="129" xfId="0" applyNumberFormat="1" applyFont="1" applyBorder="1" applyAlignment="1" applyProtection="1">
      <alignment horizontal="right"/>
      <protection/>
    </xf>
    <xf numFmtId="49" fontId="18" fillId="0" borderId="15" xfId="0" applyNumberFormat="1" applyFont="1" applyBorder="1" applyAlignment="1" applyProtection="1">
      <alignment horizontal="center"/>
      <protection locked="0"/>
    </xf>
    <xf numFmtId="0" fontId="0" fillId="0" borderId="130" xfId="0" applyBorder="1" applyAlignment="1" applyProtection="1">
      <alignment horizontal="center"/>
      <protection/>
    </xf>
    <xf numFmtId="173" fontId="0" fillId="0" borderId="43" xfId="0" applyNumberFormat="1" applyFont="1" applyBorder="1" applyAlignment="1" applyProtection="1">
      <alignment horizontal="left"/>
      <protection/>
    </xf>
    <xf numFmtId="173" fontId="0" fillId="0" borderId="45" xfId="0" applyNumberFormat="1" applyFont="1" applyBorder="1" applyAlignment="1" applyProtection="1">
      <alignment horizontal="left"/>
      <protection/>
    </xf>
    <xf numFmtId="173" fontId="28" fillId="0" borderId="131" xfId="0" applyNumberFormat="1" applyFont="1" applyBorder="1" applyAlignment="1" applyProtection="1">
      <alignment horizontal="right"/>
      <protection/>
    </xf>
    <xf numFmtId="173" fontId="18" fillId="0" borderId="132" xfId="0" applyNumberFormat="1" applyFont="1" applyBorder="1" applyAlignment="1" applyProtection="1">
      <alignment horizontal="center"/>
      <protection/>
    </xf>
    <xf numFmtId="0" fontId="0" fillId="24" borderId="133" xfId="0" applyFill="1" applyBorder="1" applyAlignment="1" applyProtection="1">
      <alignment horizontal="center"/>
      <protection/>
    </xf>
    <xf numFmtId="173" fontId="51" fillId="0" borderId="134" xfId="0" applyNumberFormat="1" applyFont="1" applyBorder="1" applyAlignment="1" applyProtection="1">
      <alignment horizontal="center" wrapText="1"/>
      <protection/>
    </xf>
    <xf numFmtId="173" fontId="63" fillId="0" borderId="56" xfId="0" applyNumberFormat="1" applyFont="1" applyFill="1" applyBorder="1" applyAlignment="1" applyProtection="1">
      <alignment horizontal="center" vertical="center"/>
      <protection/>
    </xf>
    <xf numFmtId="3" fontId="55" fillId="13" borderId="127" xfId="0" applyNumberFormat="1" applyFont="1" applyFill="1" applyBorder="1" applyAlignment="1" applyProtection="1">
      <alignment horizontal="center" vertical="center"/>
      <protection/>
    </xf>
    <xf numFmtId="3" fontId="55" fillId="13" borderId="128" xfId="0" applyNumberFormat="1" applyFont="1" applyFill="1" applyBorder="1" applyAlignment="1" applyProtection="1">
      <alignment horizontal="center" vertical="center"/>
      <protection/>
    </xf>
    <xf numFmtId="3" fontId="55" fillId="13" borderId="135" xfId="0" applyNumberFormat="1" applyFont="1" applyFill="1" applyBorder="1" applyAlignment="1" applyProtection="1">
      <alignment horizontal="center" vertical="center"/>
      <protection/>
    </xf>
    <xf numFmtId="2" fontId="0" fillId="0" borderId="127" xfId="0" applyNumberFormat="1" applyFill="1" applyBorder="1" applyAlignment="1" applyProtection="1">
      <alignment horizontal="center" vertical="center"/>
      <protection/>
    </xf>
    <xf numFmtId="2" fontId="0" fillId="0" borderId="128" xfId="0" applyNumberFormat="1" applyFill="1" applyBorder="1" applyAlignment="1" applyProtection="1">
      <alignment horizontal="center" vertical="center"/>
      <protection/>
    </xf>
    <xf numFmtId="2" fontId="0" fillId="0" borderId="64" xfId="0" applyNumberFormat="1" applyFill="1" applyBorder="1" applyAlignment="1" applyProtection="1">
      <alignment horizontal="center" vertical="center"/>
      <protection/>
    </xf>
    <xf numFmtId="0" fontId="0" fillId="13" borderId="127" xfId="0" applyNumberFormat="1" applyFill="1" applyBorder="1" applyAlignment="1" applyProtection="1">
      <alignment horizontal="center" vertical="center"/>
      <protection/>
    </xf>
    <xf numFmtId="0" fontId="0" fillId="13" borderId="128" xfId="0" applyNumberFormat="1" applyFill="1" applyBorder="1" applyAlignment="1" applyProtection="1">
      <alignment horizontal="center" vertical="center"/>
      <protection/>
    </xf>
    <xf numFmtId="0" fontId="0" fillId="13" borderId="135" xfId="0" applyNumberFormat="1" applyFill="1" applyBorder="1" applyAlignment="1" applyProtection="1">
      <alignment horizontal="center" vertical="center"/>
      <protection/>
    </xf>
    <xf numFmtId="186" fontId="0" fillId="0" borderId="136" xfId="0" applyNumberFormat="1" applyFill="1" applyBorder="1" applyAlignment="1" applyProtection="1">
      <alignment horizontal="center" vertical="center"/>
      <protection/>
    </xf>
    <xf numFmtId="186" fontId="0" fillId="0" borderId="137" xfId="0" applyNumberFormat="1" applyFill="1" applyBorder="1" applyAlignment="1" applyProtection="1">
      <alignment horizontal="center" vertical="center"/>
      <protection/>
    </xf>
    <xf numFmtId="186" fontId="0" fillId="0" borderId="138" xfId="0" applyNumberFormat="1" applyFill="1" applyBorder="1" applyAlignment="1" applyProtection="1">
      <alignment horizontal="center" vertical="center"/>
      <protection/>
    </xf>
    <xf numFmtId="176" fontId="0" fillId="10" borderId="96" xfId="0" applyNumberFormat="1" applyFont="1" applyFill="1" applyBorder="1" applyAlignment="1" applyProtection="1">
      <alignment horizontal="center" vertical="center" textRotation="90"/>
      <protection/>
    </xf>
    <xf numFmtId="49" fontId="1" fillId="31" borderId="139" xfId="0" applyNumberFormat="1" applyFont="1" applyFill="1" applyBorder="1" applyAlignment="1" applyProtection="1">
      <alignment horizontal="left" vertical="center" wrapText="1"/>
      <protection/>
    </xf>
    <xf numFmtId="49" fontId="1" fillId="31" borderId="140" xfId="0" applyNumberFormat="1" applyFont="1" applyFill="1" applyBorder="1" applyAlignment="1" applyProtection="1">
      <alignment horizontal="left" vertical="center" wrapText="1"/>
      <protection/>
    </xf>
    <xf numFmtId="49" fontId="1" fillId="31" borderId="141" xfId="0" applyNumberFormat="1" applyFont="1" applyFill="1" applyBorder="1" applyAlignment="1" applyProtection="1">
      <alignment horizontal="left" vertical="center" wrapText="1"/>
      <protection/>
    </xf>
    <xf numFmtId="49" fontId="1" fillId="31" borderId="142" xfId="0" applyNumberFormat="1" applyFont="1" applyFill="1" applyBorder="1" applyAlignment="1" applyProtection="1">
      <alignment horizontal="left" vertical="center" wrapText="1"/>
      <protection/>
    </xf>
    <xf numFmtId="49" fontId="1" fillId="31" borderId="143" xfId="0" applyNumberFormat="1" applyFont="1" applyFill="1" applyBorder="1" applyAlignment="1" applyProtection="1">
      <alignment horizontal="left" vertical="center" wrapText="1"/>
      <protection/>
    </xf>
    <xf numFmtId="49" fontId="1" fillId="31" borderId="144" xfId="0" applyNumberFormat="1" applyFont="1" applyFill="1" applyBorder="1" applyAlignment="1" applyProtection="1">
      <alignment horizontal="left" vertical="center" wrapText="1"/>
      <protection/>
    </xf>
    <xf numFmtId="0" fontId="1" fillId="31" borderId="145" xfId="0" applyNumberFormat="1" applyFont="1" applyFill="1" applyBorder="1" applyAlignment="1" applyProtection="1">
      <alignment horizontal="center" vertical="center" wrapText="1"/>
      <protection/>
    </xf>
    <xf numFmtId="0" fontId="1" fillId="31" borderId="146" xfId="0" applyNumberFormat="1" applyFont="1" applyFill="1" applyBorder="1" applyAlignment="1" applyProtection="1">
      <alignment horizontal="center" vertical="center" wrapText="1"/>
      <protection/>
    </xf>
    <xf numFmtId="49" fontId="1" fillId="31" borderId="147" xfId="0" applyNumberFormat="1" applyFont="1" applyFill="1" applyBorder="1" applyAlignment="1" applyProtection="1">
      <alignment horizontal="center" vertical="center" wrapText="1"/>
      <protection/>
    </xf>
    <xf numFmtId="49" fontId="1" fillId="31" borderId="148" xfId="0" applyNumberFormat="1" applyFont="1" applyFill="1" applyBorder="1" applyAlignment="1" applyProtection="1">
      <alignment horizontal="center" vertical="center" wrapText="1"/>
      <protection/>
    </xf>
    <xf numFmtId="49" fontId="1" fillId="35" borderId="139" xfId="0" applyNumberFormat="1" applyFont="1" applyFill="1" applyBorder="1" applyAlignment="1" applyProtection="1">
      <alignment horizontal="left" vertical="center" wrapText="1"/>
      <protection/>
    </xf>
    <xf numFmtId="49" fontId="1" fillId="35" borderId="140" xfId="0" applyNumberFormat="1" applyFont="1" applyFill="1" applyBorder="1" applyAlignment="1" applyProtection="1">
      <alignment horizontal="left" vertical="center" wrapText="1"/>
      <protection/>
    </xf>
    <xf numFmtId="49" fontId="1" fillId="35" borderId="141" xfId="0" applyNumberFormat="1" applyFont="1" applyFill="1" applyBorder="1" applyAlignment="1" applyProtection="1">
      <alignment horizontal="left" vertical="center" wrapText="1"/>
      <protection/>
    </xf>
    <xf numFmtId="49" fontId="1" fillId="35" borderId="142" xfId="0" applyNumberFormat="1" applyFont="1" applyFill="1" applyBorder="1" applyAlignment="1" applyProtection="1">
      <alignment horizontal="left" vertical="center" wrapText="1"/>
      <protection/>
    </xf>
    <xf numFmtId="49" fontId="1" fillId="35" borderId="143" xfId="0" applyNumberFormat="1" applyFont="1" applyFill="1" applyBorder="1" applyAlignment="1" applyProtection="1">
      <alignment horizontal="left" vertical="center" wrapText="1"/>
      <protection/>
    </xf>
    <xf numFmtId="49" fontId="1" fillId="35" borderId="144" xfId="0" applyNumberFormat="1" applyFont="1" applyFill="1" applyBorder="1" applyAlignment="1" applyProtection="1">
      <alignment horizontal="left" vertical="center" wrapText="1"/>
      <protection/>
    </xf>
    <xf numFmtId="0" fontId="1" fillId="31" borderId="139" xfId="0" applyNumberFormat="1" applyFont="1" applyFill="1" applyBorder="1" applyAlignment="1" applyProtection="1">
      <alignment horizontal="left" vertical="center" wrapText="1"/>
      <protection/>
    </xf>
    <xf numFmtId="0" fontId="1" fillId="31" borderId="140" xfId="0" applyNumberFormat="1" applyFont="1" applyFill="1" applyBorder="1" applyAlignment="1" applyProtection="1">
      <alignment horizontal="left" vertical="center" wrapText="1"/>
      <protection/>
    </xf>
    <xf numFmtId="0" fontId="1" fillId="31" borderId="141" xfId="0" applyNumberFormat="1" applyFont="1" applyFill="1" applyBorder="1" applyAlignment="1" applyProtection="1">
      <alignment horizontal="left" vertical="center" wrapText="1"/>
      <protection/>
    </xf>
    <xf numFmtId="0" fontId="1" fillId="31" borderId="142" xfId="0" applyNumberFormat="1" applyFont="1" applyFill="1" applyBorder="1" applyAlignment="1" applyProtection="1">
      <alignment horizontal="left" vertical="center" wrapText="1"/>
      <protection/>
    </xf>
    <xf numFmtId="0" fontId="1" fillId="31" borderId="143" xfId="0" applyNumberFormat="1" applyFont="1" applyFill="1" applyBorder="1" applyAlignment="1" applyProtection="1">
      <alignment horizontal="left" vertical="center" wrapText="1"/>
      <protection/>
    </xf>
    <xf numFmtId="0" fontId="1" fillId="31" borderId="144" xfId="0" applyNumberFormat="1" applyFont="1" applyFill="1" applyBorder="1" applyAlignment="1" applyProtection="1">
      <alignment horizontal="left" vertical="center" wrapText="1"/>
      <protection/>
    </xf>
    <xf numFmtId="0" fontId="1" fillId="35" borderId="139" xfId="0" applyNumberFormat="1" applyFont="1" applyFill="1" applyBorder="1" applyAlignment="1" applyProtection="1">
      <alignment horizontal="left" vertical="center" wrapText="1"/>
      <protection/>
    </xf>
    <xf numFmtId="0" fontId="1" fillId="35" borderId="140" xfId="0" applyNumberFormat="1" applyFont="1" applyFill="1" applyBorder="1" applyAlignment="1" applyProtection="1">
      <alignment horizontal="left" vertical="center" wrapText="1"/>
      <protection/>
    </xf>
    <xf numFmtId="0" fontId="1" fillId="35" borderId="141" xfId="0" applyNumberFormat="1" applyFont="1" applyFill="1" applyBorder="1" applyAlignment="1" applyProtection="1">
      <alignment horizontal="left" vertical="center" wrapText="1"/>
      <protection/>
    </xf>
    <xf numFmtId="0" fontId="1" fillId="35" borderId="142" xfId="0" applyNumberFormat="1" applyFont="1" applyFill="1" applyBorder="1" applyAlignment="1" applyProtection="1">
      <alignment horizontal="left" vertical="center" wrapText="1"/>
      <protection/>
    </xf>
    <xf numFmtId="0" fontId="1" fillId="35" borderId="143" xfId="0" applyNumberFormat="1" applyFont="1" applyFill="1" applyBorder="1" applyAlignment="1" applyProtection="1">
      <alignment horizontal="left" vertical="center" wrapText="1"/>
      <protection/>
    </xf>
    <xf numFmtId="0" fontId="1" fillId="35" borderId="144" xfId="0" applyNumberFormat="1" applyFont="1" applyFill="1" applyBorder="1" applyAlignment="1" applyProtection="1">
      <alignment horizontal="left" vertical="center" wrapText="1"/>
      <protection/>
    </xf>
    <xf numFmtId="49" fontId="1" fillId="36" borderId="139" xfId="0" applyNumberFormat="1" applyFont="1" applyFill="1" applyBorder="1" applyAlignment="1" applyProtection="1">
      <alignment horizontal="left" vertical="center" wrapText="1"/>
      <protection/>
    </xf>
    <xf numFmtId="49" fontId="1" fillId="36" borderId="140" xfId="0" applyNumberFormat="1" applyFont="1" applyFill="1" applyBorder="1" applyAlignment="1" applyProtection="1">
      <alignment horizontal="left" vertical="center" wrapText="1"/>
      <protection/>
    </xf>
    <xf numFmtId="49" fontId="1" fillId="36" borderId="141" xfId="0" applyNumberFormat="1" applyFont="1" applyFill="1" applyBorder="1" applyAlignment="1" applyProtection="1">
      <alignment horizontal="left" vertical="center" wrapText="1"/>
      <protection/>
    </xf>
    <xf numFmtId="49" fontId="1" fillId="36" borderId="142" xfId="0" applyNumberFormat="1" applyFont="1" applyFill="1" applyBorder="1" applyAlignment="1" applyProtection="1">
      <alignment horizontal="left" vertical="center" wrapText="1"/>
      <protection/>
    </xf>
    <xf numFmtId="49" fontId="1" fillId="36" borderId="143" xfId="0" applyNumberFormat="1" applyFont="1" applyFill="1" applyBorder="1" applyAlignment="1" applyProtection="1">
      <alignment horizontal="left" vertical="center" wrapText="1"/>
      <protection/>
    </xf>
    <xf numFmtId="49" fontId="1" fillId="36" borderId="144" xfId="0" applyNumberFormat="1" applyFont="1" applyFill="1" applyBorder="1" applyAlignment="1" applyProtection="1">
      <alignment horizontal="left" vertical="center" wrapText="1"/>
      <protection/>
    </xf>
    <xf numFmtId="0" fontId="1" fillId="27" borderId="149" xfId="0" applyFont="1" applyFill="1" applyBorder="1" applyAlignment="1" applyProtection="1">
      <alignment horizontal="center" vertical="center" wrapText="1"/>
      <protection/>
    </xf>
    <xf numFmtId="0" fontId="1" fillId="27" borderId="150" xfId="0" applyFont="1" applyFill="1" applyBorder="1" applyAlignment="1" applyProtection="1">
      <alignment horizontal="center" vertical="center" wrapText="1"/>
      <protection/>
    </xf>
    <xf numFmtId="186" fontId="0" fillId="0" borderId="151" xfId="0" applyNumberFormat="1" applyFill="1" applyBorder="1" applyAlignment="1" applyProtection="1">
      <alignment horizontal="center" vertical="center"/>
      <protection/>
    </xf>
    <xf numFmtId="0" fontId="1" fillId="0" borderId="152" xfId="0" applyFont="1" applyFill="1" applyBorder="1" applyAlignment="1" applyProtection="1">
      <alignment horizontal="left" vertical="center" wrapText="1"/>
      <protection/>
    </xf>
    <xf numFmtId="0" fontId="1" fillId="0" borderId="149" xfId="0" applyFont="1" applyFill="1" applyBorder="1" applyAlignment="1" applyProtection="1">
      <alignment horizontal="center" vertical="center" wrapText="1"/>
      <protection/>
    </xf>
    <xf numFmtId="0" fontId="1" fillId="0" borderId="150" xfId="0" applyFont="1" applyFill="1" applyBorder="1" applyAlignment="1" applyProtection="1">
      <alignment horizontal="center" vertical="center" wrapText="1"/>
      <protection/>
    </xf>
    <xf numFmtId="0" fontId="1" fillId="0" borderId="153" xfId="0" applyFont="1" applyFill="1" applyBorder="1" applyAlignment="1" applyProtection="1">
      <alignment horizontal="left" vertical="center" wrapText="1"/>
      <protection/>
    </xf>
    <xf numFmtId="0" fontId="1" fillId="27" borderId="152" xfId="0" applyFont="1" applyFill="1" applyBorder="1" applyAlignment="1" applyProtection="1">
      <alignment horizontal="left" vertical="center" wrapText="1"/>
      <protection/>
    </xf>
    <xf numFmtId="0" fontId="0" fillId="0" borderId="0" xfId="0" applyAlignment="1" applyProtection="1">
      <alignment horizontal="left" wrapText="1"/>
      <protection/>
    </xf>
    <xf numFmtId="3" fontId="0" fillId="13" borderId="154" xfId="0" applyNumberFormat="1" applyFill="1" applyBorder="1" applyAlignment="1" applyProtection="1">
      <alignment horizontal="center" vertical="center"/>
      <protection/>
    </xf>
    <xf numFmtId="3" fontId="0" fillId="13" borderId="128" xfId="0" applyNumberFormat="1" applyFill="1" applyBorder="1" applyAlignment="1" applyProtection="1">
      <alignment horizontal="center" vertical="center"/>
      <protection/>
    </xf>
    <xf numFmtId="3" fontId="0" fillId="13" borderId="155" xfId="0" applyNumberFormat="1" applyFill="1" applyBorder="1" applyAlignment="1" applyProtection="1">
      <alignment horizontal="center" vertical="center"/>
      <protection/>
    </xf>
    <xf numFmtId="2" fontId="0" fillId="0" borderId="155" xfId="0" applyNumberFormat="1" applyFill="1" applyBorder="1" applyAlignment="1" applyProtection="1">
      <alignment horizontal="center" vertical="center"/>
      <protection/>
    </xf>
    <xf numFmtId="3" fontId="0" fillId="13" borderId="135" xfId="0" applyNumberFormat="1" applyFill="1" applyBorder="1" applyAlignment="1" applyProtection="1">
      <alignment horizontal="center" vertical="center"/>
      <protection/>
    </xf>
    <xf numFmtId="0" fontId="0" fillId="13" borderId="154" xfId="0" applyNumberFormat="1" applyFill="1" applyBorder="1" applyAlignment="1" applyProtection="1">
      <alignment horizontal="center" vertical="center"/>
      <protection/>
    </xf>
    <xf numFmtId="0" fontId="0" fillId="13" borderId="155" xfId="0" applyNumberFormat="1" applyFill="1" applyBorder="1" applyAlignment="1" applyProtection="1">
      <alignment horizontal="center" vertical="center"/>
      <protection/>
    </xf>
    <xf numFmtId="173" fontId="0" fillId="0" borderId="156" xfId="0" applyNumberFormat="1" applyFont="1" applyFill="1" applyBorder="1" applyAlignment="1" applyProtection="1">
      <alignment horizontal="left" vertical="center"/>
      <protection locked="0"/>
    </xf>
    <xf numFmtId="173" fontId="0" fillId="0" borderId="157" xfId="0" applyNumberFormat="1" applyFont="1" applyFill="1" applyBorder="1" applyAlignment="1" applyProtection="1">
      <alignment horizontal="left" vertical="center"/>
      <protection locked="0"/>
    </xf>
    <xf numFmtId="173" fontId="0" fillId="0" borderId="68" xfId="126" applyNumberFormat="1" applyFont="1" applyFill="1" applyBorder="1" applyAlignment="1" applyProtection="1">
      <alignment horizontal="right"/>
      <protection/>
    </xf>
    <xf numFmtId="190" fontId="39" fillId="13" borderId="68" xfId="126" applyNumberFormat="1" applyFont="1" applyFill="1" applyBorder="1" applyAlignment="1" applyProtection="1">
      <alignment horizontal="center" vertical="center"/>
      <protection/>
    </xf>
    <xf numFmtId="173" fontId="39" fillId="13" borderId="68" xfId="126" applyNumberFormat="1" applyFont="1" applyFill="1" applyBorder="1" applyAlignment="1" applyProtection="1">
      <alignment horizontal="center"/>
      <protection/>
    </xf>
    <xf numFmtId="173" fontId="23" fillId="26" borderId="0" xfId="89" applyFont="1" applyFill="1" applyBorder="1" applyAlignment="1" applyProtection="1">
      <alignment horizontal="center" vertical="center"/>
      <protection/>
    </xf>
    <xf numFmtId="173" fontId="25" fillId="13" borderId="0" xfId="101" applyFont="1" applyFill="1" applyBorder="1" applyAlignment="1" applyProtection="1">
      <alignment horizontal="center" vertical="center" wrapText="1"/>
      <protection/>
    </xf>
    <xf numFmtId="173" fontId="66" fillId="0" borderId="0" xfId="101" applyFont="1" applyFill="1" applyBorder="1" applyAlignment="1" applyProtection="1">
      <alignment horizontal="right" vertical="center"/>
      <protection/>
    </xf>
    <xf numFmtId="173" fontId="39" fillId="13" borderId="0" xfId="101" applyFont="1" applyFill="1" applyBorder="1" applyAlignment="1" applyProtection="1">
      <alignment horizontal="center" vertical="center" wrapText="1"/>
      <protection/>
    </xf>
    <xf numFmtId="175" fontId="39" fillId="13" borderId="68" xfId="126" applyNumberFormat="1" applyFont="1" applyFill="1" applyBorder="1" applyAlignment="1" applyProtection="1">
      <alignment horizontal="center"/>
      <protection/>
    </xf>
    <xf numFmtId="173" fontId="70" fillId="34" borderId="68" xfId="126" applyNumberFormat="1" applyFont="1" applyFill="1" applyBorder="1" applyAlignment="1" applyProtection="1">
      <alignment horizontal="center"/>
      <protection/>
    </xf>
    <xf numFmtId="173" fontId="2" fillId="34" borderId="0" xfId="126"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1"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1" fillId="0" borderId="0" xfId="0" applyNumberFormat="1" applyFont="1" applyBorder="1" applyAlignment="1" applyProtection="1">
      <alignment horizontal="left"/>
      <protection/>
    </xf>
    <xf numFmtId="0" fontId="79" fillId="0" borderId="158" xfId="0" applyFont="1" applyFill="1" applyBorder="1" applyAlignment="1" applyProtection="1">
      <alignment horizontal="left" wrapText="1"/>
      <protection/>
    </xf>
    <xf numFmtId="0" fontId="79" fillId="0" borderId="159" xfId="0" applyFont="1" applyFill="1" applyBorder="1" applyAlignment="1" applyProtection="1">
      <alignment horizontal="left" wrapText="1"/>
      <protection/>
    </xf>
    <xf numFmtId="173" fontId="78" fillId="0" borderId="160" xfId="0" applyNumberFormat="1" applyFont="1" applyBorder="1" applyAlignment="1" applyProtection="1">
      <alignment horizontal="center" vertical="center" wrapText="1"/>
      <protection/>
    </xf>
    <xf numFmtId="173" fontId="78" fillId="0" borderId="161" xfId="0" applyNumberFormat="1" applyFont="1" applyBorder="1" applyAlignment="1" applyProtection="1">
      <alignment horizontal="center" vertical="center" wrapText="1"/>
      <protection/>
    </xf>
    <xf numFmtId="173" fontId="78" fillId="0" borderId="162" xfId="0" applyNumberFormat="1" applyFont="1" applyBorder="1" applyAlignment="1" applyProtection="1">
      <alignment horizontal="center" vertical="center" wrapText="1"/>
      <protection/>
    </xf>
    <xf numFmtId="0" fontId="0" fillId="0" borderId="163" xfId="0" applyBorder="1" applyAlignment="1" applyProtection="1">
      <alignment horizontal="center"/>
      <protection/>
    </xf>
    <xf numFmtId="0" fontId="0" fillId="0" borderId="164" xfId="0" applyBorder="1" applyAlignment="1" applyProtection="1">
      <alignment horizontal="center"/>
      <protection/>
    </xf>
    <xf numFmtId="0" fontId="79" fillId="0" borderId="165" xfId="0" applyFont="1" applyFill="1" applyBorder="1" applyAlignment="1" applyProtection="1">
      <alignment horizontal="left" wrapText="1"/>
      <protection/>
    </xf>
    <xf numFmtId="0" fontId="79" fillId="0" borderId="166" xfId="0" applyFont="1" applyFill="1" applyBorder="1" applyAlignment="1" applyProtection="1">
      <alignment horizontal="left" wrapText="1"/>
      <protection/>
    </xf>
    <xf numFmtId="0" fontId="73" fillId="0" borderId="0" xfId="0" applyFont="1" applyBorder="1" applyAlignment="1" applyProtection="1">
      <alignment horizontal="center"/>
      <protection/>
    </xf>
    <xf numFmtId="0" fontId="113" fillId="12" borderId="53" xfId="0" applyFont="1" applyFill="1" applyBorder="1" applyAlignment="1" applyProtection="1">
      <alignment horizontal="left" vertical="center" wrapText="1"/>
      <protection locked="0"/>
    </xf>
    <xf numFmtId="0" fontId="112" fillId="12" borderId="12" xfId="0" applyFont="1" applyFill="1" applyBorder="1" applyAlignment="1" applyProtection="1">
      <alignment horizontal="left" vertical="center" wrapText="1"/>
      <protection locked="0"/>
    </xf>
    <xf numFmtId="0" fontId="112" fillId="12" borderId="13" xfId="0" applyFont="1" applyFill="1" applyBorder="1" applyAlignment="1" applyProtection="1">
      <alignment horizontal="left" vertical="center" wrapText="1"/>
      <protection locked="0"/>
    </xf>
    <xf numFmtId="0" fontId="112" fillId="12" borderId="14" xfId="0" applyFont="1" applyFill="1" applyBorder="1" applyAlignment="1" applyProtection="1">
      <alignment horizontal="left" vertical="center" wrapText="1"/>
      <protection locked="0"/>
    </xf>
    <xf numFmtId="0" fontId="112" fillId="12" borderId="15" xfId="0" applyFont="1" applyFill="1" applyBorder="1" applyAlignment="1" applyProtection="1">
      <alignment horizontal="left" wrapText="1"/>
      <protection locked="0"/>
    </xf>
    <xf numFmtId="173" fontId="42" fillId="26" borderId="0" xfId="99" applyFont="1" applyFill="1" applyBorder="1" applyAlignment="1">
      <alignment horizontal="center" vertical="center"/>
      <protection/>
    </xf>
    <xf numFmtId="173" fontId="41" fillId="0" borderId="0" xfId="0" applyNumberFormat="1" applyFont="1" applyBorder="1" applyAlignment="1">
      <alignment horizontal="left"/>
    </xf>
    <xf numFmtId="173" fontId="18" fillId="0" borderId="0" xfId="0" applyNumberFormat="1" applyFont="1" applyBorder="1" applyAlignment="1">
      <alignment horizontal="center"/>
    </xf>
    <xf numFmtId="173" fontId="41" fillId="0" borderId="0" xfId="0" applyNumberFormat="1" applyFont="1" applyBorder="1" applyAlignment="1">
      <alignment horizontal="right"/>
    </xf>
    <xf numFmtId="0" fontId="73" fillId="0" borderId="0" xfId="0" applyFont="1" applyBorder="1" applyAlignment="1">
      <alignment horizontal="center"/>
    </xf>
    <xf numFmtId="0" fontId="75" fillId="12" borderId="53" xfId="0" applyFont="1" applyFill="1" applyBorder="1" applyAlignment="1" applyProtection="1">
      <alignment horizontal="left" wrapText="1"/>
      <protection locked="0"/>
    </xf>
    <xf numFmtId="0" fontId="75" fillId="12" borderId="15" xfId="0" applyFont="1" applyFill="1" applyBorder="1" applyAlignment="1" applyProtection="1">
      <alignment horizontal="left" wrapText="1"/>
      <protection locked="0"/>
    </xf>
    <xf numFmtId="0" fontId="18" fillId="0" borderId="0" xfId="0" applyFont="1" applyBorder="1" applyAlignment="1">
      <alignment horizontal="center"/>
    </xf>
    <xf numFmtId="0" fontId="76" fillId="12" borderId="12" xfId="0" applyFont="1" applyFill="1" applyBorder="1" applyAlignment="1" applyProtection="1">
      <alignment horizontal="left" vertical="center" wrapText="1"/>
      <protection locked="0"/>
    </xf>
    <xf numFmtId="0" fontId="76" fillId="12" borderId="13" xfId="0" applyFont="1" applyFill="1" applyBorder="1" applyAlignment="1" applyProtection="1">
      <alignment horizontal="left" vertical="center" wrapText="1"/>
      <protection locked="0"/>
    </xf>
    <xf numFmtId="0" fontId="76" fillId="12" borderId="14" xfId="0" applyFont="1" applyFill="1" applyBorder="1" applyAlignment="1" applyProtection="1">
      <alignment horizontal="left" vertical="center" wrapText="1"/>
      <protection locked="0"/>
    </xf>
    <xf numFmtId="0" fontId="75" fillId="12" borderId="12"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75" fillId="12" borderId="14" xfId="0" applyFont="1" applyFill="1" applyBorder="1" applyAlignment="1" applyProtection="1">
      <alignment horizontal="left" vertical="center" wrapText="1"/>
      <protection locked="0"/>
    </xf>
    <xf numFmtId="0" fontId="0" fillId="0" borderId="167" xfId="0" applyFill="1" applyBorder="1" applyAlignment="1" applyProtection="1">
      <alignment horizontal="center" vertical="center" wrapText="1"/>
      <protection/>
    </xf>
    <xf numFmtId="0" fontId="0" fillId="0" borderId="168" xfId="0" applyFill="1" applyBorder="1" applyAlignment="1" applyProtection="1">
      <alignment horizontal="center" vertical="center" wrapText="1"/>
      <protection/>
    </xf>
    <xf numFmtId="0" fontId="0" fillId="0" borderId="168" xfId="0" applyBorder="1" applyAlignment="1">
      <alignment wrapText="1"/>
    </xf>
    <xf numFmtId="0" fontId="0" fillId="0" borderId="169" xfId="0" applyBorder="1" applyAlignment="1">
      <alignment wrapText="1"/>
    </xf>
    <xf numFmtId="186" fontId="0" fillId="2" borderId="103" xfId="0" applyNumberFormat="1" applyFill="1" applyBorder="1" applyAlignment="1" applyProtection="1">
      <alignment horizontal="center" vertical="center"/>
      <protection/>
    </xf>
    <xf numFmtId="186" fontId="0" fillId="2" borderId="128" xfId="0" applyNumberFormat="1" applyFill="1" applyBorder="1" applyAlignment="1" applyProtection="1">
      <alignment horizontal="center" vertical="center"/>
      <protection/>
    </xf>
    <xf numFmtId="186" fontId="0" fillId="2" borderId="64" xfId="0" applyNumberFormat="1" applyFill="1" applyBorder="1" applyAlignment="1" applyProtection="1">
      <alignment horizontal="center" vertical="center"/>
      <protection/>
    </xf>
    <xf numFmtId="186" fontId="0" fillId="2" borderId="127" xfId="0" applyNumberFormat="1" applyFill="1" applyBorder="1" applyAlignment="1" applyProtection="1">
      <alignment horizontal="center" vertical="center"/>
      <protection/>
    </xf>
    <xf numFmtId="186" fontId="0" fillId="0" borderId="127" xfId="0" applyNumberFormat="1" applyBorder="1" applyAlignment="1" applyProtection="1">
      <alignment horizontal="center" vertical="center"/>
      <protection/>
    </xf>
    <xf numFmtId="186" fontId="0" fillId="0" borderId="128" xfId="0" applyNumberFormat="1" applyBorder="1" applyAlignment="1" applyProtection="1">
      <alignment horizontal="center" vertical="center"/>
      <protection/>
    </xf>
    <xf numFmtId="186" fontId="0" fillId="0" borderId="64" xfId="0" applyNumberFormat="1" applyBorder="1" applyAlignment="1" applyProtection="1">
      <alignment horizontal="center" vertical="center"/>
      <protection/>
    </xf>
    <xf numFmtId="186" fontId="0" fillId="2" borderId="155" xfId="0" applyNumberFormat="1" applyFill="1" applyBorder="1" applyAlignment="1" applyProtection="1">
      <alignment horizontal="center" vertical="center"/>
      <protection/>
    </xf>
    <xf numFmtId="186" fontId="0" fillId="0" borderId="103" xfId="0" applyNumberFormat="1" applyBorder="1" applyAlignment="1" applyProtection="1">
      <alignment horizontal="center" vertical="center"/>
      <protection/>
    </xf>
    <xf numFmtId="186" fontId="0" fillId="0" borderId="155" xfId="0" applyNumberFormat="1" applyBorder="1" applyAlignment="1" applyProtection="1">
      <alignment horizontal="center" vertical="center"/>
      <protection/>
    </xf>
    <xf numFmtId="0" fontId="80" fillId="0" borderId="0" xfId="0" applyFont="1" applyBorder="1" applyAlignment="1">
      <alignment horizontal="center" wrapText="1"/>
    </xf>
    <xf numFmtId="186" fontId="2" fillId="33" borderId="170" xfId="0" applyNumberFormat="1" applyFont="1" applyFill="1" applyBorder="1" applyAlignment="1" applyProtection="1">
      <alignment horizontal="center" vertical="center"/>
      <protection/>
    </xf>
    <xf numFmtId="186" fontId="2" fillId="33" borderId="137" xfId="0" applyNumberFormat="1" applyFont="1" applyFill="1" applyBorder="1" applyAlignment="1" applyProtection="1">
      <alignment horizontal="center" vertical="center"/>
      <protection/>
    </xf>
    <xf numFmtId="186" fontId="2" fillId="33" borderId="138" xfId="0" applyNumberFormat="1" applyFont="1" applyFill="1" applyBorder="1" applyAlignment="1" applyProtection="1">
      <alignment horizontal="center" vertical="center"/>
      <protection/>
    </xf>
    <xf numFmtId="186" fontId="2" fillId="33" borderId="136" xfId="0" applyNumberFormat="1" applyFont="1" applyFill="1" applyBorder="1" applyAlignment="1" applyProtection="1">
      <alignment horizontal="center" vertical="center"/>
      <protection/>
    </xf>
    <xf numFmtId="186" fontId="2" fillId="33" borderId="151" xfId="0" applyNumberFormat="1" applyFont="1" applyFill="1" applyBorder="1" applyAlignment="1" applyProtection="1">
      <alignment horizontal="center" vertical="center"/>
      <protection/>
    </xf>
    <xf numFmtId="0" fontId="112" fillId="0" borderId="171" xfId="0" applyFont="1" applyBorder="1" applyAlignment="1">
      <alignment horizontal="center" vertical="center" wrapText="1"/>
    </xf>
    <xf numFmtId="0" fontId="112" fillId="0" borderId="172" xfId="0" applyFont="1" applyBorder="1" applyAlignment="1">
      <alignment horizontal="center" vertical="center" wrapText="1"/>
    </xf>
    <xf numFmtId="0" fontId="112" fillId="0" borderId="99" xfId="0" applyFont="1" applyBorder="1" applyAlignment="1">
      <alignment horizontal="center" vertical="center" wrapText="1"/>
    </xf>
    <xf numFmtId="173" fontId="2" fillId="34" borderId="0" xfId="127" applyNumberFormat="1" applyFont="1" applyFill="1" applyBorder="1" applyAlignment="1" applyProtection="1">
      <alignment horizontal="center"/>
      <protection/>
    </xf>
    <xf numFmtId="173" fontId="73" fillId="0" borderId="0" xfId="0" applyNumberFormat="1" applyFont="1" applyBorder="1" applyAlignment="1" applyProtection="1">
      <alignment horizontal="center"/>
      <protection/>
    </xf>
    <xf numFmtId="0" fontId="75" fillId="0" borderId="12" xfId="0" applyFont="1" applyBorder="1" applyAlignment="1" applyProtection="1">
      <alignment horizontal="center" vertical="center"/>
      <protection/>
    </xf>
    <xf numFmtId="0" fontId="75" fillId="0" borderId="13" xfId="0" applyFont="1" applyBorder="1" applyAlignment="1" applyProtection="1">
      <alignment horizontal="center" vertical="center"/>
      <protection/>
    </xf>
    <xf numFmtId="173" fontId="42" fillId="26" borderId="0" xfId="99" applyFont="1" applyFill="1" applyBorder="1" applyAlignment="1" applyProtection="1">
      <alignment horizontal="center" vertical="center"/>
      <protection/>
    </xf>
    <xf numFmtId="0" fontId="75" fillId="0" borderId="126" xfId="0" applyFont="1" applyBorder="1" applyAlignment="1" applyProtection="1">
      <alignment horizontal="left" vertical="center"/>
      <protection/>
    </xf>
    <xf numFmtId="0" fontId="75" fillId="0" borderId="12" xfId="0" applyFont="1" applyBorder="1" applyAlignment="1" applyProtection="1">
      <alignment vertical="center" wrapText="1"/>
      <protection/>
    </xf>
    <xf numFmtId="0" fontId="75" fillId="0" borderId="13" xfId="0" applyFont="1" applyBorder="1" applyAlignment="1" applyProtection="1">
      <alignment vertical="center" wrapText="1"/>
      <protection/>
    </xf>
    <xf numFmtId="0" fontId="75" fillId="0" borderId="14" xfId="0" applyFont="1" applyBorder="1" applyAlignment="1" applyProtection="1">
      <alignment vertical="center" wrapText="1"/>
      <protection/>
    </xf>
    <xf numFmtId="9" fontId="41" fillId="0" borderId="12" xfId="110" applyFont="1" applyFill="1" applyBorder="1" applyAlignment="1" applyProtection="1">
      <alignment horizontal="center" vertical="center" wrapText="1"/>
      <protection/>
    </xf>
    <xf numFmtId="9" fontId="41" fillId="0" borderId="13" xfId="110" applyFont="1" applyFill="1" applyBorder="1" applyAlignment="1" applyProtection="1">
      <alignment horizontal="center" vertical="center" wrapText="1"/>
      <protection/>
    </xf>
    <xf numFmtId="9" fontId="41" fillId="0" borderId="14" xfId="110" applyFont="1" applyFill="1" applyBorder="1" applyAlignment="1" applyProtection="1">
      <alignment horizontal="center" vertical="center" wrapText="1"/>
      <protection/>
    </xf>
    <xf numFmtId="9" fontId="75" fillId="31" borderId="173" xfId="110" applyFont="1" applyFill="1" applyBorder="1" applyAlignment="1" applyProtection="1">
      <alignment horizontal="left" vertical="top" wrapText="1"/>
      <protection locked="0"/>
    </xf>
    <xf numFmtId="9" fontId="75" fillId="31" borderId="174" xfId="110" applyFont="1" applyFill="1" applyBorder="1" applyAlignment="1" applyProtection="1">
      <alignment horizontal="left" vertical="top" wrapText="1"/>
      <protection locked="0"/>
    </xf>
    <xf numFmtId="9" fontId="75" fillId="31" borderId="175" xfId="110" applyFont="1" applyFill="1" applyBorder="1" applyAlignment="1" applyProtection="1">
      <alignment horizontal="left" vertical="top" wrapText="1"/>
      <protection locked="0"/>
    </xf>
    <xf numFmtId="0" fontId="25" fillId="0" borderId="61" xfId="0" applyFont="1" applyBorder="1" applyAlignment="1" applyProtection="1">
      <alignment horizontal="center"/>
      <protection/>
    </xf>
    <xf numFmtId="0" fontId="75" fillId="0" borderId="12" xfId="0" applyFont="1" applyBorder="1" applyAlignment="1" applyProtection="1">
      <alignment horizontal="center" vertical="center" wrapText="1"/>
      <protection/>
    </xf>
    <xf numFmtId="0" fontId="75" fillId="0" borderId="13" xfId="0" applyFont="1" applyBorder="1" applyAlignment="1" applyProtection="1">
      <alignment horizontal="center" vertical="center" wrapText="1"/>
      <protection/>
    </xf>
    <xf numFmtId="0" fontId="75" fillId="0" borderId="14" xfId="0" applyFont="1" applyBorder="1" applyAlignment="1" applyProtection="1">
      <alignment horizontal="center" vertical="center" wrapText="1"/>
      <protection/>
    </xf>
    <xf numFmtId="9" fontId="74" fillId="24" borderId="12" xfId="110" applyFont="1" applyFill="1" applyBorder="1" applyAlignment="1" applyProtection="1">
      <alignment horizontal="center" vertical="center" wrapText="1"/>
      <protection/>
    </xf>
    <xf numFmtId="9" fontId="74" fillId="24" borderId="14" xfId="110" applyFont="1" applyFill="1" applyBorder="1" applyAlignment="1" applyProtection="1">
      <alignment horizontal="center" vertical="center" wrapText="1"/>
      <protection/>
    </xf>
    <xf numFmtId="9" fontId="74" fillId="37" borderId="12" xfId="110" applyFont="1" applyFill="1" applyBorder="1" applyAlignment="1" applyProtection="1">
      <alignment horizontal="center" vertical="center" wrapText="1"/>
      <protection/>
    </xf>
    <xf numFmtId="9" fontId="74" fillId="37" borderId="14" xfId="110" applyFont="1" applyFill="1" applyBorder="1" applyAlignment="1" applyProtection="1">
      <alignment horizontal="center" vertical="center" wrapText="1"/>
      <protection/>
    </xf>
    <xf numFmtId="9" fontId="75" fillId="31" borderId="173" xfId="110" applyFont="1" applyFill="1" applyBorder="1" applyAlignment="1" applyProtection="1">
      <alignment horizontal="left" vertical="center" wrapText="1"/>
      <protection locked="0"/>
    </xf>
    <xf numFmtId="9" fontId="75" fillId="31" borderId="174" xfId="110" applyFont="1" applyFill="1" applyBorder="1" applyAlignment="1" applyProtection="1">
      <alignment horizontal="left" vertical="center" wrapText="1"/>
      <protection locked="0"/>
    </xf>
    <xf numFmtId="9" fontId="75" fillId="31" borderId="175" xfId="110" applyFont="1" applyFill="1" applyBorder="1" applyAlignment="1" applyProtection="1">
      <alignment horizontal="left" vertical="center" wrapText="1"/>
      <protection locked="0"/>
    </xf>
    <xf numFmtId="0" fontId="134" fillId="0" borderId="0" xfId="0" applyFont="1" applyAlignment="1" applyProtection="1">
      <alignment horizontal="left" vertical="center" wrapText="1"/>
      <protection/>
    </xf>
    <xf numFmtId="202" fontId="41" fillId="0" borderId="12" xfId="110" applyNumberFormat="1" applyFont="1" applyFill="1" applyBorder="1" applyAlignment="1" applyProtection="1">
      <alignment horizontal="center" vertical="center" wrapText="1"/>
      <protection/>
    </xf>
    <xf numFmtId="202" fontId="41" fillId="0" borderId="13" xfId="110" applyNumberFormat="1" applyFont="1" applyFill="1" applyBorder="1" applyAlignment="1" applyProtection="1">
      <alignment horizontal="center" vertical="center" wrapText="1"/>
      <protection/>
    </xf>
    <xf numFmtId="202" fontId="41" fillId="0" borderId="14" xfId="110" applyNumberFormat="1" applyFont="1" applyFill="1" applyBorder="1" applyAlignment="1" applyProtection="1">
      <alignment horizontal="center" vertical="center" wrapText="1"/>
      <protection/>
    </xf>
    <xf numFmtId="9" fontId="75" fillId="31" borderId="97" xfId="110" applyFont="1" applyFill="1" applyBorder="1" applyAlignment="1" applyProtection="1">
      <alignment horizontal="left" vertical="center" wrapText="1"/>
      <protection locked="0"/>
    </xf>
    <xf numFmtId="173" fontId="25" fillId="0" borderId="0" xfId="0" applyNumberFormat="1" applyFont="1" applyBorder="1" applyAlignment="1" applyProtection="1">
      <alignment horizontal="center"/>
      <protection/>
    </xf>
    <xf numFmtId="179" fontId="73" fillId="0" borderId="0" xfId="0" applyNumberFormat="1" applyFont="1" applyBorder="1" applyAlignment="1" applyProtection="1">
      <alignment horizontal="center"/>
      <protection/>
    </xf>
    <xf numFmtId="179" fontId="84" fillId="10" borderId="92" xfId="0" applyNumberFormat="1" applyFont="1" applyFill="1" applyBorder="1" applyAlignment="1" applyProtection="1">
      <alignment horizontal="center" vertical="center"/>
      <protection/>
    </xf>
    <xf numFmtId="179" fontId="86" fillId="0" borderId="0" xfId="0" applyNumberFormat="1" applyFont="1" applyFill="1" applyBorder="1" applyAlignment="1" applyProtection="1">
      <alignment horizontal="center"/>
      <protection/>
    </xf>
    <xf numFmtId="179" fontId="87" fillId="3" borderId="18" xfId="0" applyNumberFormat="1" applyFont="1" applyFill="1" applyBorder="1" applyAlignment="1" applyProtection="1">
      <alignment horizontal="center" vertical="center"/>
      <protection/>
    </xf>
    <xf numFmtId="0" fontId="29" fillId="0" borderId="176" xfId="0" applyNumberFormat="1" applyFont="1" applyFill="1" applyBorder="1" applyAlignment="1" applyProtection="1">
      <alignment horizontal="left" vertical="top" wrapText="1"/>
      <protection/>
    </xf>
    <xf numFmtId="49" fontId="1" fillId="3" borderId="177" xfId="0" applyNumberFormat="1" applyFont="1" applyFill="1" applyBorder="1" applyAlignment="1" applyProtection="1">
      <alignment horizontal="center" vertical="center"/>
      <protection locked="0"/>
    </xf>
    <xf numFmtId="0" fontId="29" fillId="0" borderId="178" xfId="0" applyNumberFormat="1" applyFont="1" applyFill="1" applyBorder="1" applyAlignment="1" applyProtection="1">
      <alignment horizontal="left" vertical="top" wrapText="1"/>
      <protection/>
    </xf>
    <xf numFmtId="49" fontId="1" fillId="3" borderId="179" xfId="0" applyNumberFormat="1" applyFont="1" applyFill="1" applyBorder="1" applyAlignment="1" applyProtection="1">
      <alignment horizontal="center" vertical="center"/>
      <protection locked="0"/>
    </xf>
    <xf numFmtId="49" fontId="1" fillId="3" borderId="180" xfId="0" applyNumberFormat="1" applyFont="1" applyFill="1" applyBorder="1" applyAlignment="1" applyProtection="1">
      <alignment horizontal="center" vertical="center"/>
      <protection locked="0"/>
    </xf>
    <xf numFmtId="49" fontId="1" fillId="3" borderId="177" xfId="0" applyNumberFormat="1" applyFont="1" applyFill="1" applyBorder="1" applyAlignment="1" applyProtection="1">
      <alignment horizontal="center" vertical="center" wrapText="1"/>
      <protection locked="0"/>
    </xf>
    <xf numFmtId="0" fontId="29" fillId="0" borderId="181" xfId="0" applyNumberFormat="1" applyFont="1" applyFill="1" applyBorder="1" applyAlignment="1" applyProtection="1">
      <alignment horizontal="left" vertical="top" wrapText="1"/>
      <protection/>
    </xf>
    <xf numFmtId="0" fontId="1" fillId="13" borderId="182" xfId="0" applyFont="1" applyFill="1" applyBorder="1" applyAlignment="1" applyProtection="1">
      <alignment horizontal="center" vertical="top" wrapText="1"/>
      <protection locked="0"/>
    </xf>
    <xf numFmtId="0" fontId="29" fillId="0" borderId="183" xfId="0" applyNumberFormat="1" applyFont="1" applyFill="1" applyBorder="1" applyAlignment="1" applyProtection="1">
      <alignment horizontal="left" vertical="top" wrapText="1"/>
      <protection/>
    </xf>
    <xf numFmtId="0" fontId="1" fillId="13" borderId="184" xfId="0" applyFont="1" applyFill="1" applyBorder="1" applyAlignment="1" applyProtection="1">
      <alignment horizontal="center" vertical="top" wrapText="1"/>
      <protection locked="0"/>
    </xf>
    <xf numFmtId="179" fontId="86" fillId="0" borderId="185" xfId="0" applyNumberFormat="1" applyFont="1" applyFill="1" applyBorder="1" applyAlignment="1" applyProtection="1">
      <alignment horizontal="center"/>
      <protection/>
    </xf>
    <xf numFmtId="179" fontId="98" fillId="13" borderId="186" xfId="0" applyNumberFormat="1" applyFont="1" applyFill="1" applyBorder="1" applyAlignment="1" applyProtection="1">
      <alignment horizontal="center" vertical="center"/>
      <protection/>
    </xf>
    <xf numFmtId="179" fontId="98" fillId="13" borderId="187" xfId="0" applyNumberFormat="1" applyFont="1" applyFill="1" applyBorder="1" applyAlignment="1" applyProtection="1">
      <alignment horizontal="center" vertical="center"/>
      <protection/>
    </xf>
    <xf numFmtId="0" fontId="29" fillId="0" borderId="188" xfId="0" applyNumberFormat="1" applyFont="1" applyFill="1" applyBorder="1" applyAlignment="1" applyProtection="1">
      <alignment horizontal="left" vertical="top" wrapText="1"/>
      <protection/>
    </xf>
    <xf numFmtId="0" fontId="1" fillId="13" borderId="189" xfId="0" applyFont="1" applyFill="1" applyBorder="1" applyAlignment="1" applyProtection="1">
      <alignment horizontal="center" vertical="top" wrapText="1"/>
      <protection locked="0"/>
    </xf>
    <xf numFmtId="0" fontId="29" fillId="0" borderId="190" xfId="0" applyNumberFormat="1" applyFont="1" applyFill="1" applyBorder="1" applyAlignment="1" applyProtection="1">
      <alignment horizontal="left" vertical="center" wrapText="1"/>
      <protection/>
    </xf>
    <xf numFmtId="0" fontId="1" fillId="12" borderId="191" xfId="0" applyFont="1" applyFill="1" applyBorder="1" applyAlignment="1" applyProtection="1">
      <alignment horizontal="center" vertical="top" wrapText="1"/>
      <protection locked="0"/>
    </xf>
    <xf numFmtId="0" fontId="1" fillId="0" borderId="192" xfId="110" applyNumberFormat="1" applyFont="1" applyFill="1" applyBorder="1" applyAlignment="1" applyProtection="1">
      <alignment horizontal="left" vertical="center" wrapText="1"/>
      <protection/>
    </xf>
    <xf numFmtId="0" fontId="1" fillId="12" borderId="193" xfId="0" applyFont="1" applyFill="1" applyBorder="1" applyAlignment="1" applyProtection="1">
      <alignment horizontal="center" vertical="top" wrapText="1"/>
      <protection locked="0"/>
    </xf>
    <xf numFmtId="179" fontId="86" fillId="0" borderId="194" xfId="0" applyNumberFormat="1" applyFont="1" applyFill="1" applyBorder="1" applyAlignment="1" applyProtection="1">
      <alignment horizontal="center"/>
      <protection/>
    </xf>
    <xf numFmtId="179" fontId="87" fillId="12" borderId="152" xfId="0" applyNumberFormat="1" applyFont="1" applyFill="1" applyBorder="1" applyAlignment="1" applyProtection="1">
      <alignment horizontal="center" vertical="center"/>
      <protection/>
    </xf>
    <xf numFmtId="9" fontId="1" fillId="0" borderId="192" xfId="110" applyNumberFormat="1" applyFont="1" applyFill="1" applyBorder="1" applyAlignment="1" applyProtection="1">
      <alignment horizontal="left" vertical="center" wrapText="1"/>
      <protection/>
    </xf>
    <xf numFmtId="0" fontId="1" fillId="12" borderId="195" xfId="0" applyFont="1" applyFill="1" applyBorder="1" applyAlignment="1" applyProtection="1">
      <alignment horizontal="center" vertical="top" wrapText="1"/>
      <protection locked="0"/>
    </xf>
    <xf numFmtId="173" fontId="2" fillId="34" borderId="0" xfId="128" applyNumberFormat="1" applyFont="1" applyFill="1" applyBorder="1" applyAlignment="1" applyProtection="1">
      <alignment horizontal="center"/>
      <protection locked="0"/>
    </xf>
    <xf numFmtId="0" fontId="51" fillId="0" borderId="196" xfId="0" applyFont="1" applyFill="1" applyBorder="1" applyAlignment="1" applyProtection="1">
      <alignment horizontal="left" vertical="top" wrapText="1"/>
      <protection locked="0"/>
    </xf>
    <xf numFmtId="0" fontId="51" fillId="0" borderId="197" xfId="0" applyFont="1" applyFill="1" applyBorder="1" applyAlignment="1" applyProtection="1">
      <alignment horizontal="left"/>
      <protection locked="0"/>
    </xf>
    <xf numFmtId="0" fontId="51" fillId="0" borderId="198" xfId="0" applyFont="1" applyFill="1" applyBorder="1" applyAlignment="1" applyProtection="1">
      <alignment horizontal="left" vertical="center" wrapText="1"/>
      <protection locked="0"/>
    </xf>
    <xf numFmtId="0" fontId="51" fillId="0" borderId="196" xfId="0" applyFont="1" applyFill="1" applyBorder="1" applyAlignment="1" applyProtection="1">
      <alignment horizontal="left"/>
      <protection locked="0"/>
    </xf>
    <xf numFmtId="0" fontId="0" fillId="12" borderId="15" xfId="0" applyFill="1" applyBorder="1" applyAlignment="1" applyProtection="1">
      <alignment horizontal="center"/>
      <protection locked="0"/>
    </xf>
    <xf numFmtId="0" fontId="105" fillId="8" borderId="199" xfId="106" applyNumberFormat="1" applyFont="1" applyFill="1" applyBorder="1" applyAlignment="1">
      <alignment horizontal="center" vertical="center" wrapText="1"/>
      <protection/>
    </xf>
    <xf numFmtId="0" fontId="105" fillId="8" borderId="200" xfId="106" applyNumberFormat="1" applyFont="1" applyFill="1" applyBorder="1" applyAlignment="1">
      <alignment horizontal="center" vertical="center" wrapText="1"/>
      <protection/>
    </xf>
    <xf numFmtId="0" fontId="105" fillId="8" borderId="201" xfId="106" applyNumberFormat="1" applyFont="1" applyFill="1" applyBorder="1" applyAlignment="1">
      <alignment horizontal="center" vertical="center" wrapText="1"/>
      <protection/>
    </xf>
    <xf numFmtId="0" fontId="51" fillId="0" borderId="202" xfId="0" applyFont="1" applyFill="1" applyBorder="1" applyAlignment="1" applyProtection="1">
      <alignment horizontal="left" wrapText="1"/>
      <protection locked="0"/>
    </xf>
    <xf numFmtId="0" fontId="51" fillId="0" borderId="196" xfId="0" applyFont="1" applyFill="1" applyBorder="1" applyAlignment="1" applyProtection="1">
      <alignment horizontal="left" wrapText="1"/>
      <protection locked="0"/>
    </xf>
    <xf numFmtId="0" fontId="51" fillId="0" borderId="197" xfId="0" applyFont="1" applyFill="1" applyBorder="1" applyAlignment="1" applyProtection="1">
      <alignment horizontal="left" wrapText="1"/>
      <protection locked="0"/>
    </xf>
    <xf numFmtId="0" fontId="51" fillId="0" borderId="203" xfId="0" applyFont="1" applyFill="1" applyBorder="1" applyAlignment="1" applyProtection="1">
      <alignment horizontal="left"/>
      <protection locked="0"/>
    </xf>
    <xf numFmtId="0" fontId="106" fillId="8" borderId="15" xfId="0" applyNumberFormat="1" applyFont="1" applyFill="1" applyBorder="1" applyAlignment="1">
      <alignment horizontal="center" vertical="center" textRotation="90"/>
    </xf>
    <xf numFmtId="0" fontId="51" fillId="0" borderId="204" xfId="0" applyFont="1" applyFill="1" applyBorder="1" applyAlignment="1" applyProtection="1">
      <alignment horizontal="left" wrapText="1"/>
      <protection locked="0"/>
    </xf>
    <xf numFmtId="0" fontId="51" fillId="0" borderId="205" xfId="0" applyFont="1" applyFill="1" applyBorder="1" applyAlignment="1" applyProtection="1">
      <alignment horizontal="left" wrapText="1"/>
      <protection locked="0"/>
    </xf>
    <xf numFmtId="0" fontId="51" fillId="0" borderId="206" xfId="0" applyFont="1" applyFill="1" applyBorder="1" applyAlignment="1" applyProtection="1">
      <alignment horizontal="left" vertical="center" wrapText="1"/>
      <protection locked="0"/>
    </xf>
    <xf numFmtId="0" fontId="51" fillId="0" borderId="207" xfId="0" applyFont="1" applyFill="1" applyBorder="1" applyAlignment="1" applyProtection="1">
      <alignment horizontal="left"/>
      <protection locked="0"/>
    </xf>
    <xf numFmtId="0" fontId="51" fillId="0" borderId="208" xfId="0" applyFont="1" applyFill="1" applyBorder="1" applyAlignment="1" applyProtection="1">
      <alignment horizontal="left"/>
      <protection locked="0"/>
    </xf>
    <xf numFmtId="0" fontId="51" fillId="0" borderId="209" xfId="0" applyFont="1" applyFill="1" applyBorder="1" applyAlignment="1" applyProtection="1">
      <alignment horizontal="left"/>
      <protection locked="0"/>
    </xf>
    <xf numFmtId="0" fontId="51" fillId="0" borderId="210" xfId="0" applyFont="1" applyFill="1" applyBorder="1" applyAlignment="1" applyProtection="1">
      <alignment horizontal="left" vertical="top" wrapText="1"/>
      <protection locked="0"/>
    </xf>
    <xf numFmtId="0" fontId="51" fillId="0" borderId="211" xfId="0" applyFont="1" applyBorder="1" applyAlignment="1" applyProtection="1">
      <alignment horizontal="left"/>
      <protection locked="0"/>
    </xf>
    <xf numFmtId="0" fontId="51" fillId="0" borderId="88" xfId="0" applyFont="1" applyBorder="1" applyAlignment="1" applyProtection="1">
      <alignment horizontal="left"/>
      <protection locked="0"/>
    </xf>
    <xf numFmtId="0" fontId="51" fillId="0" borderId="212" xfId="0" applyFont="1" applyBorder="1" applyAlignment="1" applyProtection="1">
      <alignment horizontal="left"/>
      <protection locked="0"/>
    </xf>
    <xf numFmtId="0" fontId="51" fillId="0" borderId="213" xfId="0" applyFont="1" applyFill="1" applyBorder="1" applyAlignment="1" applyProtection="1">
      <alignment horizontal="left"/>
      <protection locked="0"/>
    </xf>
    <xf numFmtId="0" fontId="51" fillId="0" borderId="196" xfId="0" applyFont="1" applyBorder="1" applyAlignment="1" applyProtection="1">
      <alignment horizontal="left"/>
      <protection locked="0"/>
    </xf>
    <xf numFmtId="0" fontId="51" fillId="0" borderId="197" xfId="0" applyFont="1" applyBorder="1" applyAlignment="1" applyProtection="1">
      <alignment horizontal="left"/>
      <protection locked="0"/>
    </xf>
    <xf numFmtId="0" fontId="51" fillId="0" borderId="203" xfId="0" applyFont="1" applyBorder="1" applyAlignment="1" applyProtection="1">
      <alignment horizontal="left"/>
      <protection locked="0"/>
    </xf>
    <xf numFmtId="0" fontId="51" fillId="0" borderId="214" xfId="0" applyFont="1" applyFill="1" applyBorder="1" applyAlignment="1" applyProtection="1">
      <alignment horizontal="left"/>
      <protection locked="0"/>
    </xf>
    <xf numFmtId="0" fontId="51" fillId="0" borderId="207" xfId="0" applyFont="1" applyBorder="1" applyAlignment="1" applyProtection="1">
      <alignment horizontal="left"/>
      <protection locked="0"/>
    </xf>
    <xf numFmtId="0" fontId="51" fillId="0" borderId="208" xfId="0" applyFont="1" applyBorder="1" applyAlignment="1" applyProtection="1">
      <alignment horizontal="left"/>
      <protection locked="0"/>
    </xf>
    <xf numFmtId="0" fontId="51" fillId="0" borderId="209" xfId="0" applyFont="1" applyBorder="1" applyAlignment="1" applyProtection="1">
      <alignment horizontal="left"/>
      <protection locked="0"/>
    </xf>
    <xf numFmtId="173" fontId="23" fillId="26" borderId="0" xfId="89"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Good" xfId="75"/>
    <cellStyle name="Heading 1" xfId="76"/>
    <cellStyle name="Heading 2" xfId="77"/>
    <cellStyle name="Heading 3" xfId="78"/>
    <cellStyle name="Heading 4" xfId="79"/>
    <cellStyle name="Incorrecto" xfId="80"/>
    <cellStyle name="Input" xfId="81"/>
    <cellStyle name="Linked Cell" xfId="82"/>
    <cellStyle name="Comma" xfId="83"/>
    <cellStyle name="Comma [0]" xfId="84"/>
    <cellStyle name="Millares 2" xfId="85"/>
    <cellStyle name="Currency" xfId="86"/>
    <cellStyle name="Currency [0]" xfId="87"/>
    <cellStyle name="Neutral" xfId="88"/>
    <cellStyle name="Normal 2" xfId="89"/>
    <cellStyle name="Normal 2 2" xfId="90"/>
    <cellStyle name="Normal 2 3" xfId="91"/>
    <cellStyle name="Normal 2 4" xfId="92"/>
    <cellStyle name="Normal 2 5" xfId="93"/>
    <cellStyle name="Normal 2 6" xfId="94"/>
    <cellStyle name="Normal 2 7" xfId="95"/>
    <cellStyle name="Normal 2 8" xfId="96"/>
    <cellStyle name="Normal 2_Dashboard ver 2.2 ES" xfId="97"/>
    <cellStyle name="Normal 2_Ficticia HIV Dashboard_ES - Set Up and Maintenance Guide"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58">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ill>
        <patternFill>
          <fgColor rgb="FF33CC33"/>
          <bgColor rgb="FF33CC33"/>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58"/>
          <bgColor indexed="8"/>
        </patternFill>
      </fill>
    </dxf>
    <dxf>
      <fill>
        <patternFill>
          <bgColor indexed="42"/>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rgb="FFFFFFFF"/>
      </font>
      <fill>
        <patternFill patternType="solid">
          <fgColor rgb="FFFF8080"/>
          <bgColor rgb="FFFF7171"/>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1"/>
          <c:w val="0.944"/>
          <c:h val="0.77"/>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3000228</c:v>
                </c:pt>
                <c:pt idx="1">
                  <c:v>4719767</c:v>
                </c:pt>
                <c:pt idx="2">
                  <c:v>7365382</c:v>
                </c:pt>
                <c:pt idx="3">
                  <c:v>9233609</c:v>
                </c:pt>
                <c:pt idx="4">
                  <c:v>12278546</c:v>
                </c:pt>
                <c:pt idx="5">
                  <c:v>13910753</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6414805</c:v>
                </c:pt>
                <c:pt idx="3">
                  <c:v>6414805</c:v>
                </c:pt>
                <c:pt idx="4">
                  <c:v>6414805</c:v>
                </c:pt>
                <c:pt idx="5">
                  <c:v>6414805</c:v>
                </c:pt>
                <c:pt idx="6">
                  <c:v>0</c:v>
                </c:pt>
                <c:pt idx="7">
                  <c:v>0</c:v>
                </c:pt>
                <c:pt idx="8">
                  <c:v>0</c:v>
                </c:pt>
                <c:pt idx="9">
                  <c:v>0</c:v>
                </c:pt>
                <c:pt idx="10">
                  <c:v>0</c:v>
                </c:pt>
                <c:pt idx="11">
                  <c:v>0</c:v>
                </c:pt>
              </c:numCache>
            </c:numRef>
          </c:val>
        </c:ser>
        <c:gapWidth val="70"/>
        <c:axId val="27598792"/>
        <c:axId val="47062537"/>
      </c:barChart>
      <c:catAx>
        <c:axId val="27598792"/>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47062537"/>
        <c:crossesAt val="0"/>
        <c:auto val="1"/>
        <c:lblOffset val="100"/>
        <c:tickLblSkip val="1"/>
        <c:noMultiLvlLbl val="0"/>
      </c:catAx>
      <c:valAx>
        <c:axId val="4706253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7598792"/>
        <c:crossesAt val="1"/>
        <c:crossBetween val="between"/>
        <c:dispUnits/>
      </c:valAx>
      <c:spPr>
        <a:solidFill>
          <a:srgbClr val="FFFFFF"/>
        </a:solidFill>
        <a:ln w="3175">
          <a:solidFill>
            <a:srgbClr val="000000"/>
          </a:solidFill>
        </a:ln>
      </c:spPr>
    </c:plotArea>
    <c:legend>
      <c:legendPos val="r"/>
      <c:layout>
        <c:manualLayout>
          <c:xMode val="edge"/>
          <c:yMode val="edge"/>
          <c:x val="0.13625"/>
          <c:y val="0.881"/>
          <c:w val="0.6695"/>
          <c:h val="0.109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45"/>
          <c:w val="0.92025"/>
          <c:h val="0.8522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220</c:v>
                </c:pt>
                <c:pt idx="1">
                  <c:v>331</c:v>
                </c:pt>
                <c:pt idx="2">
                  <c:v>279</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34</c:v>
                </c:pt>
                <c:pt idx="1">
                  <c:v>524</c:v>
                </c:pt>
                <c:pt idx="2">
                  <c:v>280</c:v>
                </c:pt>
              </c:numCache>
            </c:numRef>
          </c:val>
        </c:ser>
        <c:axId val="1956642"/>
        <c:axId val="17609779"/>
      </c:barChart>
      <c:catAx>
        <c:axId val="195664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7609779"/>
        <c:crossesAt val="0"/>
        <c:auto val="1"/>
        <c:lblOffset val="100"/>
        <c:tickLblSkip val="1"/>
        <c:noMultiLvlLbl val="0"/>
      </c:catAx>
      <c:valAx>
        <c:axId val="17609779"/>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956642"/>
        <c:crossesAt val="1"/>
        <c:crossBetween val="between"/>
        <c:dispUnits/>
      </c:valAx>
      <c:spPr>
        <a:noFill/>
        <a:ln>
          <a:noFill/>
        </a:ln>
      </c:spPr>
    </c:plotArea>
    <c:legend>
      <c:legendPos val="r"/>
      <c:layout>
        <c:manualLayout>
          <c:xMode val="edge"/>
          <c:yMode val="edge"/>
          <c:x val="0.2695"/>
          <c:y val="0.85725"/>
          <c:w val="0.3265"/>
          <c:h val="0.08025"/>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865"/>
          <c:w val="0.93775"/>
          <c:h val="0.854"/>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1558</c:v>
                </c:pt>
                <c:pt idx="1">
                  <c:v>2336</c:v>
                </c:pt>
                <c:pt idx="2">
                  <c:v>2878</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155</c:v>
                </c:pt>
                <c:pt idx="1">
                  <c:v>3973</c:v>
                </c:pt>
                <c:pt idx="2">
                  <c:v>3198</c:v>
                </c:pt>
              </c:numCache>
            </c:numRef>
          </c:val>
        </c:ser>
        <c:axId val="24270284"/>
        <c:axId val="17105965"/>
      </c:barChart>
      <c:catAx>
        <c:axId val="242702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7105965"/>
        <c:crossesAt val="0"/>
        <c:auto val="1"/>
        <c:lblOffset val="100"/>
        <c:tickLblSkip val="1"/>
        <c:noMultiLvlLbl val="0"/>
      </c:catAx>
      <c:valAx>
        <c:axId val="17105965"/>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4270284"/>
        <c:crossesAt val="1"/>
        <c:crossBetween val="between"/>
        <c:dispUnits/>
      </c:valAx>
      <c:spPr>
        <a:noFill/>
        <a:ln>
          <a:noFill/>
        </a:ln>
      </c:spPr>
    </c:plotArea>
    <c:legend>
      <c:legendPos val="r"/>
      <c:layout>
        <c:manualLayout>
          <c:xMode val="edge"/>
          <c:yMode val="edge"/>
          <c:x val="0.12075"/>
          <c:y val="0.8895"/>
          <c:w val="0.5325"/>
          <c:h val="0.07525"/>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
          <c:y val="0.01875"/>
          <c:w val="0.80925"/>
          <c:h val="0.981"/>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30 de junio*</c:v>
                </c:pt>
                <c:pt idx="5">
                  <c:v>Saldo en caja*</c:v>
                </c:pt>
              </c:strCache>
            </c:strRef>
          </c:cat>
          <c:val>
            <c:numRef>
              <c:f>'Introducción de datos'!$C$52:$C$57</c:f>
              <c:numCache>
                <c:ptCount val="6"/>
                <c:pt idx="0">
                  <c:v>4765803</c:v>
                </c:pt>
                <c:pt idx="1">
                  <c:v>3516376</c:v>
                </c:pt>
                <c:pt idx="2">
                  <c:v>1503404</c:v>
                </c:pt>
                <c:pt idx="3">
                  <c:v>1440034</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datos'!$B$52:$B$57</c:f>
              <c:strCache>
                <c:ptCount val="6"/>
                <c:pt idx="0">
                  <c:v>Desembolsado por el Fondo Mundial</c:v>
                </c:pt>
                <c:pt idx="1">
                  <c:v>Gasto RP + desembolso a SRs</c:v>
                </c:pt>
                <c:pt idx="2">
                  <c:v>Desembolsado a los subreceptores</c:v>
                </c:pt>
                <c:pt idx="3">
                  <c:v>Gastos de los subreceptores</c:v>
                </c:pt>
                <c:pt idx="4">
                  <c:v>Compromisos al 30 de junio*</c:v>
                </c:pt>
                <c:pt idx="5">
                  <c:v>Saldo en caja*</c:v>
                </c:pt>
              </c:strCache>
            </c:strRef>
          </c:cat>
          <c:val>
            <c:numRef>
              <c:f>'Introducción de datos'!$D$52:$D$57</c:f>
              <c:numCache>
                <c:ptCount val="6"/>
                <c:pt idx="0">
                  <c:v>1649002</c:v>
                </c:pt>
                <c:pt idx="1">
                  <c:v>1681080</c:v>
                </c:pt>
                <c:pt idx="2">
                  <c:v>954300</c:v>
                </c:pt>
                <c:pt idx="3">
                  <c:v>766120</c:v>
                </c:pt>
                <c:pt idx="4">
                  <c:v>190460.94</c:v>
                </c:pt>
                <c:pt idx="5">
                  <c:v>1609543.85</c:v>
                </c:pt>
              </c:numCache>
            </c:numRef>
          </c:val>
        </c:ser>
        <c:overlap val="100"/>
        <c:axId val="20909650"/>
        <c:axId val="53969123"/>
      </c:barChart>
      <c:catAx>
        <c:axId val="209096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53969123"/>
        <c:crossesAt val="0"/>
        <c:auto val="1"/>
        <c:lblOffset val="100"/>
        <c:tickLblSkip val="2"/>
        <c:noMultiLvlLbl val="0"/>
      </c:catAx>
      <c:valAx>
        <c:axId val="53969123"/>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2090965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75"/>
          <c:y val="0.079"/>
          <c:w val="0.84475"/>
          <c:h val="0.88675"/>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4614526</c:v>
                </c:pt>
                <c:pt idx="1">
                  <c:v>315030</c:v>
                </c:pt>
                <c:pt idx="2">
                  <c:v>2435826</c:v>
                </c:pt>
              </c:numCache>
            </c:numRef>
          </c:val>
        </c:ser>
        <c:ser>
          <c:idx val="1"/>
          <c:order val="1"/>
          <c:tx>
            <c:strRef>
              <c:f>Financiamiento!$C$34</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2787299</c:v>
                </c:pt>
                <c:pt idx="1">
                  <c:v>206291</c:v>
                </c:pt>
                <c:pt idx="2">
                  <c:v>1952307</c:v>
                </c:pt>
              </c:numCache>
            </c:numRef>
          </c:val>
        </c:ser>
        <c:axId val="15960060"/>
        <c:axId val="9422813"/>
      </c:barChart>
      <c:catAx>
        <c:axId val="159600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9422813"/>
        <c:crossesAt val="0"/>
        <c:auto val="1"/>
        <c:lblOffset val="100"/>
        <c:tickLblSkip val="1"/>
        <c:noMultiLvlLbl val="0"/>
      </c:catAx>
      <c:valAx>
        <c:axId val="942281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1596006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213"/>
          <c:w val="0.96525"/>
          <c:h val="0.66875"/>
        </c:manualLayout>
      </c:layout>
      <c:barChart>
        <c:barDir val="bar"/>
        <c:grouping val="percentStacked"/>
        <c:varyColors val="0"/>
        <c:ser>
          <c:idx val="0"/>
          <c:order val="0"/>
          <c:tx>
            <c:strRef>
              <c:f>'Introducción de datos'!$D$81</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datos'!$D$82</c:f>
              <c:numCache>
                <c:ptCount val="1"/>
                <c:pt idx="0">
                  <c:v>6</c:v>
                </c:pt>
              </c:numCache>
            </c:numRef>
          </c:val>
        </c:ser>
        <c:ser>
          <c:idx val="1"/>
          <c:order val="1"/>
          <c:tx>
            <c:strRef>
              <c:f>'Introducción de datos'!$E$81</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datos'!$E$82</c:f>
              <c:numCache>
                <c:ptCount val="1"/>
                <c:pt idx="0">
                  <c:v>0</c:v>
                </c:pt>
              </c:numCache>
            </c:numRef>
          </c:val>
        </c:ser>
        <c:overlap val="100"/>
        <c:gapWidth val="79"/>
        <c:axId val="17696454"/>
        <c:axId val="25050359"/>
      </c:barChart>
      <c:catAx>
        <c:axId val="17696454"/>
        <c:scaling>
          <c:orientation val="minMax"/>
        </c:scaling>
        <c:axPos val="l"/>
        <c:delete val="1"/>
        <c:majorTickMark val="out"/>
        <c:minorTickMark val="none"/>
        <c:tickLblPos val="nextTo"/>
        <c:crossAx val="25050359"/>
        <c:crossesAt val="0"/>
        <c:auto val="1"/>
        <c:lblOffset val="100"/>
        <c:tickLblSkip val="1"/>
        <c:noMultiLvlLbl val="0"/>
      </c:catAx>
      <c:valAx>
        <c:axId val="25050359"/>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7696454"/>
        <c:crosses val="max"/>
        <c:crossBetween val="between"/>
        <c:dispUnits/>
      </c:valAx>
      <c:spPr>
        <a:solidFill>
          <a:srgbClr val="FFFFFF"/>
        </a:solidFill>
        <a:ln w="3175">
          <a:noFill/>
        </a:ln>
      </c:spPr>
    </c:plotArea>
    <c:legend>
      <c:legendPos val="r"/>
      <c:layout>
        <c:manualLayout>
          <c:xMode val="edge"/>
          <c:yMode val="edge"/>
          <c:x val="0.27225"/>
          <c:y val="0.79625"/>
          <c:w val="0.42575"/>
          <c:h val="0.1852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104"/>
          <c:w val="0.9485"/>
          <c:h val="0.719"/>
        </c:manualLayout>
      </c:layout>
      <c:barChart>
        <c:barDir val="col"/>
        <c:grouping val="clustered"/>
        <c:varyColors val="0"/>
        <c:ser>
          <c:idx val="0"/>
          <c:order val="0"/>
          <c:tx>
            <c:strRef>
              <c:f>'Introducción de datos'!$C$86</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datos'!$C$87</c:f>
              <c:numCache>
                <c:ptCount val="1"/>
                <c:pt idx="0">
                  <c:v>11</c:v>
                </c:pt>
              </c:numCache>
            </c:numRef>
          </c:val>
        </c:ser>
        <c:ser>
          <c:idx val="1"/>
          <c:order val="1"/>
          <c:tx>
            <c:strRef>
              <c:f>'Introducción de datos'!$D$86</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datos'!$D$87</c:f>
              <c:numCache>
                <c:ptCount val="1"/>
                <c:pt idx="0">
                  <c:v>11</c:v>
                </c:pt>
              </c:numCache>
            </c:numRef>
          </c:val>
        </c:ser>
        <c:ser>
          <c:idx val="2"/>
          <c:order val="2"/>
          <c:tx>
            <c:strRef>
              <c:f>'Introducción de datos'!$E$86</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datos'!$E$87</c:f>
              <c:numCache>
                <c:ptCount val="1"/>
                <c:pt idx="0">
                  <c:v>10</c:v>
                </c:pt>
              </c:numCache>
            </c:numRef>
          </c:val>
        </c:ser>
        <c:ser>
          <c:idx val="3"/>
          <c:order val="3"/>
          <c:tx>
            <c:strRef>
              <c:f>'Introducción de datos'!$F$86</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datos'!$F$87</c:f>
              <c:numCache>
                <c:ptCount val="1"/>
                <c:pt idx="0">
                  <c:v>10</c:v>
                </c:pt>
              </c:numCache>
            </c:numRef>
          </c:val>
        </c:ser>
        <c:ser>
          <c:idx val="4"/>
          <c:order val="4"/>
          <c:tx>
            <c:strRef>
              <c:f>'Introducción de datos'!$G$86</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datos'!$G$87</c:f>
              <c:numCache>
                <c:ptCount val="1"/>
                <c:pt idx="0">
                  <c:v>10</c:v>
                </c:pt>
              </c:numCache>
            </c:numRef>
          </c:val>
        </c:ser>
        <c:overlap val="-20"/>
        <c:axId val="24126640"/>
        <c:axId val="15813169"/>
      </c:barChart>
      <c:catAx>
        <c:axId val="24126640"/>
        <c:scaling>
          <c:orientation val="minMax"/>
        </c:scaling>
        <c:axPos val="b"/>
        <c:delete val="0"/>
        <c:numFmt formatCode="General" sourceLinked="1"/>
        <c:majorTickMark val="none"/>
        <c:minorTickMark val="none"/>
        <c:tickLblPos val="none"/>
        <c:spPr>
          <a:ln w="3175">
            <a:solidFill>
              <a:srgbClr val="000000"/>
            </a:solidFill>
          </a:ln>
        </c:spPr>
        <c:crossAx val="15813169"/>
        <c:crossesAt val="0"/>
        <c:auto val="0"/>
        <c:lblOffset val="100"/>
        <c:tickLblSkip val="1"/>
        <c:noMultiLvlLbl val="0"/>
      </c:catAx>
      <c:valAx>
        <c:axId val="158131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126640"/>
        <c:crossesAt val="1"/>
        <c:crossBetween val="between"/>
        <c:dispUnits/>
      </c:valAx>
      <c:spPr>
        <a:noFill/>
        <a:ln>
          <a:noFill/>
        </a:ln>
      </c:spPr>
    </c:plotArea>
    <c:legend>
      <c:legendPos val="r"/>
      <c:layout>
        <c:manualLayout>
          <c:xMode val="edge"/>
          <c:yMode val="edge"/>
          <c:x val="0.00925"/>
          <c:y val="0.76375"/>
          <c:w val="0.872"/>
          <c:h val="0.091"/>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08325"/>
          <c:w val="0.78025"/>
          <c:h val="0.7537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datos'!$D$75:$D$76</c:f>
              <c:numCache>
                <c:ptCount val="2"/>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datos'!$E$75:$E$76</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datos'!$B$75:$B$76</c:f>
              <c:strCache>
                <c:ptCount val="2"/>
                <c:pt idx="0">
                  <c:v>Condiciones precedentes</c:v>
                </c:pt>
                <c:pt idx="1">
                  <c:v>Acciones con fecha límite</c:v>
                </c:pt>
              </c:strCache>
            </c:strRef>
          </c:cat>
          <c:val>
            <c:numRef>
              <c:f>'Introducción de datos'!$F$75:$F$76</c:f>
              <c:numCache>
                <c:ptCount val="2"/>
                <c:pt idx="0">
                  <c:v>0</c:v>
                </c:pt>
                <c:pt idx="1">
                  <c:v>0</c:v>
                </c:pt>
              </c:numCache>
            </c:numRef>
          </c:val>
        </c:ser>
        <c:overlap val="100"/>
        <c:gapWidth val="70"/>
        <c:axId val="8100794"/>
        <c:axId val="5798283"/>
      </c:barChart>
      <c:catAx>
        <c:axId val="81007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98283"/>
        <c:crossesAt val="0"/>
        <c:auto val="1"/>
        <c:lblOffset val="100"/>
        <c:tickLblSkip val="1"/>
        <c:noMultiLvlLbl val="0"/>
      </c:catAx>
      <c:valAx>
        <c:axId val="579828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100794"/>
        <c:crossesAt val="1"/>
        <c:crossBetween val="between"/>
        <c:dispUnits/>
      </c:valAx>
      <c:spPr>
        <a:noFill/>
        <a:ln>
          <a:noFill/>
        </a:ln>
      </c:spPr>
    </c:plotArea>
    <c:legend>
      <c:legendPos val="r"/>
      <c:layout>
        <c:manualLayout>
          <c:xMode val="edge"/>
          <c:yMode val="edge"/>
          <c:x val="0.005"/>
          <c:y val="0.6975"/>
          <c:w val="0.9565"/>
          <c:h val="0.1727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3525"/>
          <c:w val="0.80925"/>
          <c:h val="0.71775"/>
        </c:manualLayout>
      </c:layout>
      <c:barChart>
        <c:barDir val="bar"/>
        <c:grouping val="percentStacked"/>
        <c:varyColors val="0"/>
        <c:ser>
          <c:idx val="0"/>
          <c:order val="0"/>
          <c:tx>
            <c:strRef>
              <c:f>'Introducción de datos'!$D$91</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datos'!$D$92:$D$93</c:f>
              <c:numCache>
                <c:ptCount val="2"/>
                <c:pt idx="0">
                  <c:v>0</c:v>
                </c:pt>
                <c:pt idx="1">
                  <c:v>20</c:v>
                </c:pt>
              </c:numCache>
            </c:numRef>
          </c:val>
        </c:ser>
        <c:ser>
          <c:idx val="1"/>
          <c:order val="1"/>
          <c:tx>
            <c:strRef>
              <c:f>'Introducción de datos'!$E$91</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datos'!$B$92:$B$93</c:f>
              <c:strCache>
                <c:ptCount val="2"/>
                <c:pt idx="0">
                  <c:v>Sub SR al SR</c:v>
                </c:pt>
                <c:pt idx="1">
                  <c:v>SR al RP</c:v>
                </c:pt>
              </c:strCache>
            </c:strRef>
          </c:cat>
          <c:val>
            <c:numRef>
              <c:f>'Introducción de datos'!$E$92:$E$93</c:f>
              <c:numCache>
                <c:ptCount val="2"/>
                <c:pt idx="0">
                  <c:v>0</c:v>
                </c:pt>
                <c:pt idx="1">
                  <c:v>0</c:v>
                </c:pt>
              </c:numCache>
            </c:numRef>
          </c:val>
        </c:ser>
        <c:overlap val="100"/>
        <c:gapWidth val="79"/>
        <c:axId val="52184548"/>
        <c:axId val="67007749"/>
      </c:barChart>
      <c:catAx>
        <c:axId val="521845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7007749"/>
        <c:crossesAt val="0"/>
        <c:auto val="1"/>
        <c:lblOffset val="100"/>
        <c:tickLblSkip val="1"/>
        <c:noMultiLvlLbl val="0"/>
      </c:catAx>
      <c:valAx>
        <c:axId val="67007749"/>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2184548"/>
        <c:crosses val="max"/>
        <c:crossBetween val="between"/>
        <c:dispUnits/>
      </c:valAx>
      <c:spPr>
        <a:solidFill>
          <a:srgbClr val="FFFFFF"/>
        </a:solidFill>
        <a:ln w="3175">
          <a:noFill/>
        </a:ln>
      </c:spPr>
    </c:plotArea>
    <c:legend>
      <c:legendPos val="r"/>
      <c:layout>
        <c:manualLayout>
          <c:xMode val="edge"/>
          <c:yMode val="edge"/>
          <c:x val="0.33475"/>
          <c:y val="0.8145"/>
          <c:w val="0.304"/>
          <c:h val="0.1267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25"/>
          <c:y val="0.094"/>
          <c:w val="0.876"/>
          <c:h val="0.666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datos'!$C$102:$N$102</c:f>
              <c:numCache>
                <c:ptCount val="12"/>
                <c:pt idx="0">
                  <c:v>213862</c:v>
                </c:pt>
                <c:pt idx="1">
                  <c:v>213862</c:v>
                </c:pt>
                <c:pt idx="2">
                  <c:v>706803</c:v>
                </c:pt>
                <c:pt idx="3">
                  <c:v>706803</c:v>
                </c:pt>
                <c:pt idx="4">
                  <c:v>1406485</c:v>
                </c:pt>
                <c:pt idx="5">
                  <c:v>1406485</c:v>
                </c:pt>
                <c:pt idx="6">
                  <c:v>1406485</c:v>
                </c:pt>
                <c:pt idx="7">
                  <c:v>1406485</c:v>
                </c:pt>
                <c:pt idx="8">
                  <c:v>1406485</c:v>
                </c:pt>
                <c:pt idx="9">
                  <c:v>1406485</c:v>
                </c:pt>
                <c:pt idx="10">
                  <c:v>1406485</c:v>
                </c:pt>
                <c:pt idx="11">
                  <c:v>1406485</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datos'!$C$103:$N$103</c:f>
              <c:numCache>
                <c:ptCount val="12"/>
                <c:pt idx="0">
                  <c:v>142579</c:v>
                </c:pt>
                <c:pt idx="1">
                  <c:v>177148</c:v>
                </c:pt>
                <c:pt idx="2">
                  <c:v>221493.94</c:v>
                </c:pt>
                <c:pt idx="3">
                  <c:v>221493.94</c:v>
                </c:pt>
                <c:pt idx="4">
                  <c:v>221493.94</c:v>
                </c:pt>
                <c:pt idx="5">
                  <c:v>221493.94</c:v>
                </c:pt>
                <c:pt idx="6">
                  <c:v>221493.94</c:v>
                </c:pt>
                <c:pt idx="7">
                  <c:v>221493.94</c:v>
                </c:pt>
                <c:pt idx="8">
                  <c:v>221493.94</c:v>
                </c:pt>
                <c:pt idx="9">
                  <c:v>221493.94</c:v>
                </c:pt>
                <c:pt idx="10">
                  <c:v>221493.94</c:v>
                </c:pt>
                <c:pt idx="11">
                  <c:v>221493.94</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datos'!$C$104:$N$104</c:f>
              <c:numCache>
                <c:ptCount val="12"/>
                <c:pt idx="0">
                  <c:v>0</c:v>
                </c:pt>
                <c:pt idx="1">
                  <c:v>0</c:v>
                </c:pt>
                <c:pt idx="2">
                  <c:v>166256.54</c:v>
                </c:pt>
                <c:pt idx="3">
                  <c:v>166256.54</c:v>
                </c:pt>
                <c:pt idx="4">
                  <c:v>166256.54</c:v>
                </c:pt>
                <c:pt idx="5">
                  <c:v>166256.54</c:v>
                </c:pt>
                <c:pt idx="6">
                  <c:v>166256.54</c:v>
                </c:pt>
                <c:pt idx="7">
                  <c:v>166256.54</c:v>
                </c:pt>
                <c:pt idx="8">
                  <c:v>166256.54</c:v>
                </c:pt>
                <c:pt idx="9">
                  <c:v>166256.54</c:v>
                </c:pt>
                <c:pt idx="10">
                  <c:v>166256.54</c:v>
                </c:pt>
                <c:pt idx="11">
                  <c:v>166256.54</c:v>
                </c:pt>
              </c:numCache>
            </c:numRef>
          </c:val>
          <c:smooth val="0"/>
        </c:ser>
        <c:marker val="1"/>
        <c:axId val="66198830"/>
        <c:axId val="58918559"/>
      </c:lineChart>
      <c:catAx>
        <c:axId val="661988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58918559"/>
        <c:crossesAt val="0"/>
        <c:auto val="1"/>
        <c:lblOffset val="100"/>
        <c:tickLblSkip val="1"/>
        <c:noMultiLvlLbl val="0"/>
      </c:catAx>
      <c:valAx>
        <c:axId val="589185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6198830"/>
        <c:crossesAt val="1"/>
        <c:crossBetween val="midCat"/>
        <c:dispUnits/>
      </c:valAx>
      <c:spPr>
        <a:solidFill>
          <a:srgbClr val="FFFFFF"/>
        </a:solidFill>
        <a:ln w="12700">
          <a:solidFill>
            <a:srgbClr val="808080"/>
          </a:solidFill>
        </a:ln>
      </c:spPr>
    </c:plotArea>
    <c:legend>
      <c:legendPos val="r"/>
      <c:layout>
        <c:manualLayout>
          <c:xMode val="edge"/>
          <c:yMode val="edge"/>
          <c:x val="0.00875"/>
          <c:y val="0.678"/>
          <c:w val="0.85675"/>
          <c:h val="0.20625"/>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75"/>
          <c:y val="0.0755"/>
          <c:w val="0.86425"/>
          <c:h val="0.828"/>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1171</c:v>
                </c:pt>
                <c:pt idx="1">
                  <c:v>1175</c:v>
                </c:pt>
                <c:pt idx="2">
                  <c:v>2196</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44</c:v>
                </c:pt>
                <c:pt idx="1">
                  <c:v>2918</c:v>
                </c:pt>
                <c:pt idx="2">
                  <c:v>2582</c:v>
                </c:pt>
              </c:numCache>
            </c:numRef>
          </c:val>
        </c:ser>
        <c:axId val="60504984"/>
        <c:axId val="7673945"/>
      </c:barChart>
      <c:catAx>
        <c:axId val="605049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7673945"/>
        <c:crossesAt val="0"/>
        <c:auto val="1"/>
        <c:lblOffset val="100"/>
        <c:tickLblSkip val="1"/>
        <c:noMultiLvlLbl val="0"/>
      </c:catAx>
      <c:valAx>
        <c:axId val="7673945"/>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0504984"/>
        <c:crossesAt val="1"/>
        <c:crossBetween val="between"/>
        <c:dispUnits/>
      </c:valAx>
      <c:spPr>
        <a:noFill/>
        <a:ln>
          <a:noFill/>
        </a:ln>
      </c:spPr>
    </c:plotArea>
    <c:legend>
      <c:legendPos val="r"/>
      <c:layout>
        <c:manualLayout>
          <c:xMode val="edge"/>
          <c:yMode val="edge"/>
          <c:x val="0.127"/>
          <c:y val="0.8805"/>
          <c:w val="0.534"/>
          <c:h val="0.07525"/>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581025</xdr:colOff>
      <xdr:row>12</xdr:row>
      <xdr:rowOff>0</xdr:rowOff>
    </xdr:to>
    <xdr:sp>
      <xdr:nvSpPr>
        <xdr:cNvPr id="5" name="AutoShape 27">
          <a:hlinkClick r:id="rId3"/>
        </xdr:cNvPr>
        <xdr:cNvSpPr>
          <a:spLocks/>
        </xdr:cNvSpPr>
      </xdr:nvSpPr>
      <xdr:spPr>
        <a:xfrm>
          <a:off x="3438525"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143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38100</xdr:rowOff>
    </xdr:from>
    <xdr:to>
      <xdr:col>6</xdr:col>
      <xdr:colOff>581025</xdr:colOff>
      <xdr:row>14</xdr:row>
      <xdr:rowOff>161925</xdr:rowOff>
    </xdr:to>
    <xdr:sp>
      <xdr:nvSpPr>
        <xdr:cNvPr id="11" name="AutoShape 27">
          <a:hlinkClick r:id="rId5"/>
        </xdr:cNvPr>
        <xdr:cNvSpPr>
          <a:spLocks/>
        </xdr:cNvSpPr>
      </xdr:nvSpPr>
      <xdr:spPr>
        <a:xfrm>
          <a:off x="3438525" y="2990850"/>
          <a:ext cx="1028700" cy="3143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5</xdr:row>
      <xdr:rowOff>0</xdr:rowOff>
    </xdr:from>
    <xdr:to>
      <xdr:col>7</xdr:col>
      <xdr:colOff>390525</xdr:colOff>
      <xdr:row>6</xdr:row>
      <xdr:rowOff>47625</xdr:rowOff>
    </xdr:to>
    <xdr:sp>
      <xdr:nvSpPr>
        <xdr:cNvPr id="13" name="Rectangle 803"/>
        <xdr:cNvSpPr>
          <a:spLocks/>
        </xdr:cNvSpPr>
      </xdr:nvSpPr>
      <xdr:spPr>
        <a:xfrm>
          <a:off x="2705100"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772150" y="2619375"/>
          <a:ext cx="139065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14</xdr:row>
      <xdr:rowOff>104775</xdr:rowOff>
    </xdr:from>
    <xdr:to>
      <xdr:col>11</xdr:col>
      <xdr:colOff>85725</xdr:colOff>
      <xdr:row>16</xdr:row>
      <xdr:rowOff>76200</xdr:rowOff>
    </xdr:to>
    <xdr:sp>
      <xdr:nvSpPr>
        <xdr:cNvPr id="20" name="AutoShape 31">
          <a:hlinkClick r:id="rId7"/>
        </xdr:cNvPr>
        <xdr:cNvSpPr>
          <a:spLocks/>
        </xdr:cNvSpPr>
      </xdr:nvSpPr>
      <xdr:spPr>
        <a:xfrm>
          <a:off x="5743575" y="3248025"/>
          <a:ext cx="1390650"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28650" y="3514725"/>
          <a:ext cx="1447800" cy="3810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476250</xdr:colOff>
      <xdr:row>11</xdr:row>
      <xdr:rowOff>180975</xdr:rowOff>
    </xdr:to>
    <xdr:sp>
      <xdr:nvSpPr>
        <xdr:cNvPr id="26" name="AutoShape 31">
          <a:hlinkClick r:id="rId9"/>
        </xdr:cNvPr>
        <xdr:cNvSpPr>
          <a:spLocks/>
        </xdr:cNvSpPr>
      </xdr:nvSpPr>
      <xdr:spPr>
        <a:xfrm>
          <a:off x="628650" y="24479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314325</xdr:colOff>
      <xdr:row>7</xdr:row>
      <xdr:rowOff>104775</xdr:rowOff>
    </xdr:from>
    <xdr:to>
      <xdr:col>4</xdr:col>
      <xdr:colOff>66675</xdr:colOff>
      <xdr:row>10</xdr:row>
      <xdr:rowOff>0</xdr:rowOff>
    </xdr:to>
    <xdr:sp fLocksText="0">
      <xdr:nvSpPr>
        <xdr:cNvPr id="32" name="Text Box 2013"/>
        <xdr:cNvSpPr txBox="1">
          <a:spLocks noChangeArrowheads="1"/>
        </xdr:cNvSpPr>
      </xdr:nvSpPr>
      <xdr:spPr>
        <a:xfrm>
          <a:off x="390525" y="1914525"/>
          <a:ext cx="203835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76200</xdr:colOff>
      <xdr:row>7</xdr:row>
      <xdr:rowOff>104775</xdr:rowOff>
    </xdr:from>
    <xdr:to>
      <xdr:col>11</xdr:col>
      <xdr:colOff>333375</xdr:colOff>
      <xdr:row>9</xdr:row>
      <xdr:rowOff>104775</xdr:rowOff>
    </xdr:to>
    <xdr:sp fLocksText="0">
      <xdr:nvSpPr>
        <xdr:cNvPr id="36" name="Text Box 2019"/>
        <xdr:cNvSpPr txBox="1">
          <a:spLocks noChangeArrowheads="1"/>
        </xdr:cNvSpPr>
      </xdr:nvSpPr>
      <xdr:spPr>
        <a:xfrm>
          <a:off x="5486400" y="1914525"/>
          <a:ext cx="189547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438150</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85725" y="38100"/>
          <a:ext cx="91440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810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743450"/>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933450</xdr:colOff>
      <xdr:row>0</xdr:row>
      <xdr:rowOff>333375</xdr:rowOff>
    </xdr:to>
    <xdr:sp>
      <xdr:nvSpPr>
        <xdr:cNvPr id="2" name="AutoShape 50">
          <a:hlinkClick r:id="rId1"/>
        </xdr:cNvPr>
        <xdr:cNvSpPr>
          <a:spLocks/>
        </xdr:cNvSpPr>
      </xdr:nvSpPr>
      <xdr:spPr>
        <a:xfrm>
          <a:off x="17145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3648075"/>
        <a:ext cx="4552950" cy="1685925"/>
      </xdr:xfrm>
      <a:graphic>
        <a:graphicData uri="http://schemas.openxmlformats.org/drawingml/2006/chart">
          <c:chart xmlns:c="http://schemas.openxmlformats.org/drawingml/2006/chart" r:id="rId1"/>
        </a:graphicData>
      </a:graphic>
    </xdr:graphicFrame>
    <xdr:clientData/>
  </xdr:twoCellAnchor>
  <xdr:twoCellAnchor>
    <xdr:from>
      <xdr:col>5</xdr:col>
      <xdr:colOff>895350</xdr:colOff>
      <xdr:row>9</xdr:row>
      <xdr:rowOff>9525</xdr:rowOff>
    </xdr:from>
    <xdr:to>
      <xdr:col>13</xdr:col>
      <xdr:colOff>514350</xdr:colOff>
      <xdr:row>22</xdr:row>
      <xdr:rowOff>76200</xdr:rowOff>
    </xdr:to>
    <xdr:graphicFrame>
      <xdr:nvGraphicFramePr>
        <xdr:cNvPr id="2" name="Chart 2"/>
        <xdr:cNvGraphicFramePr/>
      </xdr:nvGraphicFramePr>
      <xdr:xfrm>
        <a:off x="3819525" y="3552825"/>
        <a:ext cx="6648450" cy="2286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5</xdr:col>
      <xdr:colOff>1733550</xdr:colOff>
      <xdr:row>31</xdr:row>
      <xdr:rowOff>38100</xdr:rowOff>
    </xdr:to>
    <xdr:graphicFrame>
      <xdr:nvGraphicFramePr>
        <xdr:cNvPr id="3" name="Chart 3"/>
        <xdr:cNvGraphicFramePr/>
      </xdr:nvGraphicFramePr>
      <xdr:xfrm>
        <a:off x="0" y="7010400"/>
        <a:ext cx="4657725" cy="1876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695325</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885950"/>
        <a:ext cx="5838825" cy="13335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848100"/>
        <a:ext cx="4143375" cy="1819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1990725"/>
        <a:ext cx="4524375" cy="1323975"/>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857625"/>
        <a:ext cx="6600825" cy="182880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35</xdr:row>
      <xdr:rowOff>228600</xdr:rowOff>
    </xdr:to>
    <xdr:graphicFrame>
      <xdr:nvGraphicFramePr>
        <xdr:cNvPr id="5" name="Chart 5"/>
        <xdr:cNvGraphicFramePr/>
      </xdr:nvGraphicFramePr>
      <xdr:xfrm>
        <a:off x="209550" y="6334125"/>
        <a:ext cx="4333875" cy="28003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14625"/>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771775"/>
        <a:ext cx="5162550"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904875</xdr:colOff>
      <xdr:row>1</xdr:row>
      <xdr:rowOff>19050</xdr:rowOff>
    </xdr:to>
    <xdr:sp>
      <xdr:nvSpPr>
        <xdr:cNvPr id="3" name="AutoShape 50">
          <a:hlinkClick r:id="rId3"/>
        </xdr:cNvPr>
        <xdr:cNvSpPr>
          <a:spLocks/>
        </xdr:cNvSpPr>
      </xdr:nvSpPr>
      <xdr:spPr>
        <a:xfrm>
          <a:off x="28575" y="19050"/>
          <a:ext cx="9048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86050"/>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904875</xdr:colOff>
      <xdr:row>0</xdr:row>
      <xdr:rowOff>381000</xdr:rowOff>
    </xdr:to>
    <xdr:sp>
      <xdr:nvSpPr>
        <xdr:cNvPr id="1" name="AutoShape 50">
          <a:hlinkClick r:id="rId1"/>
        </xdr:cNvPr>
        <xdr:cNvSpPr>
          <a:spLocks/>
        </xdr:cNvSpPr>
      </xdr:nvSpPr>
      <xdr:spPr>
        <a:xfrm>
          <a:off x="47625" y="476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685800</xdr:colOff>
      <xdr:row>0</xdr:row>
      <xdr:rowOff>361950</xdr:rowOff>
    </xdr:to>
    <xdr:sp>
      <xdr:nvSpPr>
        <xdr:cNvPr id="1" name="AutoShape 50">
          <a:hlinkClick r:id="rId1"/>
        </xdr:cNvPr>
        <xdr:cNvSpPr>
          <a:spLocks/>
        </xdr:cNvSpPr>
      </xdr:nvSpPr>
      <xdr:spPr>
        <a:xfrm>
          <a:off x="28575" y="28575"/>
          <a:ext cx="93345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81" t="str">
        <f>+'[1]Información de la subvención'!B3:J3</f>
        <v>Tablero de mando:  Ficticia - VIH / SIDA</v>
      </c>
      <c r="C2" s="481"/>
      <c r="D2" s="481"/>
      <c r="E2" s="481"/>
      <c r="F2" s="481"/>
      <c r="G2" s="481"/>
      <c r="H2" s="481"/>
      <c r="I2" s="481"/>
      <c r="J2" s="481"/>
      <c r="K2" s="481"/>
      <c r="L2" s="481"/>
      <c r="M2" s="1"/>
      <c r="N2" s="1"/>
      <c r="O2" s="1"/>
    </row>
    <row r="4" spans="2:12" ht="21">
      <c r="B4" s="482" t="str">
        <f>+'Introducción de datos'!G6&amp;"  "&amp;+'Introducción de datos'!G8&amp;",  "&amp;+'Introducción de datos'!I8</f>
        <v>VIH / SIDA  Seleccionar,  Seleccionar</v>
      </c>
      <c r="C4" s="482"/>
      <c r="D4" s="482"/>
      <c r="E4" s="482"/>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62" t="str">
        <f>'Información de la subvención'!B3:J3</f>
        <v>Tablero de mando:  El Salvador - VIH / SIDA</v>
      </c>
      <c r="C3" s="762"/>
      <c r="D3" s="762"/>
      <c r="E3" s="762"/>
      <c r="F3" s="762"/>
      <c r="G3" s="762"/>
      <c r="H3" s="762"/>
      <c r="I3" s="248"/>
    </row>
    <row r="6" spans="2:8" ht="18">
      <c r="B6" s="763" t="s">
        <v>34</v>
      </c>
      <c r="C6" s="763"/>
      <c r="D6" s="763"/>
      <c r="E6" s="763"/>
      <c r="F6" s="763"/>
      <c r="G6" s="763"/>
      <c r="H6" s="763"/>
    </row>
    <row r="8" spans="2:15" ht="18">
      <c r="B8" s="388" t="s">
        <v>35</v>
      </c>
      <c r="C8" s="388" t="s">
        <v>36</v>
      </c>
      <c r="D8" s="388" t="s">
        <v>37</v>
      </c>
      <c r="E8" s="388" t="s">
        <v>38</v>
      </c>
      <c r="F8" s="388" t="s">
        <v>39</v>
      </c>
      <c r="G8" s="388" t="s">
        <v>40</v>
      </c>
      <c r="H8" s="388" t="s">
        <v>41</v>
      </c>
      <c r="I8" s="389" t="s">
        <v>42</v>
      </c>
      <c r="J8" s="389" t="s">
        <v>43</v>
      </c>
      <c r="M8" s="10"/>
      <c r="N8" s="10"/>
      <c r="O8" s="10"/>
    </row>
    <row r="9" spans="2:15" ht="14.25">
      <c r="B9" s="390" t="s">
        <v>44</v>
      </c>
      <c r="C9" s="390" t="s">
        <v>44</v>
      </c>
      <c r="D9" s="390" t="s">
        <v>44</v>
      </c>
      <c r="E9" s="390" t="s">
        <v>44</v>
      </c>
      <c r="F9" s="390" t="s">
        <v>44</v>
      </c>
      <c r="G9" s="390" t="s">
        <v>44</v>
      </c>
      <c r="H9" s="390" t="s">
        <v>44</v>
      </c>
      <c r="I9" s="391" t="s">
        <v>44</v>
      </c>
      <c r="J9" s="390" t="s">
        <v>44</v>
      </c>
      <c r="M9" s="10"/>
      <c r="N9" s="10"/>
      <c r="O9" s="10"/>
    </row>
    <row r="10" spans="2:15" ht="14.25">
      <c r="B10" s="392" t="s">
        <v>45</v>
      </c>
      <c r="C10" s="392" t="s">
        <v>205</v>
      </c>
      <c r="D10" s="392" t="s">
        <v>46</v>
      </c>
      <c r="E10" s="392" t="s">
        <v>47</v>
      </c>
      <c r="F10" s="392" t="s">
        <v>16</v>
      </c>
      <c r="G10" s="393" t="s">
        <v>188</v>
      </c>
      <c r="H10" s="394" t="s">
        <v>48</v>
      </c>
      <c r="I10" s="395" t="s">
        <v>271</v>
      </c>
      <c r="J10" s="390" t="s">
        <v>49</v>
      </c>
      <c r="M10" s="10"/>
      <c r="N10" s="10"/>
      <c r="O10" s="10"/>
    </row>
    <row r="11" spans="2:15" ht="14.25">
      <c r="B11" s="392" t="s">
        <v>50</v>
      </c>
      <c r="C11" s="392" t="s">
        <v>51</v>
      </c>
      <c r="D11" s="392" t="s">
        <v>52</v>
      </c>
      <c r="E11" s="392" t="s">
        <v>183</v>
      </c>
      <c r="F11" s="392" t="s">
        <v>17</v>
      </c>
      <c r="G11" s="393" t="s">
        <v>53</v>
      </c>
      <c r="H11" s="394" t="s">
        <v>54</v>
      </c>
      <c r="I11" s="395" t="s">
        <v>272</v>
      </c>
      <c r="J11" s="390" t="s">
        <v>55</v>
      </c>
      <c r="M11" s="10"/>
      <c r="N11" s="10"/>
      <c r="O11" s="10"/>
    </row>
    <row r="12" spans="2:15" ht="14.25">
      <c r="B12" s="392" t="s">
        <v>177</v>
      </c>
      <c r="D12" s="392" t="s">
        <v>56</v>
      </c>
      <c r="E12" s="392" t="s">
        <v>57</v>
      </c>
      <c r="F12" s="392" t="s">
        <v>18</v>
      </c>
      <c r="G12" s="393" t="s">
        <v>58</v>
      </c>
      <c r="H12" s="394" t="s">
        <v>59</v>
      </c>
      <c r="I12" s="395" t="s">
        <v>273</v>
      </c>
      <c r="J12" s="390" t="s">
        <v>60</v>
      </c>
      <c r="M12" s="396"/>
      <c r="N12" s="10"/>
      <c r="O12" s="10"/>
    </row>
    <row r="13" spans="2:15" ht="14.25">
      <c r="B13" s="392" t="s">
        <v>61</v>
      </c>
      <c r="D13" s="392" t="s">
        <v>62</v>
      </c>
      <c r="E13" s="397"/>
      <c r="F13" s="392" t="s">
        <v>19</v>
      </c>
      <c r="G13" s="393" t="s">
        <v>63</v>
      </c>
      <c r="H13" s="394" t="s">
        <v>64</v>
      </c>
      <c r="I13" s="395" t="s">
        <v>274</v>
      </c>
      <c r="J13" s="390" t="s">
        <v>65</v>
      </c>
      <c r="M13" s="396"/>
      <c r="N13" s="10"/>
      <c r="O13" s="10"/>
    </row>
    <row r="14" spans="2:15" ht="14.25">
      <c r="B14" s="392" t="s">
        <v>66</v>
      </c>
      <c r="D14" s="392" t="s">
        <v>67</v>
      </c>
      <c r="F14" s="392" t="s">
        <v>20</v>
      </c>
      <c r="G14" s="393" t="s">
        <v>68</v>
      </c>
      <c r="H14" s="394" t="s">
        <v>69</v>
      </c>
      <c r="I14" s="395" t="s">
        <v>70</v>
      </c>
      <c r="J14" s="390" t="s">
        <v>71</v>
      </c>
      <c r="M14" s="396"/>
      <c r="N14" s="10"/>
      <c r="O14" s="10"/>
    </row>
    <row r="15" spans="4:15" ht="14.25">
      <c r="D15" s="392" t="s">
        <v>72</v>
      </c>
      <c r="F15" s="392" t="s">
        <v>21</v>
      </c>
      <c r="H15" s="394" t="s">
        <v>73</v>
      </c>
      <c r="I15" s="395" t="s">
        <v>74</v>
      </c>
      <c r="J15" s="390" t="s">
        <v>75</v>
      </c>
      <c r="M15" s="396"/>
      <c r="N15" s="10"/>
      <c r="O15" s="10"/>
    </row>
    <row r="16" spans="4:15" ht="14.25">
      <c r="D16" s="392" t="s">
        <v>76</v>
      </c>
      <c r="F16" s="392" t="s">
        <v>22</v>
      </c>
      <c r="H16" s="394" t="s">
        <v>77</v>
      </c>
      <c r="I16" s="395" t="s">
        <v>78</v>
      </c>
      <c r="J16" s="390" t="s">
        <v>79</v>
      </c>
      <c r="M16" s="396"/>
      <c r="N16" s="10"/>
      <c r="O16" s="10"/>
    </row>
    <row r="17" spans="4:15" ht="14.25">
      <c r="D17" s="392" t="s">
        <v>80</v>
      </c>
      <c r="F17" s="392" t="s">
        <v>23</v>
      </c>
      <c r="H17" s="394" t="s">
        <v>81</v>
      </c>
      <c r="I17" s="395" t="s">
        <v>82</v>
      </c>
      <c r="J17" s="390" t="s">
        <v>83</v>
      </c>
      <c r="M17" s="396"/>
      <c r="N17" s="10"/>
      <c r="O17" s="10"/>
    </row>
    <row r="18" spans="4:15" ht="14.25">
      <c r="D18" s="392" t="s">
        <v>181</v>
      </c>
      <c r="F18" s="392" t="s">
        <v>209</v>
      </c>
      <c r="H18" s="394" t="s">
        <v>84</v>
      </c>
      <c r="I18" s="395" t="s">
        <v>85</v>
      </c>
      <c r="J18" s="390" t="s">
        <v>86</v>
      </c>
      <c r="M18" s="396"/>
      <c r="N18" s="10"/>
      <c r="O18" s="10"/>
    </row>
    <row r="19" spans="4:15" ht="14.25">
      <c r="D19" s="392" t="s">
        <v>87</v>
      </c>
      <c r="F19" s="392" t="s">
        <v>210</v>
      </c>
      <c r="H19" s="394" t="s">
        <v>186</v>
      </c>
      <c r="I19" s="395" t="s">
        <v>88</v>
      </c>
      <c r="J19" s="390" t="s">
        <v>89</v>
      </c>
      <c r="M19" s="396"/>
      <c r="N19" s="10"/>
      <c r="O19" s="10"/>
    </row>
    <row r="20" spans="4:15" ht="14.25">
      <c r="D20" s="398"/>
      <c r="F20" s="392" t="s">
        <v>211</v>
      </c>
      <c r="H20" s="394" t="s">
        <v>90</v>
      </c>
      <c r="I20" s="395" t="s">
        <v>91</v>
      </c>
      <c r="J20" s="390" t="s">
        <v>92</v>
      </c>
      <c r="M20" s="10"/>
      <c r="N20" s="10"/>
      <c r="O20" s="10"/>
    </row>
    <row r="21" spans="4:15" ht="14.25">
      <c r="D21" s="399"/>
      <c r="F21" s="392" t="s">
        <v>193</v>
      </c>
      <c r="H21" s="399"/>
      <c r="I21" s="395" t="s">
        <v>93</v>
      </c>
      <c r="J21" s="390" t="s">
        <v>94</v>
      </c>
      <c r="M21" s="10"/>
      <c r="N21" s="10"/>
      <c r="O21" s="10"/>
    </row>
    <row r="22" spans="8:15" ht="14.25">
      <c r="H22" s="399"/>
      <c r="I22" s="395" t="s">
        <v>95</v>
      </c>
      <c r="J22" s="390" t="s">
        <v>96</v>
      </c>
      <c r="M22" s="10"/>
      <c r="N22" s="10"/>
      <c r="O22" s="10"/>
    </row>
    <row r="23" spans="9:15" ht="14.25">
      <c r="I23" s="395" t="s">
        <v>97</v>
      </c>
      <c r="J23" s="390" t="s">
        <v>98</v>
      </c>
      <c r="M23" s="10"/>
      <c r="N23" s="10"/>
      <c r="O23" s="10"/>
    </row>
    <row r="24" spans="9:15" ht="14.25">
      <c r="I24" s="395" t="s">
        <v>99</v>
      </c>
      <c r="J24" s="390" t="s">
        <v>100</v>
      </c>
      <c r="M24" s="10"/>
      <c r="N24" s="10"/>
      <c r="O24" s="10"/>
    </row>
    <row r="25" spans="9:10" ht="14.25">
      <c r="I25" s="400"/>
      <c r="J25" s="390" t="s">
        <v>101</v>
      </c>
    </row>
    <row r="26" spans="9:10" ht="14.25">
      <c r="I26" s="395" t="s">
        <v>102</v>
      </c>
      <c r="J26" s="390" t="s">
        <v>103</v>
      </c>
    </row>
    <row r="27" spans="9:10" ht="14.25">
      <c r="I27" s="395" t="s">
        <v>104</v>
      </c>
      <c r="J27" s="390" t="s">
        <v>173</v>
      </c>
    </row>
    <row r="28" spans="9:10" ht="14.25">
      <c r="I28" s="400" t="s">
        <v>105</v>
      </c>
      <c r="J28" s="390" t="s">
        <v>106</v>
      </c>
    </row>
    <row r="29" spans="9:10" ht="14.25">
      <c r="I29" s="400" t="s">
        <v>107</v>
      </c>
      <c r="J29" s="390" t="s">
        <v>108</v>
      </c>
    </row>
    <row r="30" spans="9:10" ht="14.25">
      <c r="I30" s="400" t="s">
        <v>109</v>
      </c>
      <c r="J30" s="390" t="s">
        <v>110</v>
      </c>
    </row>
    <row r="31" ht="14.25">
      <c r="J31" s="390" t="s">
        <v>111</v>
      </c>
    </row>
    <row r="32" ht="14.25">
      <c r="J32" s="390" t="s">
        <v>112</v>
      </c>
    </row>
    <row r="33" ht="14.25">
      <c r="J33" s="390" t="s">
        <v>113</v>
      </c>
    </row>
    <row r="34" ht="14.25">
      <c r="J34" s="390" t="s">
        <v>114</v>
      </c>
    </row>
    <row r="35" ht="14.25">
      <c r="J35" s="390" t="s">
        <v>115</v>
      </c>
    </row>
    <row r="36" ht="14.25">
      <c r="J36" s="390" t="s">
        <v>116</v>
      </c>
    </row>
    <row r="37" ht="14.25">
      <c r="J37" s="390" t="s">
        <v>117</v>
      </c>
    </row>
    <row r="38" ht="14.25">
      <c r="J38" s="390" t="s">
        <v>118</v>
      </c>
    </row>
    <row r="39" ht="14.25">
      <c r="J39" s="390" t="s">
        <v>119</v>
      </c>
    </row>
    <row r="40" ht="14.25">
      <c r="J40" s="390" t="s">
        <v>120</v>
      </c>
    </row>
    <row r="41" ht="14.25">
      <c r="J41" s="390" t="s">
        <v>121</v>
      </c>
    </row>
    <row r="42" ht="14.25">
      <c r="J42" s="390" t="s">
        <v>122</v>
      </c>
    </row>
    <row r="43" ht="14.25">
      <c r="J43" s="390" t="s">
        <v>123</v>
      </c>
    </row>
    <row r="44" ht="14.25">
      <c r="J44" s="390" t="s">
        <v>124</v>
      </c>
    </row>
    <row r="45" ht="14.25">
      <c r="J45" s="390" t="s">
        <v>125</v>
      </c>
    </row>
    <row r="46" ht="14.25">
      <c r="J46" s="390" t="s">
        <v>126</v>
      </c>
    </row>
    <row r="47" ht="14.25">
      <c r="J47" s="390" t="s">
        <v>127</v>
      </c>
    </row>
    <row r="48" ht="14.25">
      <c r="J48" s="390"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dimension ref="B3:F12"/>
  <sheetViews>
    <sheetView zoomScalePageLayoutView="0" workbookViewId="0" topLeftCell="A1">
      <selection activeCell="D6" sqref="D6"/>
    </sheetView>
  </sheetViews>
  <sheetFormatPr defaultColWidth="11.421875" defaultRowHeight="15"/>
  <cols>
    <col min="2" max="2" width="22.421875" style="0" customWidth="1"/>
    <col min="3" max="5" width="12.57421875" style="0" customWidth="1"/>
    <col min="6" max="6" width="13.8515625" style="0" customWidth="1"/>
  </cols>
  <sheetData>
    <row r="3" ht="14.25">
      <c r="B3" t="s">
        <v>337</v>
      </c>
    </row>
    <row r="5" spans="2:6" ht="42.75">
      <c r="B5" s="434" t="s">
        <v>338</v>
      </c>
      <c r="C5" s="435" t="s">
        <v>340</v>
      </c>
      <c r="D5" s="435" t="s">
        <v>341</v>
      </c>
      <c r="E5" s="435" t="s">
        <v>342</v>
      </c>
      <c r="F5" s="436" t="s">
        <v>345</v>
      </c>
    </row>
    <row r="6" spans="2:6" ht="14.25">
      <c r="B6" s="434" t="s">
        <v>339</v>
      </c>
      <c r="C6" s="434">
        <v>120</v>
      </c>
      <c r="D6" s="434">
        <v>576</v>
      </c>
      <c r="E6" s="434">
        <v>144</v>
      </c>
      <c r="F6" s="434">
        <f>SUM(C6:E6)</f>
        <v>840</v>
      </c>
    </row>
    <row r="7" spans="2:6" ht="14.25">
      <c r="B7" s="434" t="s">
        <v>326</v>
      </c>
      <c r="C7" s="434"/>
      <c r="D7" s="434">
        <v>18</v>
      </c>
      <c r="E7" s="434"/>
      <c r="F7" s="434">
        <f>SUM(D7:E7)</f>
        <v>18</v>
      </c>
    </row>
    <row r="10" spans="2:6" ht="46.5" customHeight="1">
      <c r="B10" s="435" t="s">
        <v>343</v>
      </c>
      <c r="C10" s="435" t="s">
        <v>340</v>
      </c>
      <c r="D10" s="435" t="s">
        <v>341</v>
      </c>
      <c r="E10" s="435" t="s">
        <v>342</v>
      </c>
      <c r="F10" s="436" t="s">
        <v>344</v>
      </c>
    </row>
    <row r="11" spans="2:6" ht="14.25">
      <c r="B11" s="434" t="s">
        <v>339</v>
      </c>
      <c r="C11" s="434">
        <f>120/2</f>
        <v>60</v>
      </c>
      <c r="D11" s="434">
        <f>576/2</f>
        <v>288</v>
      </c>
      <c r="E11" s="434">
        <f>144/2</f>
        <v>72</v>
      </c>
      <c r="F11" s="434">
        <f>SUM(C11:E11)</f>
        <v>420</v>
      </c>
    </row>
    <row r="12" spans="2:6" ht="14.25">
      <c r="B12" s="434" t="s">
        <v>326</v>
      </c>
      <c r="C12" s="434"/>
      <c r="D12" s="434">
        <f>18/2</f>
        <v>9</v>
      </c>
      <c r="E12" s="434"/>
      <c r="F12" s="434">
        <f>SUM(D12:E12)</f>
        <v>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10" activePane="bottomLeft" state="frozen"/>
      <selection pane="topLeft" activeCell="B1" sqref="B1"/>
      <selection pane="bottomLeft" activeCell="B11" sqref="B11:D1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86" t="str">
        <f>+"Cuadro de mando:  "&amp;"  "&amp;+'Introducción de datos'!C4&amp;" - "&amp;'Introducción de datos'!G6</f>
        <v>Cuadro de mando:    El Salvador - VIH / SIDA</v>
      </c>
      <c r="C2" s="486"/>
      <c r="D2" s="486"/>
      <c r="E2" s="486"/>
      <c r="F2" s="486"/>
      <c r="G2" s="486"/>
      <c r="H2" s="486"/>
      <c r="I2" s="486"/>
      <c r="J2" s="486"/>
      <c r="K2" s="486"/>
      <c r="L2" s="486"/>
      <c r="M2" s="486"/>
    </row>
    <row r="3" spans="1:13" ht="15.75" customHeight="1">
      <c r="A3" s="6"/>
      <c r="B3" s="7"/>
      <c r="C3" s="7"/>
      <c r="D3" s="7"/>
      <c r="E3" s="7"/>
      <c r="F3" s="7"/>
      <c r="G3" s="7"/>
      <c r="H3" s="7"/>
      <c r="I3" s="7"/>
      <c r="J3" s="7"/>
      <c r="K3" s="8"/>
      <c r="L3" s="8"/>
      <c r="M3" s="6"/>
    </row>
    <row r="5" spans="2:15" ht="23.25">
      <c r="B5" s="487" t="s">
        <v>129</v>
      </c>
      <c r="C5" s="487"/>
      <c r="D5" s="487"/>
      <c r="E5" s="487"/>
      <c r="F5" s="487"/>
      <c r="G5" s="487"/>
      <c r="H5" s="487"/>
      <c r="I5" s="487"/>
      <c r="J5" s="487"/>
      <c r="K5" s="487"/>
      <c r="L5" s="487"/>
      <c r="M5" s="487"/>
      <c r="N5" s="487"/>
      <c r="O5" s="487"/>
    </row>
    <row r="7" spans="2:15" ht="21">
      <c r="B7" s="488" t="s">
        <v>130</v>
      </c>
      <c r="C7" s="488"/>
      <c r="D7" s="488"/>
      <c r="E7" s="488" t="s">
        <v>131</v>
      </c>
      <c r="F7" s="488"/>
      <c r="G7" s="488"/>
      <c r="H7" s="488"/>
      <c r="I7" s="488"/>
      <c r="J7" s="488" t="s">
        <v>132</v>
      </c>
      <c r="K7" s="488"/>
      <c r="L7" s="488"/>
      <c r="M7" s="488" t="s">
        <v>133</v>
      </c>
      <c r="N7" s="488"/>
      <c r="O7" s="488"/>
    </row>
    <row r="8" spans="2:15" ht="92.25" customHeight="1">
      <c r="B8" s="483" t="str">
        <f>+'Introducción de datos'!B27</f>
        <v>F1: Presupuesto y desembolsos del Fondo Mundial</v>
      </c>
      <c r="C8" s="483"/>
      <c r="D8" s="483"/>
      <c r="E8" s="484" t="s">
        <v>134</v>
      </c>
      <c r="F8" s="484"/>
      <c r="G8" s="484"/>
      <c r="H8" s="484"/>
      <c r="I8" s="484"/>
      <c r="J8" s="485" t="s">
        <v>135</v>
      </c>
      <c r="K8" s="485"/>
      <c r="L8" s="485"/>
      <c r="M8" s="485" t="s">
        <v>136</v>
      </c>
      <c r="N8" s="485"/>
      <c r="O8" s="485"/>
    </row>
    <row r="9" spans="2:15" ht="117.75" customHeight="1">
      <c r="B9" s="483" t="str">
        <f>+'Introducción de datos'!B36</f>
        <v>F2: Presupuesto y gastos reales por objetivo de la subvención</v>
      </c>
      <c r="C9" s="483"/>
      <c r="D9" s="483"/>
      <c r="E9" s="490" t="s">
        <v>137</v>
      </c>
      <c r="F9" s="490"/>
      <c r="G9" s="490"/>
      <c r="H9" s="490"/>
      <c r="I9" s="490"/>
      <c r="J9" s="492" t="s">
        <v>138</v>
      </c>
      <c r="K9" s="492"/>
      <c r="L9" s="492"/>
      <c r="M9" s="492" t="s">
        <v>136</v>
      </c>
      <c r="N9" s="492"/>
      <c r="O9" s="492"/>
    </row>
    <row r="10" spans="2:15" ht="233.25" customHeight="1">
      <c r="B10" s="489" t="str">
        <f>+'Introducción de datos'!B49</f>
        <v>F3: Desembolsos y gastos</v>
      </c>
      <c r="C10" s="489"/>
      <c r="D10" s="489"/>
      <c r="E10" s="490" t="s">
        <v>139</v>
      </c>
      <c r="F10" s="490"/>
      <c r="G10" s="490"/>
      <c r="H10" s="490"/>
      <c r="I10" s="490"/>
      <c r="J10" s="491" t="s">
        <v>140</v>
      </c>
      <c r="K10" s="491"/>
      <c r="L10" s="491"/>
      <c r="M10" s="492" t="s">
        <v>141</v>
      </c>
      <c r="N10" s="492"/>
      <c r="O10" s="492"/>
    </row>
    <row r="11" spans="2:60" ht="279.75" customHeight="1">
      <c r="B11" s="489" t="str">
        <f>+'Introducción de datos'!B61</f>
        <v>F4: Último ciclo de información y desembolso del RP</v>
      </c>
      <c r="C11" s="489"/>
      <c r="D11" s="489"/>
      <c r="E11" s="490" t="s">
        <v>142</v>
      </c>
      <c r="F11" s="490"/>
      <c r="G11" s="490"/>
      <c r="H11" s="490"/>
      <c r="I11" s="490"/>
      <c r="J11" s="491" t="s">
        <v>143</v>
      </c>
      <c r="K11" s="491"/>
      <c r="L11" s="491"/>
      <c r="M11" s="492" t="s">
        <v>144</v>
      </c>
      <c r="N11" s="492"/>
      <c r="O11" s="492"/>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4.25">
      <c r="B12" s="493"/>
      <c r="C12" s="493"/>
      <c r="D12" s="493"/>
      <c r="E12" s="494"/>
      <c r="F12" s="494"/>
      <c r="G12" s="494"/>
      <c r="H12" s="494"/>
      <c r="I12" s="494"/>
      <c r="J12" s="494"/>
      <c r="K12" s="494"/>
      <c r="L12" s="494"/>
      <c r="M12" s="494"/>
      <c r="N12" s="494"/>
      <c r="O12" s="494"/>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4.25">
      <c r="B13" s="495"/>
      <c r="C13" s="495"/>
      <c r="D13" s="495"/>
      <c r="E13" s="496"/>
      <c r="F13" s="496"/>
      <c r="G13" s="496"/>
      <c r="H13" s="496"/>
      <c r="I13" s="496"/>
      <c r="J13" s="496"/>
      <c r="K13" s="496"/>
      <c r="L13" s="496"/>
      <c r="M13" s="496"/>
      <c r="N13" s="496"/>
      <c r="O13" s="49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4.25">
      <c r="B14" s="495"/>
      <c r="C14" s="495"/>
      <c r="D14" s="495"/>
      <c r="E14" s="496"/>
      <c r="F14" s="496"/>
      <c r="G14" s="496"/>
      <c r="H14" s="496"/>
      <c r="I14" s="496"/>
      <c r="J14" s="496"/>
      <c r="K14" s="496"/>
      <c r="L14" s="496"/>
      <c r="M14" s="496"/>
      <c r="N14" s="496"/>
      <c r="O14" s="49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4.25">
      <c r="B15" s="495"/>
      <c r="C15" s="495"/>
      <c r="D15" s="495"/>
      <c r="E15" s="496"/>
      <c r="F15" s="496"/>
      <c r="G15" s="496"/>
      <c r="H15" s="496"/>
      <c r="I15" s="496"/>
      <c r="J15" s="496"/>
      <c r="K15" s="496"/>
      <c r="L15" s="496"/>
      <c r="M15" s="496"/>
      <c r="N15" s="496"/>
      <c r="O15" s="49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87" t="s">
        <v>145</v>
      </c>
      <c r="C16" s="487"/>
      <c r="D16" s="487"/>
      <c r="E16" s="487"/>
      <c r="F16" s="487"/>
      <c r="G16" s="487"/>
      <c r="H16" s="487"/>
      <c r="I16" s="487"/>
      <c r="J16" s="487"/>
      <c r="K16" s="487"/>
      <c r="L16" s="487"/>
      <c r="M16" s="487"/>
      <c r="N16" s="487"/>
      <c r="O16" s="487"/>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4.2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497" t="s">
        <v>130</v>
      </c>
      <c r="C18" s="497"/>
      <c r="D18" s="497"/>
      <c r="E18" s="497" t="s">
        <v>131</v>
      </c>
      <c r="F18" s="497"/>
      <c r="G18" s="497"/>
      <c r="H18" s="497"/>
      <c r="I18" s="497"/>
      <c r="J18" s="497" t="s">
        <v>132</v>
      </c>
      <c r="K18" s="497"/>
      <c r="L18" s="497"/>
      <c r="M18" s="497" t="s">
        <v>146</v>
      </c>
      <c r="N18" s="497"/>
      <c r="O18" s="49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83" t="str">
        <f>+'Introducción de datos'!B72</f>
        <v>M1: Estado de las condiciones precedentes y acciones con fecha límite</v>
      </c>
      <c r="C19" s="483"/>
      <c r="D19" s="483"/>
      <c r="E19" s="490" t="s">
        <v>147</v>
      </c>
      <c r="F19" s="490"/>
      <c r="G19" s="490"/>
      <c r="H19" s="490"/>
      <c r="I19" s="490"/>
      <c r="J19" s="492" t="s">
        <v>148</v>
      </c>
      <c r="K19" s="492"/>
      <c r="L19" s="492"/>
      <c r="M19" s="492" t="s">
        <v>149</v>
      </c>
      <c r="N19" s="492"/>
      <c r="O19" s="492"/>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83" t="str">
        <f>+'Introducción de datos'!B79</f>
        <v>M2: Estado de los principales puestos directivos del RP</v>
      </c>
      <c r="C20" s="483"/>
      <c r="D20" s="483"/>
      <c r="E20" s="490" t="s">
        <v>150</v>
      </c>
      <c r="F20" s="490"/>
      <c r="G20" s="490"/>
      <c r="H20" s="490"/>
      <c r="I20" s="490"/>
      <c r="J20" s="492" t="s">
        <v>151</v>
      </c>
      <c r="K20" s="492"/>
      <c r="L20" s="492"/>
      <c r="M20" s="492" t="s">
        <v>152</v>
      </c>
      <c r="N20" s="492"/>
      <c r="O20" s="492"/>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83" t="str">
        <f>+'Introducción de datos'!B84</f>
        <v>M3: Acuerdos contractuales (subreceptores) </v>
      </c>
      <c r="C21" s="483"/>
      <c r="D21" s="483"/>
      <c r="E21" s="499" t="s">
        <v>153</v>
      </c>
      <c r="F21" s="499"/>
      <c r="G21" s="499"/>
      <c r="H21" s="499"/>
      <c r="I21" s="499"/>
      <c r="J21" s="492" t="s">
        <v>154</v>
      </c>
      <c r="K21" s="492"/>
      <c r="L21" s="492"/>
      <c r="M21" s="492" t="s">
        <v>155</v>
      </c>
      <c r="N21" s="492"/>
      <c r="O21" s="492"/>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83" t="str">
        <f>+'Introducción de datos'!B89</f>
        <v>M4: Número de informes completos recibidos a tiempo</v>
      </c>
      <c r="C22" s="483"/>
      <c r="D22" s="483"/>
      <c r="E22" s="498" t="s">
        <v>156</v>
      </c>
      <c r="F22" s="498"/>
      <c r="G22" s="498"/>
      <c r="H22" s="498"/>
      <c r="I22" s="498"/>
      <c r="J22" s="491" t="s">
        <v>157</v>
      </c>
      <c r="K22" s="491"/>
      <c r="L22" s="491"/>
      <c r="M22" s="492" t="s">
        <v>158</v>
      </c>
      <c r="N22" s="492"/>
      <c r="O22" s="492"/>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89" t="str">
        <f>+'Introducción de datos'!B96</f>
        <v>M5: Presupuesto y compra de productos y equipo sanitario, medicamentos y productos farmacéuticos</v>
      </c>
      <c r="C23" s="489"/>
      <c r="D23" s="489"/>
      <c r="E23" s="503" t="s">
        <v>159</v>
      </c>
      <c r="F23" s="503"/>
      <c r="G23" s="503"/>
      <c r="H23" s="503"/>
      <c r="I23" s="503"/>
      <c r="J23" s="492" t="s">
        <v>160</v>
      </c>
      <c r="K23" s="492"/>
      <c r="L23" s="492"/>
      <c r="M23" s="492" t="s">
        <v>161</v>
      </c>
      <c r="N23" s="492"/>
      <c r="O23" s="492"/>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89"/>
      <c r="C24" s="489"/>
      <c r="D24" s="489"/>
      <c r="E24" s="504" t="s">
        <v>162</v>
      </c>
      <c r="F24" s="504"/>
      <c r="G24" s="504"/>
      <c r="H24" s="504"/>
      <c r="I24" s="504"/>
      <c r="J24" s="492"/>
      <c r="K24" s="492"/>
      <c r="L24" s="492"/>
      <c r="M24" s="492"/>
      <c r="N24" s="492"/>
      <c r="O24" s="492"/>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83" t="str">
        <f>+'Introducción de datos'!B109</f>
        <v>M6: Diferencia entre existencias actuales y existencias de seguridad</v>
      </c>
      <c r="C25" s="483"/>
      <c r="D25" s="483"/>
      <c r="E25" s="500" t="s">
        <v>163</v>
      </c>
      <c r="F25" s="500"/>
      <c r="G25" s="500"/>
      <c r="H25" s="500"/>
      <c r="I25" s="500"/>
      <c r="J25" s="501" t="s">
        <v>164</v>
      </c>
      <c r="K25" s="501"/>
      <c r="L25" s="501"/>
      <c r="M25" s="502" t="s">
        <v>165</v>
      </c>
      <c r="N25" s="502"/>
      <c r="O25" s="502"/>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4.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4.2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4.2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87" t="s">
        <v>166</v>
      </c>
      <c r="C30" s="487"/>
      <c r="D30" s="487"/>
      <c r="E30" s="487"/>
      <c r="F30" s="487"/>
      <c r="G30" s="487"/>
      <c r="H30" s="487"/>
      <c r="I30" s="487"/>
      <c r="J30" s="487"/>
      <c r="K30" s="487"/>
      <c r="L30" s="487"/>
      <c r="M30" s="487"/>
      <c r="N30" s="487"/>
      <c r="O30" s="487"/>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4.2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8" t="s">
        <v>167</v>
      </c>
      <c r="C32" s="508"/>
      <c r="D32" s="508"/>
      <c r="E32" s="509" t="s">
        <v>168</v>
      </c>
      <c r="F32" s="509"/>
      <c r="G32" s="509"/>
      <c r="H32" s="509"/>
      <c r="I32" s="509"/>
      <c r="J32" s="509" t="s">
        <v>132</v>
      </c>
      <c r="K32" s="509"/>
      <c r="L32" s="509"/>
      <c r="M32" s="509" t="s">
        <v>146</v>
      </c>
      <c r="N32" s="509"/>
      <c r="O32" s="50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05"/>
      <c r="C33" s="505"/>
      <c r="D33" s="505"/>
      <c r="E33" s="506"/>
      <c r="F33" s="506"/>
      <c r="G33" s="506"/>
      <c r="H33" s="506"/>
      <c r="I33" s="506"/>
      <c r="J33" s="507"/>
      <c r="K33" s="507"/>
      <c r="L33" s="507"/>
      <c r="M33" s="507"/>
      <c r="N33" s="507"/>
      <c r="O33" s="507"/>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05"/>
      <c r="C34" s="505"/>
      <c r="D34" s="505"/>
      <c r="E34" s="506"/>
      <c r="F34" s="506"/>
      <c r="G34" s="506"/>
      <c r="H34" s="506"/>
      <c r="I34" s="506"/>
      <c r="J34" s="507"/>
      <c r="K34" s="507"/>
      <c r="L34" s="507"/>
      <c r="M34" s="507"/>
      <c r="N34" s="507"/>
      <c r="O34" s="507"/>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05"/>
      <c r="C35" s="505"/>
      <c r="D35" s="505"/>
      <c r="E35" s="507"/>
      <c r="F35" s="507"/>
      <c r="G35" s="507"/>
      <c r="H35" s="507"/>
      <c r="I35" s="507"/>
      <c r="J35" s="507"/>
      <c r="K35" s="507"/>
      <c r="L35" s="507"/>
      <c r="M35" s="507"/>
      <c r="N35" s="507"/>
      <c r="O35" s="507"/>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1"/>
      <c r="C36" s="511"/>
      <c r="D36" s="511"/>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05"/>
      <c r="C37" s="505"/>
      <c r="D37" s="505"/>
      <c r="E37" s="507"/>
      <c r="F37" s="507"/>
      <c r="G37" s="507"/>
      <c r="H37" s="507"/>
      <c r="I37" s="507"/>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05"/>
      <c r="C38" s="505"/>
      <c r="D38" s="505"/>
      <c r="E38" s="506"/>
      <c r="F38" s="506"/>
      <c r="G38" s="506"/>
      <c r="H38" s="506"/>
      <c r="I38" s="506"/>
      <c r="J38" s="507"/>
      <c r="K38" s="507"/>
      <c r="L38" s="507"/>
      <c r="M38" s="507"/>
      <c r="N38" s="507"/>
      <c r="O38" s="507"/>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0"/>
      <c r="C39" s="510"/>
      <c r="D39" s="510"/>
      <c r="E39" s="507"/>
      <c r="F39" s="507"/>
      <c r="G39" s="507"/>
      <c r="H39" s="507"/>
      <c r="I39" s="507"/>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2"/>
      <c r="C40" s="512"/>
      <c r="D40" s="512"/>
      <c r="E40" s="513"/>
      <c r="F40" s="513"/>
      <c r="G40" s="513"/>
      <c r="H40" s="513"/>
      <c r="I40" s="513"/>
      <c r="J40" s="507"/>
      <c r="K40" s="507"/>
      <c r="L40" s="507"/>
      <c r="M40" s="507"/>
      <c r="N40" s="507"/>
      <c r="O40" s="507"/>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0"/>
      <c r="C41" s="510"/>
      <c r="D41" s="510"/>
      <c r="E41" s="506"/>
      <c r="F41" s="506"/>
      <c r="G41" s="506"/>
      <c r="H41" s="506"/>
      <c r="I41" s="506"/>
      <c r="J41" s="507"/>
      <c r="K41" s="507"/>
      <c r="L41" s="507"/>
      <c r="M41" s="507"/>
      <c r="N41" s="507"/>
      <c r="O41" s="507"/>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0"/>
      <c r="C42" s="510"/>
      <c r="D42" s="510"/>
      <c r="E42" s="507"/>
      <c r="F42" s="507"/>
      <c r="G42" s="507"/>
      <c r="H42" s="507"/>
      <c r="I42" s="507"/>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0"/>
      <c r="C43" s="510"/>
      <c r="D43" s="510"/>
      <c r="E43" s="506"/>
      <c r="F43" s="506"/>
      <c r="G43" s="506"/>
      <c r="H43" s="506"/>
      <c r="I43" s="506"/>
      <c r="J43" s="507"/>
      <c r="K43" s="507"/>
      <c r="L43" s="507"/>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2"/>
      <c r="C44" s="512"/>
      <c r="D44" s="512"/>
      <c r="E44" s="506"/>
      <c r="F44" s="506"/>
      <c r="G44" s="506"/>
      <c r="H44" s="506"/>
      <c r="I44" s="506"/>
      <c r="J44" s="507"/>
      <c r="K44" s="507"/>
      <c r="L44" s="507"/>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12"/>
      <c r="C45" s="512"/>
      <c r="D45" s="512"/>
      <c r="E45" s="506"/>
      <c r="F45" s="506"/>
      <c r="G45" s="506"/>
      <c r="H45" s="506"/>
      <c r="I45" s="506"/>
      <c r="J45" s="507"/>
      <c r="K45" s="507"/>
      <c r="L45" s="507"/>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16"/>
      <c r="C46" s="516"/>
      <c r="D46" s="516"/>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14" t="s">
        <v>169</v>
      </c>
      <c r="C48" s="514"/>
      <c r="D48" s="514"/>
      <c r="E48" s="514"/>
      <c r="F48" s="514"/>
      <c r="G48" s="514"/>
      <c r="H48" s="514"/>
      <c r="I48" s="514"/>
      <c r="J48" s="514"/>
      <c r="K48" s="514"/>
      <c r="L48" s="514"/>
      <c r="M48" s="515" t="s">
        <v>170</v>
      </c>
      <c r="N48" s="515"/>
      <c r="O48" s="51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L20" sqref="L20"/>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41"/>
      <c r="B1" s="141"/>
      <c r="C1" s="141"/>
      <c r="D1" s="141"/>
      <c r="E1" s="141"/>
      <c r="F1" s="141"/>
      <c r="G1" s="40"/>
      <c r="H1" s="141"/>
      <c r="I1" s="141"/>
      <c r="J1" s="141"/>
    </row>
    <row r="2" ht="25.5" customHeight="1"/>
    <row r="3" spans="2:20" ht="36">
      <c r="B3" s="608" t="str">
        <f>+"Tablero de mando: "&amp;" "&amp;+'Introducción de datos'!C4&amp;" - "&amp;+'Introducción de datos'!G6</f>
        <v>Tablero de mando:  El Salvador - VIH / SIDA</v>
      </c>
      <c r="C3" s="608"/>
      <c r="D3" s="608"/>
      <c r="E3" s="608"/>
      <c r="F3" s="608"/>
      <c r="G3" s="608"/>
      <c r="H3" s="608"/>
      <c r="I3" s="608"/>
      <c r="J3" s="608"/>
      <c r="K3" s="218"/>
      <c r="L3" s="218"/>
      <c r="M3" s="218"/>
      <c r="N3" s="219"/>
      <c r="O3" s="219"/>
      <c r="P3" s="219"/>
      <c r="Q3" s="219"/>
      <c r="R3" s="219"/>
      <c r="S3" s="219"/>
      <c r="T3" s="219"/>
    </row>
    <row r="4" spans="12:20" ht="15" customHeight="1">
      <c r="L4" s="219"/>
      <c r="M4" s="219"/>
      <c r="N4" s="219"/>
      <c r="O4" s="219"/>
      <c r="P4" s="219"/>
      <c r="Q4" s="219"/>
      <c r="R4" s="219"/>
      <c r="S4" s="219"/>
      <c r="T4" s="219"/>
    </row>
    <row r="5" spans="12:20" ht="14.25">
      <c r="L5" s="219"/>
      <c r="M5" s="219"/>
      <c r="N5" s="219"/>
      <c r="O5" s="219"/>
      <c r="P5" s="219"/>
      <c r="Q5" s="219"/>
      <c r="R5" s="219"/>
      <c r="S5" s="219"/>
      <c r="T5" s="219"/>
    </row>
    <row r="6" spans="1:21" ht="32.25" customHeight="1">
      <c r="A6" s="220" t="s">
        <v>172</v>
      </c>
      <c r="B6" s="609" t="str">
        <f>+'Introducción de datos'!C4</f>
        <v>El Salvador</v>
      </c>
      <c r="C6" s="609"/>
      <c r="D6" s="610" t="s">
        <v>174</v>
      </c>
      <c r="E6" s="610"/>
      <c r="F6" s="611" t="str">
        <f>+'Introducción de datos'!G4</f>
        <v>INNOVANDO SERVICIOS, REDUCIENDO RIESGOS, RENOVANDO VIDAS EN EL SALVADOR</v>
      </c>
      <c r="G6" s="611"/>
      <c r="H6" s="611"/>
      <c r="I6" s="611"/>
      <c r="J6" s="611"/>
      <c r="K6" s="221"/>
      <c r="L6" s="222"/>
      <c r="M6" s="221"/>
      <c r="N6" s="221"/>
      <c r="O6" s="221"/>
      <c r="P6" s="223"/>
      <c r="Q6" s="224"/>
      <c r="R6" s="224"/>
      <c r="S6" s="224"/>
      <c r="T6" s="224"/>
      <c r="U6" s="224"/>
    </row>
    <row r="7" spans="2:21" ht="8.25" customHeight="1">
      <c r="B7" s="225"/>
      <c r="C7" s="226"/>
      <c r="D7" s="226"/>
      <c r="E7" s="227"/>
      <c r="F7" s="227"/>
      <c r="G7" s="228"/>
      <c r="H7" s="228"/>
      <c r="K7" s="221"/>
      <c r="L7" s="221"/>
      <c r="M7" s="221"/>
      <c r="N7" s="221"/>
      <c r="O7" s="221"/>
      <c r="P7" s="223"/>
      <c r="Q7" s="224"/>
      <c r="R7" s="224"/>
      <c r="S7" s="224"/>
      <c r="T7" s="224"/>
      <c r="U7" s="224"/>
    </row>
    <row r="8" spans="3:21" ht="3.75" customHeight="1">
      <c r="C8" s="229"/>
      <c r="D8" s="229"/>
      <c r="E8" s="229"/>
      <c r="F8" s="229"/>
      <c r="G8" s="229"/>
      <c r="H8" s="229"/>
      <c r="I8" s="229"/>
      <c r="J8" s="229"/>
      <c r="K8" s="221"/>
      <c r="L8" s="221"/>
      <c r="M8" s="221"/>
      <c r="N8" s="221"/>
      <c r="O8" s="230"/>
      <c r="P8" s="223"/>
      <c r="Q8" s="230"/>
      <c r="R8" s="231"/>
      <c r="S8" s="224"/>
      <c r="T8" s="224"/>
      <c r="U8" s="224"/>
    </row>
    <row r="9" spans="1:24" ht="25.5" customHeight="1">
      <c r="A9" s="232" t="s">
        <v>176</v>
      </c>
      <c r="B9" s="233" t="str">
        <f>+'Introducción de datos'!G6</f>
        <v>VIH / SIDA</v>
      </c>
      <c r="C9" s="234" t="s">
        <v>175</v>
      </c>
      <c r="D9" s="235" t="str">
        <f>+'Introducción de datos'!C6</f>
        <v>SLV-H-PLAN</v>
      </c>
      <c r="E9" s="605" t="s">
        <v>285</v>
      </c>
      <c r="F9" s="605"/>
      <c r="G9" s="236">
        <f>+'Introducción de datos'!C10</f>
        <v>41640</v>
      </c>
      <c r="H9" s="232" t="s">
        <v>286</v>
      </c>
      <c r="I9" s="606">
        <f>+'Introducción de datos'!I6</f>
        <v>13910753</v>
      </c>
      <c r="J9" s="606"/>
      <c r="K9" s="221"/>
      <c r="L9" s="221"/>
      <c r="M9" s="221"/>
      <c r="N9" s="221"/>
      <c r="O9" s="230"/>
      <c r="P9" s="223"/>
      <c r="Q9" s="230"/>
      <c r="R9" s="231"/>
      <c r="S9" s="224"/>
      <c r="T9" s="237"/>
      <c r="U9" s="237"/>
      <c r="V9" s="229"/>
      <c r="W9" s="229"/>
      <c r="X9" s="229"/>
    </row>
    <row r="10" spans="1:21" ht="25.5" customHeight="1">
      <c r="A10" s="232" t="s">
        <v>180</v>
      </c>
      <c r="B10" s="238" t="str">
        <f>IF(ISBLANK('Introducción de datos'!G8),"",'Introducción de datos'!G8)</f>
        <v>Seleccionar</v>
      </c>
      <c r="C10" s="234" t="s">
        <v>182</v>
      </c>
      <c r="D10" s="239" t="str">
        <f>+'Introducción de datos'!I8</f>
        <v>Seleccionar</v>
      </c>
      <c r="E10" s="605" t="s">
        <v>287</v>
      </c>
      <c r="F10" s="605"/>
      <c r="G10" s="607" t="str">
        <f>+'Introducción de datos'!C8</f>
        <v>PLAN  INTERNACIONAL</v>
      </c>
      <c r="H10" s="607"/>
      <c r="I10" s="607"/>
      <c r="J10" s="607"/>
      <c r="K10" s="241"/>
      <c r="L10" s="241"/>
      <c r="M10" s="221"/>
      <c r="N10" s="241"/>
      <c r="O10" s="230"/>
      <c r="P10" s="223"/>
      <c r="Q10" s="237"/>
      <c r="R10" s="231"/>
      <c r="S10" s="224"/>
      <c r="T10" s="237"/>
      <c r="U10" s="237"/>
    </row>
    <row r="11" spans="1:21" ht="25.5" customHeight="1">
      <c r="A11" s="232" t="s">
        <v>288</v>
      </c>
      <c r="B11" s="240" t="str">
        <f>+'Introducción de datos'!C16</f>
        <v>P3</v>
      </c>
      <c r="C11" s="234" t="s">
        <v>289</v>
      </c>
      <c r="D11" s="242">
        <f>+'Introducción de datos'!E16</f>
        <v>42005</v>
      </c>
      <c r="E11" s="605" t="s">
        <v>290</v>
      </c>
      <c r="F11" s="605"/>
      <c r="G11" s="242">
        <f>+'Introducción de datos'!G16</f>
        <v>42185</v>
      </c>
      <c r="H11" s="232" t="s">
        <v>291</v>
      </c>
      <c r="I11" s="613" t="str">
        <f>+'Introducción de datos'!C12</f>
        <v>A1</v>
      </c>
      <c r="J11" s="613"/>
      <c r="K11" s="243"/>
      <c r="L11" s="241"/>
      <c r="M11" s="221"/>
      <c r="N11" s="241"/>
      <c r="O11" s="241"/>
      <c r="P11" s="223"/>
      <c r="Q11" s="237"/>
      <c r="R11" s="231"/>
      <c r="S11" s="224"/>
      <c r="T11" s="244"/>
      <c r="U11" s="237"/>
    </row>
    <row r="12" spans="1:24" ht="25.5" customHeight="1">
      <c r="A12" s="232" t="s">
        <v>185</v>
      </c>
      <c r="B12" s="607" t="str">
        <f>+'Introducción de datos'!G10</f>
        <v>GRUPO JACOBS</v>
      </c>
      <c r="C12" s="607"/>
      <c r="D12" s="607"/>
      <c r="E12" s="605" t="s">
        <v>189</v>
      </c>
      <c r="F12" s="605"/>
      <c r="G12" s="607" t="str">
        <f>+'Introducción de datos'!G12</f>
        <v>Giulia Perrone</v>
      </c>
      <c r="H12" s="607"/>
      <c r="I12" s="607"/>
      <c r="J12" s="607"/>
      <c r="K12" s="241"/>
      <c r="L12" s="241"/>
      <c r="M12" s="221"/>
      <c r="N12" s="241"/>
      <c r="O12" s="224"/>
      <c r="P12" s="223"/>
      <c r="Q12" s="237"/>
      <c r="R12" s="231"/>
      <c r="S12" s="224"/>
      <c r="T12" s="237"/>
      <c r="U12" s="245"/>
      <c r="V12" s="237"/>
      <c r="W12" s="244"/>
      <c r="X12" s="237"/>
    </row>
    <row r="13" spans="1:21" ht="25.5" customHeight="1">
      <c r="A13" s="232" t="s">
        <v>197</v>
      </c>
      <c r="B13" s="607" t="str">
        <f>+'Introducción de datos'!D18</f>
        <v>UCP/PLAN </v>
      </c>
      <c r="C13" s="607"/>
      <c r="D13" s="607"/>
      <c r="E13" s="605" t="s">
        <v>292</v>
      </c>
      <c r="F13" s="605"/>
      <c r="G13" s="612">
        <f>+'Introducción de datos'!J16</f>
        <v>0</v>
      </c>
      <c r="H13" s="612"/>
      <c r="I13" s="612"/>
      <c r="J13" s="612"/>
      <c r="K13" s="224"/>
      <c r="L13" s="246"/>
      <c r="M13" s="246"/>
      <c r="N13" s="246"/>
      <c r="O13" s="224"/>
      <c r="P13" s="246"/>
      <c r="Q13" s="246"/>
      <c r="R13" s="231"/>
      <c r="S13" s="224"/>
      <c r="T13" s="246"/>
      <c r="U13" s="247"/>
    </row>
  </sheetData>
  <sheetProtection/>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conditionalFormatting sqref="I11:J11">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AD173"/>
  <sheetViews>
    <sheetView showGridLines="0" tabSelected="1" zoomScale="80" zoomScaleNormal="80" zoomScalePageLayoutView="0" workbookViewId="0" topLeftCell="A1">
      <selection activeCell="H112" sqref="H112:H114"/>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22" t="s">
        <v>171</v>
      </c>
      <c r="C2" s="522"/>
      <c r="D2" s="522"/>
      <c r="E2" s="522"/>
      <c r="F2" s="522"/>
      <c r="G2" s="522"/>
      <c r="H2" s="522"/>
      <c r="I2" s="522"/>
      <c r="J2" s="522"/>
      <c r="K2" s="33"/>
      <c r="L2" s="33"/>
      <c r="M2" s="33"/>
    </row>
    <row r="3" spans="1:13" ht="4.5" customHeight="1">
      <c r="A3" s="6"/>
      <c r="B3" s="6"/>
      <c r="C3" s="6"/>
      <c r="D3" s="6"/>
      <c r="E3" s="6"/>
      <c r="F3" s="6"/>
      <c r="G3" s="6"/>
      <c r="H3" s="6"/>
      <c r="I3" s="6"/>
      <c r="J3" s="6"/>
      <c r="K3" s="6"/>
      <c r="L3" s="6"/>
      <c r="M3" s="6"/>
    </row>
    <row r="4" spans="1:13" ht="28.5" customHeight="1">
      <c r="A4" s="6"/>
      <c r="B4" s="34" t="s">
        <v>172</v>
      </c>
      <c r="C4" s="518" t="s">
        <v>173</v>
      </c>
      <c r="D4" s="518"/>
      <c r="E4" s="523" t="s">
        <v>174</v>
      </c>
      <c r="F4" s="523"/>
      <c r="G4" s="524" t="s">
        <v>322</v>
      </c>
      <c r="H4" s="524"/>
      <c r="I4" s="524"/>
      <c r="J4" s="524"/>
      <c r="K4" s="6"/>
      <c r="L4" s="6"/>
      <c r="M4" s="6"/>
    </row>
    <row r="5" spans="1:13" ht="3" customHeight="1">
      <c r="A5" s="6"/>
      <c r="B5" s="37"/>
      <c r="C5" s="6"/>
      <c r="D5" s="6"/>
      <c r="E5" s="38"/>
      <c r="F5" s="38"/>
      <c r="G5" s="6"/>
      <c r="H5" s="6"/>
      <c r="I5" s="6"/>
      <c r="J5" s="6"/>
      <c r="K5" s="6"/>
      <c r="L5" s="6"/>
      <c r="M5" s="6"/>
    </row>
    <row r="6" spans="1:13" ht="15">
      <c r="A6" s="6"/>
      <c r="B6" s="34" t="s">
        <v>175</v>
      </c>
      <c r="C6" s="517" t="s">
        <v>320</v>
      </c>
      <c r="D6" s="517"/>
      <c r="E6" s="523" t="s">
        <v>176</v>
      </c>
      <c r="F6" s="523"/>
      <c r="G6" s="35" t="s">
        <v>45</v>
      </c>
      <c r="H6" s="39" t="s">
        <v>178</v>
      </c>
      <c r="I6" s="527">
        <v>13910753</v>
      </c>
      <c r="J6" s="527"/>
      <c r="K6" s="6"/>
      <c r="L6" s="6"/>
      <c r="M6" s="6"/>
    </row>
    <row r="7" spans="1:13" ht="3" customHeight="1">
      <c r="A7" s="6"/>
      <c r="B7" s="37"/>
      <c r="C7" s="6"/>
      <c r="D7" s="6"/>
      <c r="E7" s="38"/>
      <c r="F7" s="38"/>
      <c r="G7" s="6"/>
      <c r="H7" s="37"/>
      <c r="I7" s="6"/>
      <c r="J7" s="6"/>
      <c r="K7" s="6"/>
      <c r="L7" s="6"/>
      <c r="M7" s="6"/>
    </row>
    <row r="8" spans="1:13" ht="15">
      <c r="A8" s="6"/>
      <c r="B8" s="34" t="s">
        <v>179</v>
      </c>
      <c r="C8" s="517" t="s">
        <v>321</v>
      </c>
      <c r="D8" s="517"/>
      <c r="E8" s="40"/>
      <c r="F8" s="36" t="s">
        <v>180</v>
      </c>
      <c r="G8" s="35" t="s">
        <v>44</v>
      </c>
      <c r="H8" s="36" t="s">
        <v>182</v>
      </c>
      <c r="I8" s="518" t="s">
        <v>44</v>
      </c>
      <c r="J8" s="518"/>
      <c r="K8" s="6"/>
      <c r="L8" s="6"/>
      <c r="M8" s="6"/>
    </row>
    <row r="9" spans="1:13" ht="3" customHeight="1">
      <c r="A9" s="6"/>
      <c r="B9" s="38"/>
      <c r="C9" s="41">
        <v>39825</v>
      </c>
      <c r="D9" s="6"/>
      <c r="E9" s="38"/>
      <c r="F9" s="38"/>
      <c r="G9" s="6"/>
      <c r="H9" s="6"/>
      <c r="I9" s="6"/>
      <c r="J9" s="6"/>
      <c r="K9" s="6"/>
      <c r="L9" s="6"/>
      <c r="M9" s="6"/>
    </row>
    <row r="10" spans="1:13" ht="15">
      <c r="A10" s="6"/>
      <c r="B10" s="34" t="s">
        <v>184</v>
      </c>
      <c r="C10" s="525">
        <v>41640</v>
      </c>
      <c r="D10" s="525"/>
      <c r="E10" s="526" t="s">
        <v>185</v>
      </c>
      <c r="F10" s="526"/>
      <c r="G10" s="518" t="s">
        <v>323</v>
      </c>
      <c r="H10" s="518"/>
      <c r="I10" s="518"/>
      <c r="J10" s="518"/>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519" t="s">
        <v>188</v>
      </c>
      <c r="D12" s="519"/>
      <c r="E12" s="520" t="s">
        <v>189</v>
      </c>
      <c r="F12" s="520"/>
      <c r="G12" s="521" t="s">
        <v>190</v>
      </c>
      <c r="H12" s="521"/>
      <c r="I12" s="521"/>
      <c r="J12" s="521"/>
      <c r="K12" s="6"/>
      <c r="L12" s="6"/>
      <c r="M12" s="6"/>
    </row>
    <row r="13" spans="1:13" ht="5.25" customHeight="1">
      <c r="A13" s="6"/>
      <c r="B13" s="6"/>
      <c r="C13" s="6"/>
      <c r="D13" s="6"/>
      <c r="E13" s="6"/>
      <c r="F13" s="6"/>
      <c r="G13" s="6"/>
      <c r="H13" s="6"/>
      <c r="I13" s="6"/>
      <c r="J13" s="6"/>
      <c r="K13" s="6"/>
      <c r="L13" s="6"/>
      <c r="M13" s="6"/>
    </row>
    <row r="14" spans="1:13" ht="15.75" customHeight="1">
      <c r="A14" s="6"/>
      <c r="B14" s="522" t="s">
        <v>191</v>
      </c>
      <c r="C14" s="522"/>
      <c r="D14" s="522"/>
      <c r="E14" s="522"/>
      <c r="F14" s="522"/>
      <c r="G14" s="522"/>
      <c r="H14" s="522"/>
      <c r="I14" s="522"/>
      <c r="J14" s="522"/>
      <c r="K14" s="6"/>
      <c r="L14" s="6"/>
      <c r="M14" s="6"/>
    </row>
    <row r="15" spans="1:13" ht="3" customHeight="1">
      <c r="A15" s="6"/>
      <c r="B15" s="6"/>
      <c r="C15" s="6"/>
      <c r="D15" s="6"/>
      <c r="E15" s="6"/>
      <c r="F15" s="6"/>
      <c r="G15" s="6"/>
      <c r="H15" s="6"/>
      <c r="I15" s="6"/>
      <c r="J15" s="6"/>
      <c r="K15" s="6"/>
      <c r="L15" s="6"/>
      <c r="M15" s="6"/>
    </row>
    <row r="16" spans="1:13" ht="15">
      <c r="A16" s="6"/>
      <c r="B16" s="34" t="s">
        <v>192</v>
      </c>
      <c r="C16" s="35" t="s">
        <v>18</v>
      </c>
      <c r="D16" s="36" t="s">
        <v>194</v>
      </c>
      <c r="E16" s="42">
        <v>42005</v>
      </c>
      <c r="F16" s="43" t="s">
        <v>195</v>
      </c>
      <c r="G16" s="42">
        <v>42185</v>
      </c>
      <c r="H16" s="529" t="s">
        <v>196</v>
      </c>
      <c r="I16" s="529"/>
      <c r="J16" s="42"/>
      <c r="K16" s="6"/>
      <c r="L16" s="6"/>
      <c r="M16" s="6"/>
    </row>
    <row r="17" spans="1:13" ht="3" customHeight="1">
      <c r="A17" s="6"/>
      <c r="B17" s="6"/>
      <c r="C17" s="6"/>
      <c r="D17" s="6"/>
      <c r="E17" s="6"/>
      <c r="F17" s="6"/>
      <c r="G17" s="6"/>
      <c r="H17" s="6"/>
      <c r="I17" s="6"/>
      <c r="J17" s="6"/>
      <c r="K17" s="6"/>
      <c r="L17" s="6"/>
      <c r="M17" s="6"/>
    </row>
    <row r="18" spans="1:13" ht="15">
      <c r="A18" s="6"/>
      <c r="B18" s="530" t="s">
        <v>197</v>
      </c>
      <c r="C18" s="530"/>
      <c r="D18" s="531" t="s">
        <v>324</v>
      </c>
      <c r="E18" s="531"/>
      <c r="F18" s="531"/>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2" t="s">
        <v>198</v>
      </c>
      <c r="C21" s="522"/>
      <c r="D21" s="522"/>
      <c r="E21" s="522"/>
      <c r="F21" s="522"/>
      <c r="G21" s="522"/>
      <c r="H21" s="522"/>
      <c r="I21" s="522"/>
      <c r="J21" s="522"/>
      <c r="K21" s="6"/>
      <c r="L21" s="6"/>
      <c r="M21" s="6"/>
    </row>
    <row r="22" spans="1:13" ht="15">
      <c r="A22" s="6"/>
      <c r="B22" s="45" t="s">
        <v>199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200</v>
      </c>
      <c r="C24" s="47"/>
      <c r="D24" s="523" t="s">
        <v>201</v>
      </c>
      <c r="E24" s="523"/>
      <c r="F24" s="48"/>
      <c r="G24" s="523" t="s">
        <v>202</v>
      </c>
      <c r="H24" s="523"/>
      <c r="I24" s="528"/>
      <c r="J24" s="528"/>
      <c r="K24" s="6"/>
      <c r="L24" s="6"/>
      <c r="M24" s="6"/>
      <c r="N24" s="49"/>
    </row>
    <row r="25" spans="1:29" ht="19.5" thickBot="1">
      <c r="A25" s="6"/>
      <c r="B25" s="50" t="s">
        <v>200</v>
      </c>
      <c r="C25" s="51"/>
      <c r="D25" s="51"/>
      <c r="E25" s="51"/>
      <c r="F25" s="51"/>
      <c r="G25" s="51"/>
      <c r="H25" s="52"/>
      <c r="I25" s="52"/>
      <c r="J25" s="52" t="s">
        <v>203</v>
      </c>
      <c r="K25" s="52"/>
      <c r="L25" s="51"/>
      <c r="M25" s="51"/>
      <c r="N25" s="53"/>
      <c r="AC25" s="54"/>
    </row>
    <row r="26" spans="1:29" ht="15">
      <c r="A26" s="6"/>
      <c r="B26" s="535" t="s">
        <v>204</v>
      </c>
      <c r="C26" s="535"/>
      <c r="D26" s="55" t="s">
        <v>205</v>
      </c>
      <c r="E26" s="56"/>
      <c r="F26" s="56"/>
      <c r="G26" s="56"/>
      <c r="H26" s="56"/>
      <c r="I26" s="56"/>
      <c r="J26" s="57"/>
      <c r="K26" s="56"/>
      <c r="L26" s="56"/>
      <c r="M26" s="56"/>
      <c r="N26" s="58"/>
      <c r="AC26" s="54"/>
    </row>
    <row r="27" spans="1:29" ht="18.75">
      <c r="A27" s="6"/>
      <c r="B27" s="59" t="s">
        <v>206</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36" t="s">
        <v>207</v>
      </c>
      <c r="C29" s="536"/>
      <c r="D29" s="536"/>
      <c r="E29" s="536"/>
      <c r="F29" s="536"/>
      <c r="G29" s="536"/>
      <c r="H29" s="536"/>
      <c r="I29" s="536"/>
      <c r="J29" s="536"/>
      <c r="K29" s="536"/>
      <c r="L29" s="536"/>
      <c r="M29" s="536"/>
      <c r="N29" s="536"/>
      <c r="O29" s="60"/>
      <c r="P29" s="61">
        <f>+C33</f>
        <v>3000228</v>
      </c>
      <c r="Q29" s="62"/>
    </row>
    <row r="30" spans="1:17" ht="45" customHeight="1">
      <c r="A30" s="6"/>
      <c r="B30" s="63" t="s">
        <v>208</v>
      </c>
      <c r="C30" s="64" t="s">
        <v>16</v>
      </c>
      <c r="D30" s="64" t="s">
        <v>17</v>
      </c>
      <c r="E30" s="64" t="s">
        <v>18</v>
      </c>
      <c r="F30" s="64" t="s">
        <v>19</v>
      </c>
      <c r="G30" s="64" t="s">
        <v>20</v>
      </c>
      <c r="H30" s="64" t="s">
        <v>21</v>
      </c>
      <c r="I30" s="64" t="s">
        <v>22</v>
      </c>
      <c r="J30" s="64" t="s">
        <v>23</v>
      </c>
      <c r="K30" s="64" t="s">
        <v>209</v>
      </c>
      <c r="L30" s="64" t="s">
        <v>210</v>
      </c>
      <c r="M30" s="64" t="s">
        <v>211</v>
      </c>
      <c r="N30" s="64" t="s">
        <v>193</v>
      </c>
      <c r="O30" s="60"/>
      <c r="P30" s="61">
        <f>+D33</f>
        <v>4719767</v>
      </c>
      <c r="Q30" s="62"/>
    </row>
    <row r="31" spans="1:17" ht="14.25" customHeight="1">
      <c r="A31" s="6"/>
      <c r="B31" s="65" t="str">
        <f>CONCATENATE("Presupuesto (en ",'Introducción de datos'!$D$26,")")</f>
        <v>Presupuesto (en $)</v>
      </c>
      <c r="C31" s="401">
        <v>3000228</v>
      </c>
      <c r="D31" s="402">
        <v>1719539</v>
      </c>
      <c r="E31" s="402">
        <v>2645615</v>
      </c>
      <c r="F31" s="402">
        <v>1868227</v>
      </c>
      <c r="G31" s="402">
        <v>3044937</v>
      </c>
      <c r="H31" s="402">
        <v>1632207</v>
      </c>
      <c r="I31" s="402"/>
      <c r="J31" s="402"/>
      <c r="K31" s="66"/>
      <c r="L31" s="66"/>
      <c r="M31" s="66"/>
      <c r="N31" s="66"/>
      <c r="O31" s="60"/>
      <c r="P31" s="61">
        <f>+E33</f>
        <v>7365382</v>
      </c>
      <c r="Q31" s="62"/>
    </row>
    <row r="32" spans="1:17" ht="14.25" customHeight="1">
      <c r="A32" s="6"/>
      <c r="B32" s="67" t="str">
        <f>CONCATENATE("Desembolsos por el Fondo Mundial (en ",$D$26,")")</f>
        <v>Desembolsos por el Fondo Mundial (en $)</v>
      </c>
      <c r="C32" s="401">
        <v>4765803</v>
      </c>
      <c r="D32" s="401"/>
      <c r="E32" s="401">
        <v>1649002</v>
      </c>
      <c r="F32" s="401"/>
      <c r="G32" s="401"/>
      <c r="H32" s="401"/>
      <c r="I32" s="402"/>
      <c r="J32" s="402"/>
      <c r="K32" s="66"/>
      <c r="L32" s="66"/>
      <c r="M32" s="66"/>
      <c r="N32" s="66"/>
      <c r="O32" s="60"/>
      <c r="P32" s="61">
        <f>+F33</f>
        <v>9233609</v>
      </c>
      <c r="Q32" s="62"/>
    </row>
    <row r="33" spans="1:17" ht="14.25" customHeight="1">
      <c r="A33" s="6"/>
      <c r="B33" s="68" t="s">
        <v>212</v>
      </c>
      <c r="C33" s="69">
        <f>+C31</f>
        <v>3000228</v>
      </c>
      <c r="D33" s="69">
        <f>IF(AND(D31=0,D32=0),0,+C33+D31)</f>
        <v>4719767</v>
      </c>
      <c r="E33" s="69">
        <f aca="true" t="shared" si="0" ref="E33:N33">IF(AND(E31=0,E32=0),0,+D33+E31)</f>
        <v>7365382</v>
      </c>
      <c r="F33" s="69">
        <f t="shared" si="0"/>
        <v>9233609</v>
      </c>
      <c r="G33" s="69">
        <f t="shared" si="0"/>
        <v>12278546</v>
      </c>
      <c r="H33" s="69">
        <f t="shared" si="0"/>
        <v>13910753</v>
      </c>
      <c r="I33" s="69">
        <f t="shared" si="0"/>
        <v>0</v>
      </c>
      <c r="J33" s="404">
        <f t="shared" si="0"/>
        <v>0</v>
      </c>
      <c r="K33" s="69">
        <f t="shared" si="0"/>
        <v>0</v>
      </c>
      <c r="L33" s="69">
        <f t="shared" si="0"/>
        <v>0</v>
      </c>
      <c r="M33" s="69">
        <f t="shared" si="0"/>
        <v>0</v>
      </c>
      <c r="N33" s="69">
        <f t="shared" si="0"/>
        <v>0</v>
      </c>
      <c r="O33" s="60"/>
      <c r="P33" s="61">
        <f>+G33</f>
        <v>12278546</v>
      </c>
      <c r="Q33" s="62"/>
    </row>
    <row r="34" spans="1:17" ht="15" customHeight="1" thickBot="1">
      <c r="A34" s="6"/>
      <c r="B34" s="70" t="s">
        <v>213</v>
      </c>
      <c r="C34" s="71">
        <f>+C32</f>
        <v>4765803</v>
      </c>
      <c r="D34" s="71">
        <f>IF(AND(D31=0,D32=0),0,+C34+D32)</f>
        <v>4765803</v>
      </c>
      <c r="E34" s="71">
        <f aca="true" t="shared" si="1" ref="E34:N34">IF(AND(E31=0,E32=0),0,+D34+E32)</f>
        <v>6414805</v>
      </c>
      <c r="F34" s="71">
        <f t="shared" si="1"/>
        <v>6414805</v>
      </c>
      <c r="G34" s="71">
        <f t="shared" si="1"/>
        <v>6414805</v>
      </c>
      <c r="H34" s="71">
        <f t="shared" si="1"/>
        <v>6414805</v>
      </c>
      <c r="I34" s="71">
        <f t="shared" si="1"/>
        <v>0</v>
      </c>
      <c r="J34" s="71">
        <f t="shared" si="1"/>
        <v>0</v>
      </c>
      <c r="K34" s="71">
        <f t="shared" si="1"/>
        <v>0</v>
      </c>
      <c r="L34" s="71">
        <f t="shared" si="1"/>
        <v>0</v>
      </c>
      <c r="M34" s="71">
        <f t="shared" si="1"/>
        <v>0</v>
      </c>
      <c r="N34" s="71">
        <f t="shared" si="1"/>
        <v>0</v>
      </c>
      <c r="O34" s="60"/>
      <c r="P34" s="61">
        <f>+H33</f>
        <v>13910753</v>
      </c>
      <c r="Q34" s="62"/>
    </row>
    <row r="35" spans="1:17" ht="15">
      <c r="A35" s="6"/>
      <c r="B35" s="6"/>
      <c r="C35" s="72">
        <f>+IF(AND(C30=$C$16,C33&lt;&gt;0),C34/C33,0)</f>
        <v>0</v>
      </c>
      <c r="D35" s="72">
        <f aca="true" t="shared" si="2" ref="D35:N35">+IF(AND(D30=$C$16,D33&lt;&gt;0),D34/D33,0)</f>
        <v>0</v>
      </c>
      <c r="E35" s="72">
        <f t="shared" si="2"/>
        <v>0.8709398915086821</v>
      </c>
      <c r="F35" s="72">
        <f t="shared" si="2"/>
        <v>0</v>
      </c>
      <c r="G35" s="72">
        <f t="shared" si="2"/>
        <v>0</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214</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215</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216</v>
      </c>
      <c r="C39" s="86">
        <v>4614526</v>
      </c>
      <c r="D39" s="87">
        <v>2787299</v>
      </c>
      <c r="E39" s="437"/>
      <c r="F39" s="88"/>
      <c r="G39" s="89"/>
      <c r="H39" s="6"/>
      <c r="I39" s="6"/>
      <c r="J39" s="90"/>
      <c r="K39" s="91"/>
      <c r="N39"/>
      <c r="Y39" s="49"/>
      <c r="Z39" s="5"/>
    </row>
    <row r="40" spans="1:26" ht="14.25" customHeight="1">
      <c r="A40" s="6"/>
      <c r="B40" s="85" t="s">
        <v>217</v>
      </c>
      <c r="C40" s="86">
        <v>315030</v>
      </c>
      <c r="D40" s="87">
        <v>206291</v>
      </c>
      <c r="E40" s="437"/>
      <c r="F40" s="88"/>
      <c r="G40" s="89"/>
      <c r="H40" s="6"/>
      <c r="I40" s="6"/>
      <c r="J40" s="6"/>
      <c r="K40" s="91"/>
      <c r="N40"/>
      <c r="Y40" s="49"/>
      <c r="Z40" s="5"/>
    </row>
    <row r="41" spans="1:26" ht="15">
      <c r="A41" s="6"/>
      <c r="B41" s="93" t="s">
        <v>218</v>
      </c>
      <c r="C41" s="86">
        <v>2435826</v>
      </c>
      <c r="D41" s="87">
        <v>1952307</v>
      </c>
      <c r="E41" s="437"/>
      <c r="F41" s="94"/>
      <c r="G41" s="6"/>
      <c r="H41" s="6"/>
      <c r="I41" s="6"/>
      <c r="J41" s="6"/>
      <c r="K41" s="91"/>
      <c r="N41"/>
      <c r="Y41" s="49"/>
      <c r="Z41" s="5"/>
    </row>
    <row r="42" spans="1:26" ht="15" customHeight="1">
      <c r="A42" s="6"/>
      <c r="B42" s="85"/>
      <c r="C42" s="86"/>
      <c r="D42" s="87"/>
      <c r="E42" s="92"/>
      <c r="F42" s="95"/>
      <c r="G42" s="6"/>
      <c r="H42" s="6"/>
      <c r="I42" s="6"/>
      <c r="J42" s="6"/>
      <c r="K42" s="49"/>
      <c r="N42"/>
      <c r="Y42" s="49"/>
      <c r="Z42" s="5"/>
    </row>
    <row r="43" spans="1:26" ht="15">
      <c r="A43" s="6"/>
      <c r="B43" s="85"/>
      <c r="C43" s="86"/>
      <c r="D43" s="87"/>
      <c r="E43" s="92"/>
      <c r="F43" s="96"/>
      <c r="G43" s="6"/>
      <c r="H43" s="6"/>
      <c r="I43" s="6"/>
      <c r="J43" s="6"/>
      <c r="K43" s="49"/>
      <c r="N43"/>
      <c r="Y43" s="49"/>
      <c r="Z43" s="5"/>
    </row>
    <row r="44" spans="1:26" ht="15">
      <c r="A44" s="6"/>
      <c r="B44" s="85"/>
      <c r="C44" s="97"/>
      <c r="D44" s="98"/>
      <c r="E44" s="92"/>
      <c r="F44" s="99"/>
      <c r="G44" s="6"/>
      <c r="H44" s="6"/>
      <c r="I44" s="6"/>
      <c r="J44" s="6"/>
      <c r="K44" s="49"/>
      <c r="N44"/>
      <c r="Y44" s="49"/>
      <c r="Z44" s="5"/>
    </row>
    <row r="45" spans="1:26" ht="15">
      <c r="A45" s="6"/>
      <c r="B45" s="100"/>
      <c r="C45" s="97"/>
      <c r="D45" s="98"/>
      <c r="E45" s="92"/>
      <c r="F45" s="96"/>
      <c r="G45" s="92"/>
      <c r="H45" s="92"/>
      <c r="I45" s="92"/>
      <c r="J45" s="92"/>
      <c r="K45" s="49"/>
      <c r="N45"/>
      <c r="Y45" s="5"/>
      <c r="Z45" s="5"/>
    </row>
    <row r="46" spans="1:26" ht="15.75" thickBot="1">
      <c r="A46" s="6"/>
      <c r="B46" s="101"/>
      <c r="C46" s="97"/>
      <c r="D46" s="98"/>
      <c r="E46" s="92"/>
      <c r="F46" s="92"/>
      <c r="G46" s="92"/>
      <c r="H46" s="92"/>
      <c r="I46" s="92"/>
      <c r="J46" s="92"/>
      <c r="K46" s="49"/>
      <c r="N46"/>
      <c r="Y46" s="5"/>
      <c r="Z46" s="5"/>
    </row>
    <row r="47" spans="1:26" ht="15.75" thickBot="1">
      <c r="A47" s="6"/>
      <c r="B47" s="102" t="s">
        <v>219</v>
      </c>
      <c r="C47" s="403">
        <f>SUM(C39:C43)</f>
        <v>7365382</v>
      </c>
      <c r="D47" s="103">
        <f>SUM(D39:D43)</f>
        <v>4945897</v>
      </c>
      <c r="E47" s="104"/>
      <c r="F47" s="537" t="str">
        <f ca="1">+IF((ROUND(C47,0)=ROUND(OFFSET(B33,0,RIGHT('Introducción de datos'!$C$16,LEN('Introducción de datos'!$C$16)-1),1,1),0)),"OK: Datos corresponden","Atención: Datos no corresponden")</f>
        <v>OK: Datos corresponden</v>
      </c>
      <c r="G47" s="537"/>
      <c r="H47" s="537"/>
      <c r="I47" s="537"/>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220</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46.5" customHeight="1">
      <c r="A51" s="6"/>
      <c r="B51" s="471"/>
      <c r="C51" s="472" t="s">
        <v>221</v>
      </c>
      <c r="D51" s="472" t="s">
        <v>222</v>
      </c>
      <c r="E51" s="473" t="str">
        <f>CONCATENATE("Total gastado y desembolso (en ",D26,")")</f>
        <v>Total gastado y desembolso (en $)</v>
      </c>
      <c r="F51" s="6"/>
      <c r="G51" s="108"/>
      <c r="H51" s="82"/>
      <c r="I51" s="109"/>
      <c r="J51" s="109"/>
      <c r="K51" s="109"/>
      <c r="L51" s="109"/>
      <c r="M51" s="110"/>
      <c r="N51" s="110"/>
      <c r="O51" s="61">
        <f>+M33</f>
        <v>0</v>
      </c>
      <c r="P51" s="62"/>
      <c r="AB51" s="49"/>
    </row>
    <row r="52" spans="1:28" ht="15">
      <c r="A52" s="6"/>
      <c r="B52" s="474" t="s">
        <v>223</v>
      </c>
      <c r="C52" s="469">
        <v>4765803</v>
      </c>
      <c r="D52" s="469">
        <v>1649002</v>
      </c>
      <c r="E52" s="475">
        <f aca="true" t="shared" si="3" ref="E52:E57">+D52+C52</f>
        <v>6414805</v>
      </c>
      <c r="F52" s="6"/>
      <c r="G52" s="111"/>
      <c r="H52" s="112"/>
      <c r="I52" s="113"/>
      <c r="J52" s="114"/>
      <c r="K52" s="114"/>
      <c r="L52" s="115"/>
      <c r="M52" s="115"/>
      <c r="N52" s="115"/>
      <c r="O52" s="62"/>
      <c r="P52" s="62"/>
      <c r="AB52" s="49"/>
    </row>
    <row r="53" spans="1:28" ht="15">
      <c r="A53" s="6"/>
      <c r="B53" s="474" t="s">
        <v>224</v>
      </c>
      <c r="C53" s="469">
        <v>3516376</v>
      </c>
      <c r="D53" s="470">
        <v>1681080</v>
      </c>
      <c r="E53" s="475">
        <f t="shared" si="3"/>
        <v>5197456</v>
      </c>
      <c r="F53" s="438"/>
      <c r="G53" s="116"/>
      <c r="H53" s="112"/>
      <c r="I53" s="113"/>
      <c r="J53" s="114"/>
      <c r="K53" s="114"/>
      <c r="L53" s="115"/>
      <c r="M53" s="117"/>
      <c r="N53" s="117"/>
      <c r="O53" s="62"/>
      <c r="P53" s="62"/>
      <c r="AB53" s="49"/>
    </row>
    <row r="54" spans="1:28" ht="15">
      <c r="A54" s="6"/>
      <c r="B54" s="474" t="s">
        <v>225</v>
      </c>
      <c r="C54" s="469">
        <v>1503404</v>
      </c>
      <c r="D54" s="470">
        <v>954300</v>
      </c>
      <c r="E54" s="475">
        <f t="shared" si="3"/>
        <v>2457704</v>
      </c>
      <c r="F54" s="6"/>
      <c r="G54" s="111"/>
      <c r="H54" s="112"/>
      <c r="I54" s="113"/>
      <c r="J54" s="114"/>
      <c r="K54" s="114"/>
      <c r="L54" s="115"/>
      <c r="M54" s="115"/>
      <c r="N54" s="115"/>
      <c r="AB54" s="49"/>
    </row>
    <row r="55" spans="1:28" ht="15">
      <c r="A55" s="6"/>
      <c r="B55" s="474" t="s">
        <v>226</v>
      </c>
      <c r="C55" s="469">
        <v>1440034</v>
      </c>
      <c r="D55" s="470">
        <v>766120</v>
      </c>
      <c r="E55" s="475">
        <f t="shared" si="3"/>
        <v>2206154</v>
      </c>
      <c r="F55" s="6"/>
      <c r="G55" s="111"/>
      <c r="H55" s="112"/>
      <c r="I55" s="113"/>
      <c r="J55" s="114"/>
      <c r="K55" s="114"/>
      <c r="L55" s="115"/>
      <c r="M55" s="115"/>
      <c r="N55" s="115"/>
      <c r="AB55" s="49"/>
    </row>
    <row r="56" spans="1:28" ht="15">
      <c r="A56" s="6"/>
      <c r="B56" s="474" t="s">
        <v>386</v>
      </c>
      <c r="C56" s="469"/>
      <c r="D56" s="470">
        <v>190460.94</v>
      </c>
      <c r="E56" s="475">
        <f t="shared" si="3"/>
        <v>190460.94</v>
      </c>
      <c r="F56" s="6"/>
      <c r="G56" s="111"/>
      <c r="H56" s="112"/>
      <c r="I56" s="113"/>
      <c r="J56" s="114"/>
      <c r="K56" s="114"/>
      <c r="L56" s="115"/>
      <c r="M56" s="115"/>
      <c r="N56" s="115"/>
      <c r="AB56" s="49"/>
    </row>
    <row r="57" spans="1:28" ht="15.75" thickBot="1">
      <c r="A57" s="6"/>
      <c r="B57" s="476" t="s">
        <v>387</v>
      </c>
      <c r="C57" s="477"/>
      <c r="D57" s="478">
        <v>1609543.85</v>
      </c>
      <c r="E57" s="479">
        <f t="shared" si="3"/>
        <v>1609543.85</v>
      </c>
      <c r="F57" s="438"/>
      <c r="G57" s="116"/>
      <c r="H57" s="118"/>
      <c r="I57" s="119"/>
      <c r="J57" s="119"/>
      <c r="K57" s="119"/>
      <c r="L57" s="115"/>
      <c r="M57" s="117"/>
      <c r="N57" s="117"/>
      <c r="AB57" s="49"/>
    </row>
    <row r="58" spans="1:29" ht="15.75" customHeight="1">
      <c r="A58" s="6"/>
      <c r="B58" s="468" t="s">
        <v>388</v>
      </c>
      <c r="C58" s="6"/>
      <c r="D58" s="6"/>
      <c r="E58" s="6"/>
      <c r="F58" s="6"/>
      <c r="G58" s="6"/>
      <c r="H58" s="6"/>
      <c r="I58" s="6"/>
      <c r="J58" s="6"/>
      <c r="K58" s="6"/>
      <c r="L58" s="6"/>
      <c r="M58" s="6"/>
      <c r="AC58" s="49"/>
    </row>
    <row r="59" spans="1:13" ht="15">
      <c r="A59" s="6"/>
      <c r="B59" s="468" t="s">
        <v>391</v>
      </c>
      <c r="C59" s="6"/>
      <c r="D59" s="6"/>
      <c r="E59" s="6"/>
      <c r="F59" s="6"/>
      <c r="G59" s="6"/>
      <c r="H59" s="6"/>
      <c r="I59" s="6"/>
      <c r="J59" s="6"/>
      <c r="K59" s="6"/>
      <c r="L59" s="6"/>
      <c r="M59" s="6"/>
    </row>
    <row r="60" spans="1:13" ht="15">
      <c r="A60" s="6"/>
      <c r="B60" s="467"/>
      <c r="C60" s="6"/>
      <c r="D60" s="6"/>
      <c r="E60" s="6"/>
      <c r="F60" s="6"/>
      <c r="G60" s="6"/>
      <c r="H60" s="6"/>
      <c r="I60" s="6"/>
      <c r="J60" s="6"/>
      <c r="K60" s="6"/>
      <c r="L60" s="6"/>
      <c r="M60" s="6"/>
    </row>
    <row r="61" spans="1:13" ht="18.75">
      <c r="A61" s="6"/>
      <c r="B61" s="59" t="s">
        <v>227</v>
      </c>
      <c r="C61" s="6"/>
      <c r="D61" s="6"/>
      <c r="E61" s="6"/>
      <c r="F61" s="6"/>
      <c r="G61" s="6"/>
      <c r="H61" s="6"/>
      <c r="I61" s="6"/>
      <c r="J61" s="6"/>
      <c r="K61" s="6"/>
      <c r="L61" s="6"/>
      <c r="M61" s="6"/>
    </row>
    <row r="62" spans="1:13" ht="15.75" thickBot="1">
      <c r="A62" s="6"/>
      <c r="B62" s="6"/>
      <c r="C62" s="6"/>
      <c r="D62" s="6"/>
      <c r="E62" s="6"/>
      <c r="F62" s="6"/>
      <c r="G62" s="6"/>
      <c r="H62" s="6"/>
      <c r="I62" s="6"/>
      <c r="J62" s="6"/>
      <c r="K62" s="6"/>
      <c r="L62" s="6"/>
      <c r="M62" s="6"/>
    </row>
    <row r="63" spans="1:13" ht="14.25" customHeight="1">
      <c r="A63" s="6"/>
      <c r="B63" s="538" t="s">
        <v>228</v>
      </c>
      <c r="C63" s="538"/>
      <c r="D63" s="538"/>
      <c r="E63" s="6"/>
      <c r="F63" s="6"/>
      <c r="G63" s="6"/>
      <c r="H63" s="6"/>
      <c r="I63" s="6"/>
      <c r="J63" s="6"/>
      <c r="K63" s="6"/>
      <c r="L63" s="6"/>
      <c r="M63" s="5"/>
    </row>
    <row r="64" spans="1:13" ht="15">
      <c r="A64" s="6"/>
      <c r="B64" s="120"/>
      <c r="C64" s="121" t="s">
        <v>229</v>
      </c>
      <c r="D64" s="122" t="s">
        <v>230</v>
      </c>
      <c r="E64" s="6"/>
      <c r="F64" s="6"/>
      <c r="G64" s="6"/>
      <c r="H64" s="6"/>
      <c r="I64" s="6"/>
      <c r="J64" s="6"/>
      <c r="K64" s="6"/>
      <c r="L64" s="6"/>
      <c r="M64" s="5"/>
    </row>
    <row r="65" spans="1:13" ht="15">
      <c r="A65" s="6"/>
      <c r="B65" s="123" t="s">
        <v>231</v>
      </c>
      <c r="C65" s="124">
        <v>45</v>
      </c>
      <c r="D65" s="125">
        <v>30</v>
      </c>
      <c r="E65" s="6"/>
      <c r="F65" s="6"/>
      <c r="G65" s="6"/>
      <c r="H65" s="6"/>
      <c r="I65" s="6"/>
      <c r="J65" s="6"/>
      <c r="K65" s="6"/>
      <c r="L65" s="6"/>
      <c r="M65" s="5"/>
    </row>
    <row r="66" spans="1:13" ht="15">
      <c r="A66" s="6"/>
      <c r="B66" s="126" t="s">
        <v>232</v>
      </c>
      <c r="C66" s="124">
        <v>45</v>
      </c>
      <c r="D66" s="125">
        <v>65</v>
      </c>
      <c r="E66" s="6"/>
      <c r="F66" s="6"/>
      <c r="G66" s="6"/>
      <c r="H66" s="112"/>
      <c r="I66" s="112"/>
      <c r="J66" s="6"/>
      <c r="K66" s="6"/>
      <c r="L66" s="6"/>
      <c r="M66" s="5"/>
    </row>
    <row r="67" spans="1:13" ht="15.75" thickBot="1">
      <c r="A67" s="6"/>
      <c r="B67" s="127" t="s">
        <v>233</v>
      </c>
      <c r="C67" s="128">
        <v>15</v>
      </c>
      <c r="D67" s="129">
        <v>15</v>
      </c>
      <c r="E67" s="6"/>
      <c r="F67" s="6"/>
      <c r="G67" s="6"/>
      <c r="H67" s="112"/>
      <c r="I67" s="112"/>
      <c r="J67" s="6"/>
      <c r="K67" s="6"/>
      <c r="L67" s="6"/>
      <c r="M67" s="5"/>
    </row>
    <row r="68" spans="1:13" ht="15">
      <c r="A68" s="6"/>
      <c r="B68" s="6"/>
      <c r="C68" s="6"/>
      <c r="D68" s="6"/>
      <c r="E68" s="6"/>
      <c r="F68" s="6"/>
      <c r="G68" s="6"/>
      <c r="H68" s="6"/>
      <c r="I68" s="6"/>
      <c r="J68" s="6"/>
      <c r="K68" s="6"/>
      <c r="L68" s="6"/>
      <c r="M68" s="6"/>
    </row>
    <row r="69" spans="1:24" ht="15.75" thickBot="1">
      <c r="A69" s="6"/>
      <c r="B69" s="6"/>
      <c r="C69" s="6"/>
      <c r="D69" s="6"/>
      <c r="E69" s="6"/>
      <c r="F69" s="6"/>
      <c r="G69" s="6"/>
      <c r="H69" s="6"/>
      <c r="I69" s="6"/>
      <c r="J69" s="6"/>
      <c r="K69" s="6"/>
      <c r="L69" s="130"/>
      <c r="M69" s="6"/>
      <c r="W69" s="10"/>
      <c r="X69" s="10"/>
    </row>
    <row r="70" spans="1:24" ht="19.5" thickBot="1">
      <c r="A70" s="6"/>
      <c r="B70" s="131" t="s">
        <v>234</v>
      </c>
      <c r="C70" s="132"/>
      <c r="D70" s="132"/>
      <c r="E70" s="132"/>
      <c r="F70" s="132"/>
      <c r="G70" s="132"/>
      <c r="H70" s="133" t="s">
        <v>235</v>
      </c>
      <c r="I70" s="132"/>
      <c r="J70" s="134"/>
      <c r="K70" s="134"/>
      <c r="L70" s="135"/>
      <c r="M70" s="136"/>
      <c r="N70" s="137"/>
      <c r="Q70" s="54"/>
      <c r="W70" s="10"/>
      <c r="X70" s="10"/>
    </row>
    <row r="71" spans="1:24" ht="18.75">
      <c r="A71" s="6"/>
      <c r="B71" s="138"/>
      <c r="C71" s="139"/>
      <c r="D71" s="139"/>
      <c r="E71" s="139"/>
      <c r="F71" s="139"/>
      <c r="G71" s="139"/>
      <c r="H71" s="139"/>
      <c r="I71" s="139"/>
      <c r="J71" s="139"/>
      <c r="K71" s="140"/>
      <c r="L71" s="140"/>
      <c r="M71" s="139"/>
      <c r="N71" s="137"/>
      <c r="Q71" s="54"/>
      <c r="W71" s="10"/>
      <c r="X71" s="10"/>
    </row>
    <row r="72" spans="1:24" ht="18.75">
      <c r="A72" s="6"/>
      <c r="B72" s="138" t="s">
        <v>236</v>
      </c>
      <c r="C72" s="139"/>
      <c r="D72" s="139"/>
      <c r="E72" s="139"/>
      <c r="F72" s="139"/>
      <c r="G72" s="139"/>
      <c r="H72" s="139"/>
      <c r="I72" s="139"/>
      <c r="J72" s="139"/>
      <c r="K72" s="140"/>
      <c r="L72" s="140"/>
      <c r="M72" s="139"/>
      <c r="N72" s="137"/>
      <c r="Q72" s="54"/>
      <c r="W72" s="10"/>
      <c r="X72" s="10"/>
    </row>
    <row r="73" spans="1:24" ht="15.75" thickBot="1">
      <c r="A73" s="6"/>
      <c r="B73" s="141"/>
      <c r="C73" s="142"/>
      <c r="D73" s="142"/>
      <c r="E73" s="142"/>
      <c r="F73" s="142"/>
      <c r="G73" s="142"/>
      <c r="H73" s="141"/>
      <c r="I73" s="142"/>
      <c r="J73" s="141"/>
      <c r="K73" s="141"/>
      <c r="L73" s="141"/>
      <c r="M73" s="141"/>
      <c r="N73" s="49"/>
      <c r="O73" s="10"/>
      <c r="P73" s="10"/>
      <c r="Q73" s="10"/>
      <c r="X73" s="10"/>
    </row>
    <row r="74" spans="1:17" ht="75">
      <c r="A74" s="6"/>
      <c r="B74" s="532"/>
      <c r="C74" s="532"/>
      <c r="D74" s="143" t="s">
        <v>237</v>
      </c>
      <c r="E74" s="144" t="s">
        <v>238</v>
      </c>
      <c r="F74" s="144" t="s">
        <v>239</v>
      </c>
      <c r="G74" s="145" t="s">
        <v>219</v>
      </c>
      <c r="H74" s="146"/>
      <c r="I74" s="147"/>
      <c r="J74" s="92"/>
      <c r="K74" s="141"/>
      <c r="L74" s="141"/>
      <c r="M74" s="141"/>
      <c r="N74" s="49"/>
      <c r="O74" s="10"/>
      <c r="P74" s="10"/>
      <c r="Q74" s="10"/>
    </row>
    <row r="75" spans="1:17" ht="15">
      <c r="A75" s="6"/>
      <c r="B75" s="533" t="s">
        <v>240</v>
      </c>
      <c r="C75" s="533"/>
      <c r="D75" s="149"/>
      <c r="E75" s="149">
        <v>0</v>
      </c>
      <c r="F75" s="149">
        <v>0</v>
      </c>
      <c r="G75" s="150">
        <f>SUM(D75:F75)</f>
        <v>0</v>
      </c>
      <c r="H75" s="96"/>
      <c r="I75" s="151"/>
      <c r="J75" s="151"/>
      <c r="K75" s="141"/>
      <c r="L75" s="141"/>
      <c r="M75" s="141"/>
      <c r="N75" s="49"/>
      <c r="O75" s="10"/>
      <c r="P75" s="10"/>
      <c r="Q75" s="10"/>
    </row>
    <row r="76" spans="1:17" ht="15.75" thickBot="1">
      <c r="A76" s="6"/>
      <c r="B76" s="534" t="s">
        <v>241</v>
      </c>
      <c r="C76" s="534"/>
      <c r="D76" s="153"/>
      <c r="E76" s="153">
        <v>0</v>
      </c>
      <c r="F76" s="153">
        <v>0</v>
      </c>
      <c r="G76" s="154">
        <f>SUM(D76:F76)</f>
        <v>0</v>
      </c>
      <c r="H76" s="96"/>
      <c r="I76" s="92"/>
      <c r="J76" s="92"/>
      <c r="K76" s="141"/>
      <c r="L76" s="141"/>
      <c r="M76" s="141"/>
      <c r="N76" s="10"/>
      <c r="O76" s="10"/>
      <c r="P76" s="10"/>
      <c r="Q76" s="10"/>
    </row>
    <row r="77" spans="1:17" ht="15">
      <c r="A77" s="6"/>
      <c r="B77" s="141"/>
      <c r="C77" s="141"/>
      <c r="D77" s="141"/>
      <c r="E77" s="141"/>
      <c r="F77" s="141"/>
      <c r="G77" s="141"/>
      <c r="H77" s="141"/>
      <c r="I77" s="141"/>
      <c r="J77" s="141"/>
      <c r="K77" s="141"/>
      <c r="L77" s="141"/>
      <c r="M77" s="141"/>
      <c r="N77" s="10"/>
      <c r="O77" s="10"/>
      <c r="P77" s="10"/>
      <c r="Q77" s="10"/>
    </row>
    <row r="78" spans="1:17" ht="15">
      <c r="A78" s="6"/>
      <c r="B78" s="141"/>
      <c r="C78" s="141"/>
      <c r="D78" s="141"/>
      <c r="E78" s="141"/>
      <c r="F78" s="141"/>
      <c r="G78" s="141"/>
      <c r="H78" s="141"/>
      <c r="I78" s="141"/>
      <c r="J78" s="141"/>
      <c r="K78" s="141"/>
      <c r="L78" s="141"/>
      <c r="M78" s="141"/>
      <c r="N78" s="10"/>
      <c r="Q78" s="10"/>
    </row>
    <row r="79" spans="1:17" ht="18.75">
      <c r="A79" s="6"/>
      <c r="B79" s="138" t="s">
        <v>242</v>
      </c>
      <c r="C79" s="141"/>
      <c r="D79" s="141"/>
      <c r="E79" s="141"/>
      <c r="F79" s="141"/>
      <c r="G79" s="141"/>
      <c r="H79" s="141"/>
      <c r="I79" s="141"/>
      <c r="J79" s="141"/>
      <c r="K79" s="141"/>
      <c r="L79" s="141"/>
      <c r="M79" s="141"/>
      <c r="N79" s="10"/>
      <c r="Q79" s="10"/>
    </row>
    <row r="80" spans="1:17" ht="15.75" thickBot="1">
      <c r="A80" s="6"/>
      <c r="B80" s="141"/>
      <c r="C80" s="141"/>
      <c r="D80" s="141"/>
      <c r="E80" s="141"/>
      <c r="F80" s="141"/>
      <c r="G80" s="141"/>
      <c r="H80" s="141"/>
      <c r="I80" s="141"/>
      <c r="J80" s="141"/>
      <c r="K80" s="141"/>
      <c r="L80" s="141"/>
      <c r="M80" s="141"/>
      <c r="N80" s="10"/>
      <c r="Q80" s="10"/>
    </row>
    <row r="81" spans="1:17" ht="15">
      <c r="A81" s="6"/>
      <c r="B81" s="155"/>
      <c r="C81" s="156" t="s">
        <v>243</v>
      </c>
      <c r="D81" s="156" t="s">
        <v>244</v>
      </c>
      <c r="E81" s="157" t="s">
        <v>245</v>
      </c>
      <c r="F81" s="92"/>
      <c r="G81" s="92"/>
      <c r="H81" s="92"/>
      <c r="I81" s="147"/>
      <c r="J81" s="141"/>
      <c r="K81" s="141"/>
      <c r="L81" s="141"/>
      <c r="M81" s="141"/>
      <c r="N81" s="10"/>
      <c r="Q81" s="10"/>
    </row>
    <row r="82" spans="1:17" ht="15.75" thickBot="1">
      <c r="A82" s="6"/>
      <c r="B82" s="152" t="s">
        <v>246</v>
      </c>
      <c r="C82" s="158">
        <v>6</v>
      </c>
      <c r="D82" s="158">
        <v>6</v>
      </c>
      <c r="E82" s="159">
        <f>+C82-D82</f>
        <v>0</v>
      </c>
      <c r="F82" s="160"/>
      <c r="G82" s="161"/>
      <c r="H82" s="92"/>
      <c r="I82" s="151"/>
      <c r="J82" s="141"/>
      <c r="K82" s="141"/>
      <c r="L82" s="141"/>
      <c r="M82" s="141"/>
      <c r="N82" s="10"/>
      <c r="Q82" s="10"/>
    </row>
    <row r="83" spans="1:17" ht="15">
      <c r="A83" s="6"/>
      <c r="B83" s="141"/>
      <c r="C83" s="141"/>
      <c r="D83" s="141"/>
      <c r="E83" s="141"/>
      <c r="F83" s="141"/>
      <c r="G83" s="141"/>
      <c r="H83" s="141"/>
      <c r="I83" s="141"/>
      <c r="J83" s="141"/>
      <c r="K83" s="141"/>
      <c r="L83" s="141"/>
      <c r="M83" s="141"/>
      <c r="N83" s="10"/>
      <c r="Q83" s="10"/>
    </row>
    <row r="84" spans="1:17" ht="18.75">
      <c r="A84" s="6"/>
      <c r="B84" s="138" t="s">
        <v>247</v>
      </c>
      <c r="C84" s="141"/>
      <c r="D84" s="141"/>
      <c r="E84" s="141"/>
      <c r="F84" s="141"/>
      <c r="G84" s="141"/>
      <c r="H84" s="141"/>
      <c r="I84" s="141"/>
      <c r="J84" s="141"/>
      <c r="K84" s="141"/>
      <c r="L84" s="141"/>
      <c r="M84" s="141"/>
      <c r="N84" s="10"/>
      <c r="Q84" s="10"/>
    </row>
    <row r="85" spans="1:17" ht="15.75" thickBot="1">
      <c r="A85" s="6"/>
      <c r="B85" s="141"/>
      <c r="C85" s="141"/>
      <c r="D85" s="141"/>
      <c r="E85" s="141"/>
      <c r="F85" s="141"/>
      <c r="G85" s="141"/>
      <c r="H85" s="141"/>
      <c r="I85" s="141"/>
      <c r="J85" s="141"/>
      <c r="K85" s="141"/>
      <c r="L85" s="141"/>
      <c r="M85" s="141"/>
      <c r="N85" s="10"/>
      <c r="Q85" s="10"/>
    </row>
    <row r="86" spans="1:17" ht="30">
      <c r="A86" s="6"/>
      <c r="B86" s="155"/>
      <c r="C86" s="156" t="s">
        <v>248</v>
      </c>
      <c r="D86" s="156" t="s">
        <v>249</v>
      </c>
      <c r="E86" s="156" t="s">
        <v>250</v>
      </c>
      <c r="F86" s="156" t="s">
        <v>251</v>
      </c>
      <c r="G86" s="162" t="s">
        <v>252</v>
      </c>
      <c r="H86" s="439"/>
      <c r="I86" s="147"/>
      <c r="J86" s="141"/>
      <c r="K86" s="141"/>
      <c r="L86" s="141"/>
      <c r="M86" s="141"/>
      <c r="N86" s="10"/>
      <c r="Q86" s="10"/>
    </row>
    <row r="87" spans="1:17" ht="15.75" thickBot="1">
      <c r="A87" s="6"/>
      <c r="B87" s="152" t="s">
        <v>253</v>
      </c>
      <c r="C87" s="158">
        <v>11</v>
      </c>
      <c r="D87" s="158">
        <v>11</v>
      </c>
      <c r="E87" s="158">
        <v>10</v>
      </c>
      <c r="F87" s="158">
        <v>10</v>
      </c>
      <c r="G87" s="163">
        <v>10</v>
      </c>
      <c r="H87" s="164"/>
      <c r="I87" s="96"/>
      <c r="J87" s="141"/>
      <c r="K87" s="141"/>
      <c r="L87" s="141"/>
      <c r="M87" s="141"/>
      <c r="N87" s="10"/>
      <c r="Q87" s="10"/>
    </row>
    <row r="88" spans="1:17" ht="15">
      <c r="A88" s="6"/>
      <c r="B88" s="141" t="s">
        <v>389</v>
      </c>
      <c r="C88" s="141"/>
      <c r="D88" s="141"/>
      <c r="E88" s="141"/>
      <c r="F88" s="141"/>
      <c r="G88" s="141"/>
      <c r="H88" s="141"/>
      <c r="J88" s="141"/>
      <c r="K88" s="141"/>
      <c r="L88" s="141"/>
      <c r="M88" s="141"/>
      <c r="N88" s="10"/>
      <c r="Q88" s="10"/>
    </row>
    <row r="89" spans="1:17" ht="18.75">
      <c r="A89" s="6"/>
      <c r="B89" s="138" t="s">
        <v>254</v>
      </c>
      <c r="C89" s="141"/>
      <c r="D89" s="141"/>
      <c r="E89" s="141"/>
      <c r="F89" s="141"/>
      <c r="G89" s="141"/>
      <c r="H89" s="141"/>
      <c r="I89" s="141"/>
      <c r="J89" s="141"/>
      <c r="K89" s="141"/>
      <c r="L89" s="141"/>
      <c r="M89" s="141"/>
      <c r="N89" s="10"/>
      <c r="Q89" s="10"/>
    </row>
    <row r="90" spans="1:17" ht="15.75" thickBot="1">
      <c r="A90" s="6"/>
      <c r="B90" s="141"/>
      <c r="C90" s="141"/>
      <c r="D90" s="141"/>
      <c r="E90" s="141"/>
      <c r="F90" s="141"/>
      <c r="G90" s="141"/>
      <c r="H90" s="141"/>
      <c r="I90" s="141"/>
      <c r="J90" s="141"/>
      <c r="K90" s="141"/>
      <c r="L90" s="141"/>
      <c r="M90" s="141"/>
      <c r="N90" s="10"/>
      <c r="Q90" s="10"/>
    </row>
    <row r="91" spans="1:30" ht="15">
      <c r="A91" s="6"/>
      <c r="B91" s="155"/>
      <c r="C91" s="165" t="s">
        <v>255</v>
      </c>
      <c r="D91" s="165" t="s">
        <v>256</v>
      </c>
      <c r="E91" s="166" t="s">
        <v>257</v>
      </c>
      <c r="F91" s="141"/>
      <c r="G91" s="141"/>
      <c r="H91" s="141"/>
      <c r="I91" s="141"/>
      <c r="J91" s="10"/>
      <c r="K91" s="10"/>
      <c r="L91" s="10"/>
      <c r="N91"/>
      <c r="AA91" s="5"/>
      <c r="AD91"/>
    </row>
    <row r="92" spans="1:30" ht="15">
      <c r="A92" s="6"/>
      <c r="B92" s="148" t="s">
        <v>258</v>
      </c>
      <c r="C92" s="149">
        <v>0</v>
      </c>
      <c r="D92" s="167">
        <v>0</v>
      </c>
      <c r="E92" s="168">
        <f>C92-D92</f>
        <v>0</v>
      </c>
      <c r="F92" s="141"/>
      <c r="G92" s="141"/>
      <c r="H92" s="141"/>
      <c r="I92" s="141"/>
      <c r="J92" s="10"/>
      <c r="K92" s="10"/>
      <c r="L92" s="10"/>
      <c r="N92"/>
      <c r="AA92" s="5"/>
      <c r="AD92"/>
    </row>
    <row r="93" spans="1:30" ht="15.75" thickBot="1">
      <c r="A93" s="6"/>
      <c r="B93" s="152" t="s">
        <v>325</v>
      </c>
      <c r="C93" s="153">
        <v>20</v>
      </c>
      <c r="D93" s="169">
        <v>20</v>
      </c>
      <c r="E93" s="168">
        <f>C93-D93</f>
        <v>0</v>
      </c>
      <c r="F93" s="141"/>
      <c r="G93" s="141"/>
      <c r="H93" s="141"/>
      <c r="I93" s="141"/>
      <c r="J93" s="10"/>
      <c r="K93" s="10"/>
      <c r="L93" s="10"/>
      <c r="N93"/>
      <c r="AA93" s="5"/>
      <c r="AD93"/>
    </row>
    <row r="94" spans="1:17" ht="15">
      <c r="A94" s="6"/>
      <c r="B94" s="141" t="s">
        <v>361</v>
      </c>
      <c r="C94" s="141"/>
      <c r="D94" s="141"/>
      <c r="E94" s="141"/>
      <c r="F94" s="141"/>
      <c r="G94" s="141"/>
      <c r="H94" s="141"/>
      <c r="I94" s="141"/>
      <c r="J94" s="141"/>
      <c r="K94" s="141"/>
      <c r="L94" s="141"/>
      <c r="M94" s="141"/>
      <c r="N94" s="10"/>
      <c r="Q94" s="10"/>
    </row>
    <row r="95" spans="1:17" ht="15">
      <c r="A95" s="6"/>
      <c r="B95" s="141"/>
      <c r="C95" s="141"/>
      <c r="D95" s="141"/>
      <c r="E95" s="141"/>
      <c r="F95" s="141"/>
      <c r="G95" s="141"/>
      <c r="H95" s="141"/>
      <c r="I95" s="141"/>
      <c r="J95" s="141"/>
      <c r="K95" s="141"/>
      <c r="L95" s="141"/>
      <c r="M95" s="141"/>
      <c r="N95" s="10"/>
      <c r="Q95" s="10"/>
    </row>
    <row r="96" spans="1:17" ht="18.75">
      <c r="A96" s="6"/>
      <c r="B96" s="138" t="s">
        <v>259</v>
      </c>
      <c r="C96" s="141"/>
      <c r="D96" s="141"/>
      <c r="E96" s="141"/>
      <c r="F96" s="141"/>
      <c r="G96" s="141"/>
      <c r="H96" s="141"/>
      <c r="I96" s="141"/>
      <c r="J96" s="141"/>
      <c r="K96" s="141"/>
      <c r="L96" s="141"/>
      <c r="M96" s="141"/>
      <c r="N96" s="10"/>
      <c r="Q96" s="10"/>
    </row>
    <row r="97" spans="1:17" ht="15.75" thickBot="1">
      <c r="A97" s="6"/>
      <c r="B97" s="141"/>
      <c r="C97" s="141"/>
      <c r="D97" s="141"/>
      <c r="E97" s="141"/>
      <c r="F97" s="141"/>
      <c r="G97" s="141"/>
      <c r="H97" s="141"/>
      <c r="I97" s="92"/>
      <c r="J97" s="92"/>
      <c r="K97" s="92"/>
      <c r="L97" s="92"/>
      <c r="M97" s="92"/>
      <c r="N97" s="49"/>
      <c r="Q97" s="10"/>
    </row>
    <row r="98" spans="1:17" ht="15">
      <c r="A98" s="6"/>
      <c r="B98" s="170"/>
      <c r="C98" s="171" t="s">
        <v>16</v>
      </c>
      <c r="D98" s="171" t="s">
        <v>17</v>
      </c>
      <c r="E98" s="171" t="s">
        <v>18</v>
      </c>
      <c r="F98" s="171" t="s">
        <v>19</v>
      </c>
      <c r="G98" s="171" t="s">
        <v>20</v>
      </c>
      <c r="H98" s="171" t="s">
        <v>21</v>
      </c>
      <c r="I98" s="171" t="s">
        <v>22</v>
      </c>
      <c r="J98" s="171" t="s">
        <v>23</v>
      </c>
      <c r="K98" s="171" t="s">
        <v>209</v>
      </c>
      <c r="L98" s="171" t="s">
        <v>210</v>
      </c>
      <c r="M98" s="171" t="s">
        <v>211</v>
      </c>
      <c r="N98" s="172" t="s">
        <v>193</v>
      </c>
      <c r="Q98" s="10"/>
    </row>
    <row r="99" spans="1:17" ht="15" customHeight="1">
      <c r="A99" s="6"/>
      <c r="B99" s="173" t="s">
        <v>260</v>
      </c>
      <c r="C99" s="174">
        <v>213862</v>
      </c>
      <c r="D99" s="174"/>
      <c r="E99" s="174">
        <v>492941</v>
      </c>
      <c r="F99" s="174"/>
      <c r="G99" s="174">
        <v>699682</v>
      </c>
      <c r="H99" s="174"/>
      <c r="I99" s="174"/>
      <c r="J99" s="174"/>
      <c r="K99" s="175"/>
      <c r="L99" s="175"/>
      <c r="M99" s="175"/>
      <c r="N99" s="175"/>
      <c r="Q99" s="10"/>
    </row>
    <row r="100" spans="1:17" ht="15" customHeight="1">
      <c r="A100" s="6"/>
      <c r="B100" s="173" t="s">
        <v>261</v>
      </c>
      <c r="C100" s="174">
        <v>142579</v>
      </c>
      <c r="D100" s="174">
        <v>34569</v>
      </c>
      <c r="E100" s="174">
        <f>28990+15355.94</f>
        <v>44345.94</v>
      </c>
      <c r="F100" s="174"/>
      <c r="G100" s="174"/>
      <c r="H100" s="174"/>
      <c r="I100" s="174"/>
      <c r="J100" s="174"/>
      <c r="K100" s="175"/>
      <c r="L100" s="175"/>
      <c r="M100" s="175"/>
      <c r="N100" s="175"/>
      <c r="Q100" s="10"/>
    </row>
    <row r="101" spans="1:17" ht="15" customHeight="1">
      <c r="A101" s="6"/>
      <c r="B101" s="173" t="s">
        <v>262</v>
      </c>
      <c r="C101" s="174"/>
      <c r="D101" s="174"/>
      <c r="E101" s="174">
        <f>4464+161792.54</f>
        <v>166256.54</v>
      </c>
      <c r="F101" s="174"/>
      <c r="G101" s="174"/>
      <c r="H101" s="174"/>
      <c r="I101" s="174"/>
      <c r="J101" s="174"/>
      <c r="K101" s="175"/>
      <c r="L101" s="175"/>
      <c r="M101" s="175"/>
      <c r="N101" s="175"/>
      <c r="Q101" s="10"/>
    </row>
    <row r="102" spans="1:17" ht="15" customHeight="1">
      <c r="A102" s="6"/>
      <c r="B102" s="176" t="s">
        <v>263</v>
      </c>
      <c r="C102" s="177">
        <f>+C99</f>
        <v>213862</v>
      </c>
      <c r="D102" s="177">
        <f>+C102+D99</f>
        <v>213862</v>
      </c>
      <c r="E102" s="177">
        <f aca="true" t="shared" si="4" ref="E102:L102">+D102+E99</f>
        <v>706803</v>
      </c>
      <c r="F102" s="177">
        <f t="shared" si="4"/>
        <v>706803</v>
      </c>
      <c r="G102" s="177">
        <f t="shared" si="4"/>
        <v>1406485</v>
      </c>
      <c r="H102" s="177">
        <f t="shared" si="4"/>
        <v>1406485</v>
      </c>
      <c r="I102" s="177">
        <f t="shared" si="4"/>
        <v>1406485</v>
      </c>
      <c r="J102" s="177">
        <f t="shared" si="4"/>
        <v>1406485</v>
      </c>
      <c r="K102" s="177">
        <f t="shared" si="4"/>
        <v>1406485</v>
      </c>
      <c r="L102" s="177">
        <f t="shared" si="4"/>
        <v>1406485</v>
      </c>
      <c r="M102" s="178">
        <f aca="true" t="shared" si="5" ref="M102:N104">+L102+M99</f>
        <v>1406485</v>
      </c>
      <c r="N102" s="178">
        <f t="shared" si="5"/>
        <v>1406485</v>
      </c>
      <c r="Q102" s="10"/>
    </row>
    <row r="103" spans="1:17" ht="15" customHeight="1">
      <c r="A103" s="6"/>
      <c r="B103" s="176" t="s">
        <v>264</v>
      </c>
      <c r="C103" s="177">
        <f>+C100</f>
        <v>142579</v>
      </c>
      <c r="D103" s="177">
        <f aca="true" t="shared" si="6" ref="D103:L103">+C103+D100</f>
        <v>177148</v>
      </c>
      <c r="E103" s="177">
        <f>+D103+E100</f>
        <v>221493.94</v>
      </c>
      <c r="F103" s="177">
        <f t="shared" si="6"/>
        <v>221493.94</v>
      </c>
      <c r="G103" s="177">
        <f t="shared" si="6"/>
        <v>221493.94</v>
      </c>
      <c r="H103" s="177">
        <f t="shared" si="6"/>
        <v>221493.94</v>
      </c>
      <c r="I103" s="177">
        <f t="shared" si="6"/>
        <v>221493.94</v>
      </c>
      <c r="J103" s="177">
        <f t="shared" si="6"/>
        <v>221493.94</v>
      </c>
      <c r="K103" s="177">
        <f t="shared" si="6"/>
        <v>221493.94</v>
      </c>
      <c r="L103" s="177">
        <f t="shared" si="6"/>
        <v>221493.94</v>
      </c>
      <c r="M103" s="178">
        <f t="shared" si="5"/>
        <v>221493.94</v>
      </c>
      <c r="N103" s="178">
        <f t="shared" si="5"/>
        <v>221493.94</v>
      </c>
      <c r="Q103" s="10"/>
    </row>
    <row r="104" spans="1:17" ht="15">
      <c r="A104" s="6"/>
      <c r="B104" s="179" t="s">
        <v>265</v>
      </c>
      <c r="C104" s="180">
        <f>+C101</f>
        <v>0</v>
      </c>
      <c r="D104" s="177">
        <f aca="true" t="shared" si="7" ref="D104:L104">+C104+D101</f>
        <v>0</v>
      </c>
      <c r="E104" s="177">
        <f t="shared" si="7"/>
        <v>166256.54</v>
      </c>
      <c r="F104" s="177">
        <f t="shared" si="7"/>
        <v>166256.54</v>
      </c>
      <c r="G104" s="177">
        <f t="shared" si="7"/>
        <v>166256.54</v>
      </c>
      <c r="H104" s="177">
        <f t="shared" si="7"/>
        <v>166256.54</v>
      </c>
      <c r="I104" s="177">
        <f t="shared" si="7"/>
        <v>166256.54</v>
      </c>
      <c r="J104" s="177">
        <f t="shared" si="7"/>
        <v>166256.54</v>
      </c>
      <c r="K104" s="177">
        <f t="shared" si="7"/>
        <v>166256.54</v>
      </c>
      <c r="L104" s="177">
        <f t="shared" si="7"/>
        <v>166256.54</v>
      </c>
      <c r="M104" s="178">
        <f t="shared" si="5"/>
        <v>166256.54</v>
      </c>
      <c r="N104" s="178">
        <f t="shared" si="5"/>
        <v>166256.54</v>
      </c>
      <c r="Q104" s="10"/>
    </row>
    <row r="105" spans="1:17" ht="15">
      <c r="A105" s="6"/>
      <c r="B105" s="6"/>
      <c r="C105" s="141"/>
      <c r="D105" s="141"/>
      <c r="E105" s="440"/>
      <c r="F105" s="141"/>
      <c r="G105" s="141"/>
      <c r="H105" s="141"/>
      <c r="I105" s="92"/>
      <c r="J105" s="181"/>
      <c r="K105" s="182"/>
      <c r="L105" s="92"/>
      <c r="M105" s="183"/>
      <c r="N105" s="49"/>
      <c r="Q105" s="10"/>
    </row>
    <row r="106" spans="1:17" ht="15">
      <c r="A106" s="6"/>
      <c r="B106" s="184" t="s">
        <v>266</v>
      </c>
      <c r="C106" s="141"/>
      <c r="D106" s="141"/>
      <c r="E106" s="141"/>
      <c r="F106" s="141"/>
      <c r="G106" s="141"/>
      <c r="H106" s="141"/>
      <c r="I106" s="92"/>
      <c r="J106" s="181"/>
      <c r="K106" s="182"/>
      <c r="L106" s="92"/>
      <c r="M106" s="183"/>
      <c r="N106" s="49"/>
      <c r="Q106" s="10"/>
    </row>
    <row r="107" spans="1:17" ht="15">
      <c r="A107" s="6"/>
      <c r="C107" s="141"/>
      <c r="D107" s="141"/>
      <c r="E107" s="141"/>
      <c r="F107" s="141"/>
      <c r="G107" s="141"/>
      <c r="H107" s="141"/>
      <c r="I107" s="92"/>
      <c r="J107" s="181"/>
      <c r="K107" s="183"/>
      <c r="L107" s="92"/>
      <c r="M107" s="183"/>
      <c r="N107" s="49"/>
      <c r="Q107" s="10"/>
    </row>
    <row r="108" spans="1:14" ht="15">
      <c r="A108" s="6"/>
      <c r="B108" s="6"/>
      <c r="C108" s="6"/>
      <c r="D108" s="6"/>
      <c r="E108" s="6"/>
      <c r="F108" s="6"/>
      <c r="G108" s="6"/>
      <c r="H108" s="6"/>
      <c r="I108" s="92"/>
      <c r="J108" s="92"/>
      <c r="K108" s="92"/>
      <c r="L108" s="92"/>
      <c r="M108" s="92"/>
      <c r="N108" s="49"/>
    </row>
    <row r="109" spans="1:14" ht="18.75">
      <c r="A109" s="6"/>
      <c r="B109" s="138" t="s">
        <v>267</v>
      </c>
      <c r="C109" s="6"/>
      <c r="D109" s="6"/>
      <c r="E109" s="6"/>
      <c r="F109" s="6"/>
      <c r="G109" s="6"/>
      <c r="H109" s="6"/>
      <c r="I109" s="92"/>
      <c r="J109" s="92"/>
      <c r="K109" s="92"/>
      <c r="L109" s="92"/>
      <c r="M109" s="92"/>
      <c r="N109" s="49"/>
    </row>
    <row r="110" spans="1:17" ht="15.75" thickBot="1">
      <c r="A110" s="6"/>
      <c r="B110" s="6"/>
      <c r="C110" s="92"/>
      <c r="D110" s="92"/>
      <c r="E110" s="92"/>
      <c r="F110" s="92"/>
      <c r="G110" s="141"/>
      <c r="H110" s="141"/>
      <c r="I110" s="141"/>
      <c r="J110" s="92"/>
      <c r="K110" s="141"/>
      <c r="L110" s="92"/>
      <c r="M110" s="92"/>
      <c r="N110" s="49"/>
      <c r="O110" s="10"/>
      <c r="Q110" s="49"/>
    </row>
    <row r="111" spans="1:16" ht="135" customHeight="1">
      <c r="A111" s="6"/>
      <c r="B111" s="448" t="s">
        <v>268</v>
      </c>
      <c r="C111" s="449" t="s">
        <v>269</v>
      </c>
      <c r="D111" s="450" t="s">
        <v>349</v>
      </c>
      <c r="E111" s="450" t="s">
        <v>381</v>
      </c>
      <c r="F111" s="451" t="s">
        <v>384</v>
      </c>
      <c r="G111" s="451" t="s">
        <v>385</v>
      </c>
      <c r="H111" s="451" t="s">
        <v>346</v>
      </c>
      <c r="I111" s="451" t="s">
        <v>347</v>
      </c>
      <c r="J111" s="451" t="s">
        <v>348</v>
      </c>
      <c r="K111" s="452" t="s">
        <v>270</v>
      </c>
      <c r="L111" s="141"/>
      <c r="M111" s="49"/>
      <c r="N111" s="49"/>
      <c r="P111" s="49"/>
    </row>
    <row r="112" spans="1:16" ht="29.25" thickBot="1">
      <c r="A112" s="6"/>
      <c r="B112" s="603" t="s">
        <v>45</v>
      </c>
      <c r="C112" s="444" t="s">
        <v>370</v>
      </c>
      <c r="D112" s="442">
        <v>40</v>
      </c>
      <c r="E112" s="442">
        <f>IF(ISBLANK(D112),"",D112*3)</f>
        <v>120</v>
      </c>
      <c r="F112" s="406">
        <v>3198</v>
      </c>
      <c r="G112" s="408">
        <f>IF(AND(E112&gt;0,F112&gt;0),(F112*E112),"")</f>
        <v>383760</v>
      </c>
      <c r="H112" s="540">
        <v>1003270</v>
      </c>
      <c r="I112" s="543">
        <f>IF(AND((G112+G113+G114)&gt;0,H112&gt;0),H112/(G112+G113+G114),"")*6</f>
        <v>3.149470102212512</v>
      </c>
      <c r="J112" s="546">
        <v>5</v>
      </c>
      <c r="K112" s="549">
        <f>IF(AND(I112&gt;0,J112&gt;0),I112-J112,"")</f>
        <v>-1.8505298977874882</v>
      </c>
      <c r="L112" s="141"/>
      <c r="M112" s="49"/>
      <c r="N112" s="49"/>
      <c r="P112" s="49"/>
    </row>
    <row r="113" spans="1:16" ht="29.25" thickBot="1">
      <c r="A113" s="6"/>
      <c r="B113" s="603"/>
      <c r="C113" s="444" t="s">
        <v>371</v>
      </c>
      <c r="D113" s="442">
        <v>192</v>
      </c>
      <c r="E113" s="442">
        <f>IF(ISBLANK(D113),"",D113*3)</f>
        <v>576</v>
      </c>
      <c r="F113" s="406">
        <v>2582</v>
      </c>
      <c r="G113" s="408">
        <f>IF(AND(E113&gt;0,F113&gt;0),(F113*E113),"")</f>
        <v>1487232</v>
      </c>
      <c r="H113" s="541"/>
      <c r="I113" s="544" t="e">
        <f>IF(AND(G113&gt;0,H113&gt;0),H113/G113,"")*12</f>
        <v>#VALUE!</v>
      </c>
      <c r="J113" s="547"/>
      <c r="K113" s="550"/>
      <c r="L113" s="141"/>
      <c r="M113" s="49"/>
      <c r="N113" s="49"/>
      <c r="P113" s="49"/>
    </row>
    <row r="114" spans="1:16" ht="31.5" customHeight="1" thickBot="1">
      <c r="A114" s="6"/>
      <c r="B114" s="603"/>
      <c r="C114" s="444" t="s">
        <v>372</v>
      </c>
      <c r="D114" s="442">
        <v>48</v>
      </c>
      <c r="E114" s="442">
        <f>IF(ISBLANK(D114),"",D114*3)</f>
        <v>144</v>
      </c>
      <c r="F114" s="406">
        <v>280</v>
      </c>
      <c r="G114" s="408">
        <f>IF(AND(E114&gt;0,F114&gt;0),(F114*E114),"")</f>
        <v>40320</v>
      </c>
      <c r="H114" s="542"/>
      <c r="I114" s="545" t="e">
        <f>IF(AND(G114&gt;0,H114&gt;0),H114/G114,"")*12</f>
        <v>#VALUE!</v>
      </c>
      <c r="J114" s="548"/>
      <c r="K114" s="551"/>
      <c r="L114" s="141"/>
      <c r="M114" s="441"/>
      <c r="N114" s="49"/>
      <c r="P114" s="49"/>
    </row>
    <row r="115" spans="1:14" ht="29.25" thickBot="1">
      <c r="A115" s="6"/>
      <c r="B115" s="603"/>
      <c r="C115" s="444" t="s">
        <v>336</v>
      </c>
      <c r="D115" s="442">
        <v>3</v>
      </c>
      <c r="E115" s="442">
        <f>IF(ISBLANK(D115),"",D115*6)</f>
        <v>18</v>
      </c>
      <c r="F115" s="406">
        <v>2582</v>
      </c>
      <c r="G115" s="408">
        <f>IF(AND(E115&gt;0,F115&gt;0),(F115*E115),"")</f>
        <v>46476</v>
      </c>
      <c r="H115" s="407">
        <v>29000</v>
      </c>
      <c r="I115" s="480">
        <f>IF(AND(G115&gt;0,H115&gt;0),H115/G115,"")*6</f>
        <v>3.7438678027368963</v>
      </c>
      <c r="J115" s="405">
        <v>5</v>
      </c>
      <c r="K115" s="453">
        <f>IF(AND(I115&gt;0,J115&gt;0),I115-J115,"")</f>
        <v>-1.2561321972631037</v>
      </c>
      <c r="L115" s="141"/>
      <c r="M115" s="49"/>
      <c r="N115" s="49"/>
    </row>
    <row r="116" spans="1:14" ht="15" thickBot="1">
      <c r="A116" s="6"/>
      <c r="B116" s="603"/>
      <c r="C116" s="444" t="s">
        <v>374</v>
      </c>
      <c r="D116" s="442"/>
      <c r="E116" s="442"/>
      <c r="F116" s="406"/>
      <c r="G116" s="408">
        <v>3600</v>
      </c>
      <c r="H116" s="407">
        <v>1555</v>
      </c>
      <c r="I116" s="480">
        <f>IF(AND(G116&gt;0,H116&gt;0),H116/G116,"")*12</f>
        <v>5.183333333333334</v>
      </c>
      <c r="J116" s="405">
        <v>5</v>
      </c>
      <c r="K116" s="453">
        <f>IF(AND(I116&gt;0,J116&gt;0),I116-J116,"")</f>
        <v>0.18333333333333357</v>
      </c>
      <c r="L116" s="141"/>
      <c r="M116" s="49"/>
      <c r="N116" s="49"/>
    </row>
    <row r="117" spans="1:16" ht="15" thickBot="1">
      <c r="A117" s="6"/>
      <c r="B117" s="603"/>
      <c r="C117" s="445" t="s">
        <v>350</v>
      </c>
      <c r="D117" s="442">
        <v>3</v>
      </c>
      <c r="E117" s="442">
        <f>IF(ISBLANK(D117),"",D117*3)</f>
        <v>9</v>
      </c>
      <c r="F117" s="406">
        <v>2582</v>
      </c>
      <c r="G117" s="408">
        <f aca="true" t="shared" si="8" ref="G117:G123">IF(AND(E117&gt;0,F117&gt;0),(F117*E117),"")</f>
        <v>23238</v>
      </c>
      <c r="H117" s="407">
        <v>23780</v>
      </c>
      <c r="I117" s="480">
        <f>IF(AND(G117&gt;0,H117&gt;0),H117/G117,"")*12</f>
        <v>12.27988639297702</v>
      </c>
      <c r="J117" s="405">
        <v>5</v>
      </c>
      <c r="K117" s="453">
        <f>IF(AND(I117&gt;0,J117&gt;0),I117-J117,"")</f>
        <v>7.279886392977019</v>
      </c>
      <c r="L117" s="141"/>
      <c r="M117" s="49"/>
      <c r="N117" s="49"/>
      <c r="P117" s="49"/>
    </row>
    <row r="118" spans="1:16" ht="15" thickBot="1">
      <c r="A118" s="6"/>
      <c r="B118" s="603"/>
      <c r="C118" s="446" t="s">
        <v>375</v>
      </c>
      <c r="D118" s="442"/>
      <c r="E118" s="442">
        <v>5</v>
      </c>
      <c r="F118" s="406">
        <v>3198</v>
      </c>
      <c r="G118" s="408">
        <f>IF(AND(E118&gt;0,F118&gt;0),(F118*E118),"")</f>
        <v>15990</v>
      </c>
      <c r="H118" s="596">
        <v>30194</v>
      </c>
      <c r="I118" s="543">
        <f>IF(AND((G118+G119+G120)&gt;0,H118&gt;0),H118/(G118+G119+G120),"")*12</f>
        <v>12.941210086434747</v>
      </c>
      <c r="J118" s="601">
        <v>5</v>
      </c>
      <c r="K118" s="549">
        <f>IF(AND(I118&gt;0,J118&gt;0),I118-J118,"")</f>
        <v>7.941210086434747</v>
      </c>
      <c r="L118" s="141"/>
      <c r="M118" s="49"/>
      <c r="N118" s="49"/>
      <c r="P118" s="49"/>
    </row>
    <row r="119" spans="1:16" ht="33" customHeight="1" thickBot="1">
      <c r="A119" s="6"/>
      <c r="B119" s="603"/>
      <c r="C119" s="446" t="s">
        <v>376</v>
      </c>
      <c r="D119" s="442"/>
      <c r="E119" s="443">
        <v>4</v>
      </c>
      <c r="F119" s="406">
        <v>2582</v>
      </c>
      <c r="G119" s="408">
        <f>IF(AND(E119&gt;0,F119&gt;0),(F119*E119),"")</f>
        <v>10328</v>
      </c>
      <c r="H119" s="597"/>
      <c r="I119" s="544" t="e">
        <f>IF(AND(G119&gt;0,H119&gt;0),H119/G119,"")*12</f>
        <v>#VALUE!</v>
      </c>
      <c r="J119" s="547"/>
      <c r="K119" s="550"/>
      <c r="L119" s="141"/>
      <c r="M119" s="441"/>
      <c r="N119" s="49"/>
      <c r="P119" s="49"/>
    </row>
    <row r="120" spans="1:16" ht="29.25" thickBot="1">
      <c r="A120" s="6"/>
      <c r="B120" s="603"/>
      <c r="C120" s="446" t="s">
        <v>377</v>
      </c>
      <c r="D120" s="442"/>
      <c r="E120" s="443">
        <v>6</v>
      </c>
      <c r="F120" s="406">
        <v>280</v>
      </c>
      <c r="G120" s="408">
        <f>IF(AND(E120&gt;0,F120&gt;0),(F120*E120),"")</f>
        <v>1680</v>
      </c>
      <c r="H120" s="600"/>
      <c r="I120" s="545" t="e">
        <f>IF(AND(G120&gt;0,H120&gt;0),H120/G120,"")*12</f>
        <v>#VALUE!</v>
      </c>
      <c r="J120" s="548"/>
      <c r="K120" s="551"/>
      <c r="L120" s="141"/>
      <c r="M120" s="49"/>
      <c r="N120" s="49"/>
      <c r="P120" s="49"/>
    </row>
    <row r="121" spans="1:16" ht="29.25" thickBot="1">
      <c r="A121" s="6"/>
      <c r="B121" s="603"/>
      <c r="C121" s="447" t="s">
        <v>378</v>
      </c>
      <c r="D121" s="442"/>
      <c r="E121" s="443">
        <v>8</v>
      </c>
      <c r="F121" s="406">
        <v>3198</v>
      </c>
      <c r="G121" s="408">
        <f>IF(AND(E121&gt;0,F121&gt;0),(F121*E121),"")</f>
        <v>25584</v>
      </c>
      <c r="H121" s="596">
        <v>12901</v>
      </c>
      <c r="I121" s="543">
        <f>IF(AND((G121+G122+G123)&gt;0,H121&gt;0),H121/(G121+G122+G123),"")*12</f>
        <v>3.015309103657824</v>
      </c>
      <c r="J121" s="601">
        <v>5</v>
      </c>
      <c r="K121" s="549">
        <f>IF(AND(I121&gt;0,J121&gt;0),I121-J121,"")</f>
        <v>-1.984690896342176</v>
      </c>
      <c r="L121" s="141"/>
      <c r="M121" s="49"/>
      <c r="N121" s="49"/>
      <c r="P121" s="49"/>
    </row>
    <row r="122" spans="1:16" ht="15" thickBot="1">
      <c r="A122" s="6"/>
      <c r="B122" s="603"/>
      <c r="C122" s="447" t="s">
        <v>379</v>
      </c>
      <c r="D122" s="442"/>
      <c r="E122" s="443">
        <v>9</v>
      </c>
      <c r="F122" s="406">
        <v>2582</v>
      </c>
      <c r="G122" s="408">
        <f t="shared" si="8"/>
        <v>23238</v>
      </c>
      <c r="H122" s="597"/>
      <c r="I122" s="544" t="e">
        <f>IF(AND(G122&gt;0,H122&gt;0),H122/G122,"")*12</f>
        <v>#VALUE!</v>
      </c>
      <c r="J122" s="547"/>
      <c r="K122" s="550"/>
      <c r="L122" s="141"/>
      <c r="M122" s="49"/>
      <c r="N122" s="49"/>
      <c r="P122" s="49"/>
    </row>
    <row r="123" spans="1:16" ht="29.25" thickBot="1">
      <c r="A123" s="6"/>
      <c r="B123" s="604"/>
      <c r="C123" s="454" t="s">
        <v>380</v>
      </c>
      <c r="D123" s="455"/>
      <c r="E123" s="455">
        <v>9</v>
      </c>
      <c r="F123" s="465">
        <v>280</v>
      </c>
      <c r="G123" s="466">
        <f t="shared" si="8"/>
        <v>2520</v>
      </c>
      <c r="H123" s="598"/>
      <c r="I123" s="599" t="e">
        <f>IF(AND(G123&gt;0,H123&gt;0),H123/G123,"")*12</f>
        <v>#VALUE!</v>
      </c>
      <c r="J123" s="602"/>
      <c r="K123" s="589"/>
      <c r="L123" s="141"/>
      <c r="M123" s="49"/>
      <c r="N123" s="49"/>
      <c r="P123" s="49"/>
    </row>
    <row r="124" spans="1:17" ht="14.25">
      <c r="A124" s="6"/>
      <c r="B124" s="6" t="s">
        <v>373</v>
      </c>
      <c r="C124" s="6"/>
      <c r="D124" s="185"/>
      <c r="E124" s="6"/>
      <c r="F124" s="6"/>
      <c r="G124" s="141"/>
      <c r="H124" s="141"/>
      <c r="I124" s="141"/>
      <c r="J124" s="6"/>
      <c r="K124" s="6"/>
      <c r="L124" s="141"/>
      <c r="M124" s="141"/>
      <c r="N124" s="49"/>
      <c r="O124" s="10"/>
      <c r="Q124" s="49"/>
    </row>
    <row r="125" spans="1:13" ht="41.25" customHeight="1">
      <c r="A125" s="6"/>
      <c r="B125" s="595" t="s">
        <v>390</v>
      </c>
      <c r="C125" s="595"/>
      <c r="D125" s="6"/>
      <c r="E125" s="6"/>
      <c r="F125" s="6"/>
      <c r="G125" s="6"/>
      <c r="H125" s="6"/>
      <c r="I125" s="141"/>
      <c r="J125" s="139"/>
      <c r="K125" s="139"/>
      <c r="L125" s="6"/>
      <c r="M125" s="6"/>
    </row>
    <row r="126" spans="1:15" ht="18" thickBot="1">
      <c r="A126" s="6"/>
      <c r="B126" s="186" t="s">
        <v>275</v>
      </c>
      <c r="C126" s="187"/>
      <c r="D126" s="187"/>
      <c r="E126" s="188"/>
      <c r="F126" s="188"/>
      <c r="G126" s="188"/>
      <c r="H126" s="189"/>
      <c r="I126" s="190"/>
      <c r="J126" s="191"/>
      <c r="K126" s="192" t="s">
        <v>276</v>
      </c>
      <c r="L126" s="188"/>
      <c r="M126" s="193"/>
      <c r="N126" s="194"/>
      <c r="O126" s="5"/>
    </row>
    <row r="127" spans="1:15" ht="15" thickBot="1">
      <c r="A127" s="6"/>
      <c r="B127" s="6"/>
      <c r="C127" s="6"/>
      <c r="D127" s="6"/>
      <c r="E127" s="6"/>
      <c r="F127" s="6"/>
      <c r="G127" s="6"/>
      <c r="H127" s="6"/>
      <c r="I127" s="6"/>
      <c r="J127" s="6"/>
      <c r="K127" s="6"/>
      <c r="L127" s="6"/>
      <c r="M127" s="6"/>
      <c r="N127"/>
      <c r="O127" s="5"/>
    </row>
    <row r="128" spans="1:17" ht="26.25">
      <c r="A128" s="6"/>
      <c r="B128" s="539" t="s">
        <v>277</v>
      </c>
      <c r="C128" s="539"/>
      <c r="D128" s="539"/>
      <c r="E128" s="195" t="s">
        <v>278</v>
      </c>
      <c r="F128" s="196" t="s">
        <v>279</v>
      </c>
      <c r="G128" s="197"/>
      <c r="H128" s="198" t="s">
        <v>16</v>
      </c>
      <c r="I128" s="198" t="s">
        <v>17</v>
      </c>
      <c r="J128" s="198" t="s">
        <v>18</v>
      </c>
      <c r="K128" s="198" t="s">
        <v>19</v>
      </c>
      <c r="L128" s="198" t="s">
        <v>20</v>
      </c>
      <c r="M128" s="198" t="s">
        <v>21</v>
      </c>
      <c r="N128" s="198" t="s">
        <v>22</v>
      </c>
      <c r="O128" s="198" t="s">
        <v>23</v>
      </c>
      <c r="P128" s="198" t="s">
        <v>209</v>
      </c>
      <c r="Q128" s="198" t="s">
        <v>210</v>
      </c>
    </row>
    <row r="129" spans="1:17" ht="14.25">
      <c r="A129" s="6"/>
      <c r="B129" s="199"/>
      <c r="C129" s="200"/>
      <c r="D129" s="200"/>
      <c r="E129" s="201"/>
      <c r="F129" s="202"/>
      <c r="G129" s="203"/>
      <c r="H129" s="409"/>
      <c r="I129" s="409"/>
      <c r="J129" s="409"/>
      <c r="K129" s="409"/>
      <c r="L129" s="409"/>
      <c r="M129" s="409"/>
      <c r="N129" s="409"/>
      <c r="O129" s="409"/>
      <c r="P129" s="409"/>
      <c r="Q129" s="410"/>
    </row>
    <row r="130" spans="1:17" ht="15" customHeight="1">
      <c r="A130" s="552" t="s">
        <v>280</v>
      </c>
      <c r="B130" s="553" t="s">
        <v>328</v>
      </c>
      <c r="C130" s="554"/>
      <c r="D130" s="555"/>
      <c r="E130" s="559" t="s">
        <v>334</v>
      </c>
      <c r="F130" s="561" t="s">
        <v>281</v>
      </c>
      <c r="G130" s="418" t="s">
        <v>282</v>
      </c>
      <c r="H130" s="204">
        <v>1558</v>
      </c>
      <c r="I130" s="204">
        <v>2336</v>
      </c>
      <c r="J130" s="204">
        <v>2878</v>
      </c>
      <c r="K130" s="412"/>
      <c r="L130" s="205"/>
      <c r="M130" s="411"/>
      <c r="N130" s="420"/>
      <c r="O130" s="420"/>
      <c r="P130" s="413"/>
      <c r="Q130" s="413"/>
    </row>
    <row r="131" spans="1:17" ht="14.25">
      <c r="A131" s="552"/>
      <c r="B131" s="556"/>
      <c r="C131" s="557"/>
      <c r="D131" s="558"/>
      <c r="E131" s="560"/>
      <c r="F131" s="562"/>
      <c r="G131" s="418" t="s">
        <v>283</v>
      </c>
      <c r="H131" s="204">
        <v>155</v>
      </c>
      <c r="I131" s="204">
        <v>3973</v>
      </c>
      <c r="J131" s="204">
        <v>3198</v>
      </c>
      <c r="K131" s="412"/>
      <c r="L131" s="204"/>
      <c r="M131" s="411"/>
      <c r="N131" s="420"/>
      <c r="O131" s="420"/>
      <c r="P131" s="413"/>
      <c r="Q131" s="413"/>
    </row>
    <row r="132" spans="1:17" ht="15" customHeight="1">
      <c r="A132" s="552"/>
      <c r="B132" s="563" t="s">
        <v>329</v>
      </c>
      <c r="C132" s="564"/>
      <c r="D132" s="565"/>
      <c r="E132" s="559" t="s">
        <v>334</v>
      </c>
      <c r="F132" s="561" t="s">
        <v>281</v>
      </c>
      <c r="G132" s="419" t="s">
        <v>282</v>
      </c>
      <c r="H132" s="204">
        <v>1171</v>
      </c>
      <c r="I132" s="204">
        <v>1175</v>
      </c>
      <c r="J132" s="204">
        <v>2196</v>
      </c>
      <c r="K132" s="412"/>
      <c r="L132" s="204"/>
      <c r="M132" s="411"/>
      <c r="N132" s="421"/>
      <c r="O132" s="421"/>
      <c r="P132" s="414"/>
      <c r="Q132" s="414"/>
    </row>
    <row r="133" spans="1:17" ht="14.25">
      <c r="A133" s="552"/>
      <c r="B133" s="566"/>
      <c r="C133" s="567"/>
      <c r="D133" s="568"/>
      <c r="E133" s="560"/>
      <c r="F133" s="562"/>
      <c r="G133" s="419" t="s">
        <v>283</v>
      </c>
      <c r="H133" s="204">
        <v>44</v>
      </c>
      <c r="I133" s="204">
        <v>2918</v>
      </c>
      <c r="J133" s="204">
        <v>2582</v>
      </c>
      <c r="K133" s="412"/>
      <c r="L133" s="204"/>
      <c r="M133" s="411"/>
      <c r="N133" s="421"/>
      <c r="O133" s="421"/>
      <c r="P133" s="414"/>
      <c r="Q133" s="414"/>
    </row>
    <row r="134" spans="1:17" ht="15" customHeight="1">
      <c r="A134" s="552"/>
      <c r="B134" s="553" t="s">
        <v>330</v>
      </c>
      <c r="C134" s="554"/>
      <c r="D134" s="555"/>
      <c r="E134" s="559" t="s">
        <v>334</v>
      </c>
      <c r="F134" s="561" t="s">
        <v>281</v>
      </c>
      <c r="G134" s="418" t="s">
        <v>282</v>
      </c>
      <c r="H134" s="204">
        <v>220</v>
      </c>
      <c r="I134" s="204">
        <v>331</v>
      </c>
      <c r="J134" s="204">
        <v>279</v>
      </c>
      <c r="K134" s="412"/>
      <c r="L134" s="204"/>
      <c r="M134" s="411"/>
      <c r="N134" s="420"/>
      <c r="O134" s="420"/>
      <c r="P134" s="413"/>
      <c r="Q134" s="413"/>
    </row>
    <row r="135" spans="1:17" ht="14.25">
      <c r="A135" s="552"/>
      <c r="B135" s="556"/>
      <c r="C135" s="557"/>
      <c r="D135" s="558"/>
      <c r="E135" s="560"/>
      <c r="F135" s="562"/>
      <c r="G135" s="418" t="s">
        <v>283</v>
      </c>
      <c r="H135" s="204">
        <v>34</v>
      </c>
      <c r="I135" s="204">
        <v>524</v>
      </c>
      <c r="J135" s="204">
        <v>280</v>
      </c>
      <c r="K135" s="412"/>
      <c r="L135" s="204"/>
      <c r="M135" s="416"/>
      <c r="N135" s="420"/>
      <c r="O135" s="420"/>
      <c r="P135" s="413"/>
      <c r="Q135" s="413"/>
    </row>
    <row r="136" spans="1:17" ht="15" customHeight="1">
      <c r="A136" s="6"/>
      <c r="B136" s="563" t="s">
        <v>331</v>
      </c>
      <c r="C136" s="564"/>
      <c r="D136" s="565"/>
      <c r="E136" s="559" t="s">
        <v>335</v>
      </c>
      <c r="F136" s="561" t="s">
        <v>281</v>
      </c>
      <c r="G136" s="419" t="s">
        <v>282</v>
      </c>
      <c r="H136" s="204">
        <v>453</v>
      </c>
      <c r="I136" s="204">
        <v>410</v>
      </c>
      <c r="J136" s="204">
        <v>179</v>
      </c>
      <c r="K136" s="412"/>
      <c r="L136" s="204"/>
      <c r="M136" s="411"/>
      <c r="N136" s="420"/>
      <c r="O136" s="420"/>
      <c r="P136" s="414"/>
      <c r="Q136" s="414"/>
    </row>
    <row r="137" spans="1:17" ht="14.25">
      <c r="A137" s="6"/>
      <c r="B137" s="566"/>
      <c r="C137" s="567"/>
      <c r="D137" s="568"/>
      <c r="E137" s="560"/>
      <c r="F137" s="562"/>
      <c r="G137" s="419" t="s">
        <v>283</v>
      </c>
      <c r="H137" s="204">
        <v>273</v>
      </c>
      <c r="I137" s="204">
        <v>1901</v>
      </c>
      <c r="J137" s="204">
        <v>1803</v>
      </c>
      <c r="K137" s="412"/>
      <c r="L137" s="204"/>
      <c r="M137" s="416"/>
      <c r="N137" s="420"/>
      <c r="O137" s="420"/>
      <c r="P137" s="414"/>
      <c r="Q137" s="414"/>
    </row>
    <row r="138" spans="1:17" ht="15" customHeight="1">
      <c r="A138" s="6"/>
      <c r="B138" s="569" t="s">
        <v>332</v>
      </c>
      <c r="C138" s="570"/>
      <c r="D138" s="571"/>
      <c r="E138" s="559" t="s">
        <v>335</v>
      </c>
      <c r="F138" s="561" t="s">
        <v>281</v>
      </c>
      <c r="G138" s="418" t="s">
        <v>282</v>
      </c>
      <c r="H138" s="204">
        <v>1200</v>
      </c>
      <c r="I138" s="204">
        <v>176</v>
      </c>
      <c r="J138" s="204">
        <v>351</v>
      </c>
      <c r="K138" s="412"/>
      <c r="L138" s="204"/>
      <c r="M138" s="411"/>
      <c r="N138" s="420"/>
      <c r="O138" s="420"/>
      <c r="P138" s="413"/>
      <c r="Q138" s="413"/>
    </row>
    <row r="139" spans="1:17" ht="14.25">
      <c r="A139" s="6"/>
      <c r="B139" s="572"/>
      <c r="C139" s="573"/>
      <c r="D139" s="574"/>
      <c r="E139" s="560"/>
      <c r="F139" s="562"/>
      <c r="G139" s="418" t="s">
        <v>283</v>
      </c>
      <c r="H139" s="204">
        <v>276</v>
      </c>
      <c r="I139" s="204">
        <v>2624</v>
      </c>
      <c r="J139" s="204">
        <v>1247</v>
      </c>
      <c r="K139" s="412"/>
      <c r="L139" s="204"/>
      <c r="M139" s="416"/>
      <c r="N139" s="420"/>
      <c r="O139" s="420"/>
      <c r="P139" s="413"/>
      <c r="Q139" s="413"/>
    </row>
    <row r="140" spans="1:17" ht="15" customHeight="1">
      <c r="A140" s="6"/>
      <c r="B140" s="563" t="s">
        <v>333</v>
      </c>
      <c r="C140" s="564"/>
      <c r="D140" s="565"/>
      <c r="E140" s="559" t="s">
        <v>335</v>
      </c>
      <c r="F140" s="561" t="s">
        <v>281</v>
      </c>
      <c r="G140" s="419" t="s">
        <v>282</v>
      </c>
      <c r="H140" s="204">
        <v>225</v>
      </c>
      <c r="I140" s="204">
        <v>51</v>
      </c>
      <c r="J140" s="204">
        <v>193</v>
      </c>
      <c r="K140" s="412"/>
      <c r="L140" s="204"/>
      <c r="M140" s="411"/>
      <c r="N140" s="422"/>
      <c r="O140" s="422"/>
      <c r="P140" s="415"/>
      <c r="Q140" s="415"/>
    </row>
    <row r="141" spans="1:17" ht="14.25">
      <c r="A141" s="6"/>
      <c r="B141" s="566"/>
      <c r="C141" s="567"/>
      <c r="D141" s="568"/>
      <c r="E141" s="560"/>
      <c r="F141" s="562"/>
      <c r="G141" s="419" t="s">
        <v>283</v>
      </c>
      <c r="H141" s="204">
        <v>90</v>
      </c>
      <c r="I141" s="204">
        <v>243</v>
      </c>
      <c r="J141" s="204">
        <v>62</v>
      </c>
      <c r="K141" s="412"/>
      <c r="L141" s="204"/>
      <c r="M141" s="411"/>
      <c r="N141" s="422"/>
      <c r="O141" s="422"/>
      <c r="P141" s="415"/>
      <c r="Q141" s="415"/>
    </row>
    <row r="142" spans="1:17" ht="14.25" customHeight="1">
      <c r="A142" s="6"/>
      <c r="B142" s="553" t="s">
        <v>327</v>
      </c>
      <c r="C142" s="554"/>
      <c r="D142" s="555"/>
      <c r="E142" s="559" t="s">
        <v>318</v>
      </c>
      <c r="F142" s="561" t="s">
        <v>281</v>
      </c>
      <c r="G142" s="418" t="s">
        <v>282</v>
      </c>
      <c r="H142" s="204"/>
      <c r="I142" s="204"/>
      <c r="J142" s="204"/>
      <c r="K142" s="412"/>
      <c r="L142" s="204"/>
      <c r="M142" s="411"/>
      <c r="N142" s="421"/>
      <c r="O142" s="421"/>
      <c r="P142" s="413"/>
      <c r="Q142" s="413"/>
    </row>
    <row r="143" spans="1:17" ht="14.25">
      <c r="A143" s="6"/>
      <c r="B143" s="556"/>
      <c r="C143" s="557"/>
      <c r="D143" s="558"/>
      <c r="E143" s="560"/>
      <c r="F143" s="562"/>
      <c r="G143" s="418" t="s">
        <v>283</v>
      </c>
      <c r="H143" s="204"/>
      <c r="I143" s="204"/>
      <c r="J143" s="204"/>
      <c r="K143" s="412"/>
      <c r="L143" s="204"/>
      <c r="M143" s="411"/>
      <c r="N143" s="421"/>
      <c r="O143" s="421"/>
      <c r="P143" s="413"/>
      <c r="Q143" s="413"/>
    </row>
    <row r="144" spans="1:17" ht="14.25" customHeight="1">
      <c r="A144" s="6"/>
      <c r="B144" s="553"/>
      <c r="C144" s="554"/>
      <c r="D144" s="555"/>
      <c r="E144" s="559"/>
      <c r="F144" s="561" t="s">
        <v>281</v>
      </c>
      <c r="G144" s="419" t="s">
        <v>282</v>
      </c>
      <c r="H144" s="204"/>
      <c r="I144" s="204"/>
      <c r="J144" s="204"/>
      <c r="K144" s="412"/>
      <c r="L144" s="204"/>
      <c r="M144" s="411"/>
      <c r="N144" s="420"/>
      <c r="O144" s="420"/>
      <c r="P144" s="415"/>
      <c r="Q144" s="415"/>
    </row>
    <row r="145" spans="1:17" ht="14.25">
      <c r="A145" s="6"/>
      <c r="B145" s="556"/>
      <c r="C145" s="557"/>
      <c r="D145" s="558"/>
      <c r="E145" s="560"/>
      <c r="F145" s="562"/>
      <c r="G145" s="419" t="s">
        <v>283</v>
      </c>
      <c r="H145" s="204"/>
      <c r="I145" s="204"/>
      <c r="J145" s="204"/>
      <c r="K145" s="412"/>
      <c r="L145" s="204"/>
      <c r="M145" s="416"/>
      <c r="N145" s="420"/>
      <c r="O145" s="420"/>
      <c r="P145" s="415"/>
      <c r="Q145" s="415"/>
    </row>
    <row r="146" spans="1:17" ht="14.25" customHeight="1">
      <c r="A146" s="6"/>
      <c r="B146" s="553"/>
      <c r="C146" s="554"/>
      <c r="D146" s="555"/>
      <c r="E146" s="559"/>
      <c r="F146" s="561" t="s">
        <v>281</v>
      </c>
      <c r="G146" s="418" t="s">
        <v>282</v>
      </c>
      <c r="H146" s="204"/>
      <c r="I146" s="204"/>
      <c r="J146" s="204"/>
      <c r="K146" s="412"/>
      <c r="L146" s="205"/>
      <c r="M146" s="411"/>
      <c r="N146" s="420"/>
      <c r="O146" s="420"/>
      <c r="P146" s="413"/>
      <c r="Q146" s="413"/>
    </row>
    <row r="147" spans="1:17" ht="14.25">
      <c r="A147" s="6"/>
      <c r="B147" s="556"/>
      <c r="C147" s="557"/>
      <c r="D147" s="558"/>
      <c r="E147" s="560"/>
      <c r="F147" s="562"/>
      <c r="G147" s="418" t="s">
        <v>283</v>
      </c>
      <c r="H147" s="204"/>
      <c r="I147" s="204"/>
      <c r="J147" s="204"/>
      <c r="K147" s="412"/>
      <c r="L147" s="205"/>
      <c r="M147" s="416"/>
      <c r="N147" s="420"/>
      <c r="O147" s="420"/>
      <c r="P147" s="413"/>
      <c r="Q147" s="413"/>
    </row>
    <row r="148" spans="1:17" ht="14.25" customHeight="1">
      <c r="A148" s="6"/>
      <c r="B148" s="575"/>
      <c r="C148" s="576"/>
      <c r="D148" s="577"/>
      <c r="E148" s="559"/>
      <c r="F148" s="561" t="s">
        <v>281</v>
      </c>
      <c r="G148" s="419" t="s">
        <v>282</v>
      </c>
      <c r="H148" s="204"/>
      <c r="I148" s="204"/>
      <c r="J148" s="204"/>
      <c r="K148" s="412"/>
      <c r="L148" s="204"/>
      <c r="M148" s="411"/>
      <c r="N148" s="422"/>
      <c r="O148" s="422"/>
      <c r="P148" s="415"/>
      <c r="Q148" s="415"/>
    </row>
    <row r="149" spans="1:17" ht="14.25">
      <c r="A149" s="6"/>
      <c r="B149" s="578"/>
      <c r="C149" s="579"/>
      <c r="D149" s="580"/>
      <c r="E149" s="560"/>
      <c r="F149" s="562"/>
      <c r="G149" s="419" t="s">
        <v>283</v>
      </c>
      <c r="H149" s="204"/>
      <c r="I149" s="204"/>
      <c r="J149" s="204"/>
      <c r="K149" s="412"/>
      <c r="L149" s="204"/>
      <c r="M149" s="416"/>
      <c r="N149" s="422"/>
      <c r="O149" s="422"/>
      <c r="P149" s="415"/>
      <c r="Q149" s="415"/>
    </row>
    <row r="150" spans="1:17" ht="15" customHeight="1">
      <c r="A150" s="6"/>
      <c r="B150" s="581"/>
      <c r="C150" s="582"/>
      <c r="D150" s="583"/>
      <c r="E150" s="559"/>
      <c r="F150" s="561" t="s">
        <v>281</v>
      </c>
      <c r="G150" s="418" t="s">
        <v>282</v>
      </c>
      <c r="H150" s="204"/>
      <c r="I150" s="204"/>
      <c r="J150" s="204"/>
      <c r="K150" s="412"/>
      <c r="L150" s="204"/>
      <c r="M150" s="411"/>
      <c r="N150" s="422"/>
      <c r="O150" s="422"/>
      <c r="P150" s="415"/>
      <c r="Q150" s="415"/>
    </row>
    <row r="151" spans="1:17" ht="14.25">
      <c r="A151" s="6"/>
      <c r="B151" s="584"/>
      <c r="C151" s="585"/>
      <c r="D151" s="586"/>
      <c r="E151" s="560"/>
      <c r="F151" s="562"/>
      <c r="G151" s="418" t="s">
        <v>283</v>
      </c>
      <c r="H151" s="204"/>
      <c r="I151" s="204"/>
      <c r="J151" s="204"/>
      <c r="K151" s="412"/>
      <c r="L151" s="204"/>
      <c r="M151" s="416"/>
      <c r="N151" s="422"/>
      <c r="O151" s="422"/>
      <c r="P151" s="415"/>
      <c r="Q151" s="415"/>
    </row>
    <row r="152" spans="1:17" ht="15" customHeight="1">
      <c r="A152" s="6"/>
      <c r="B152" s="563"/>
      <c r="C152" s="564"/>
      <c r="D152" s="565"/>
      <c r="E152" s="559"/>
      <c r="F152" s="561" t="s">
        <v>281</v>
      </c>
      <c r="G152" s="419" t="s">
        <v>282</v>
      </c>
      <c r="H152" s="204"/>
      <c r="I152" s="204"/>
      <c r="J152" s="204"/>
      <c r="K152" s="412"/>
      <c r="L152" s="204"/>
      <c r="M152" s="411"/>
      <c r="N152" s="422"/>
      <c r="O152" s="422"/>
      <c r="P152" s="415"/>
      <c r="Q152" s="415"/>
    </row>
    <row r="153" spans="1:17" ht="14.25">
      <c r="A153" s="6"/>
      <c r="B153" s="566"/>
      <c r="C153" s="567"/>
      <c r="D153" s="568"/>
      <c r="E153" s="560"/>
      <c r="F153" s="562"/>
      <c r="G153" s="419" t="s">
        <v>283</v>
      </c>
      <c r="H153" s="204"/>
      <c r="I153" s="204"/>
      <c r="J153" s="204"/>
      <c r="K153" s="412"/>
      <c r="L153" s="204"/>
      <c r="M153" s="411"/>
      <c r="N153" s="420"/>
      <c r="O153" s="420"/>
      <c r="P153" s="415"/>
      <c r="Q153" s="415"/>
    </row>
    <row r="154" spans="1:17" ht="15" customHeight="1">
      <c r="A154" s="6"/>
      <c r="B154" s="581"/>
      <c r="C154" s="582"/>
      <c r="D154" s="583"/>
      <c r="E154" s="559"/>
      <c r="F154" s="561" t="s">
        <v>281</v>
      </c>
      <c r="G154" s="418" t="s">
        <v>282</v>
      </c>
      <c r="H154" s="204"/>
      <c r="I154" s="204"/>
      <c r="J154" s="204"/>
      <c r="K154" s="412"/>
      <c r="L154" s="204"/>
      <c r="M154" s="411"/>
      <c r="N154" s="420"/>
      <c r="O154" s="420"/>
      <c r="P154" s="415"/>
      <c r="Q154" s="415"/>
    </row>
    <row r="155" spans="1:17" ht="14.25">
      <c r="A155" s="6"/>
      <c r="B155" s="584"/>
      <c r="C155" s="585"/>
      <c r="D155" s="586"/>
      <c r="E155" s="560"/>
      <c r="F155" s="562"/>
      <c r="G155" s="418" t="s">
        <v>283</v>
      </c>
      <c r="H155" s="204"/>
      <c r="I155" s="204"/>
      <c r="J155" s="204"/>
      <c r="K155" s="412"/>
      <c r="L155" s="204"/>
      <c r="M155" s="416"/>
      <c r="N155" s="420"/>
      <c r="O155" s="420"/>
      <c r="P155" s="415"/>
      <c r="Q155" s="415"/>
    </row>
    <row r="156" spans="1:17" ht="15" customHeight="1">
      <c r="A156" s="6"/>
      <c r="B156" s="563"/>
      <c r="C156" s="564"/>
      <c r="D156" s="565"/>
      <c r="E156" s="559"/>
      <c r="F156" s="561" t="s">
        <v>281</v>
      </c>
      <c r="G156" s="419" t="s">
        <v>282</v>
      </c>
      <c r="H156" s="204"/>
      <c r="I156" s="204"/>
      <c r="J156" s="204"/>
      <c r="K156" s="412"/>
      <c r="L156" s="204"/>
      <c r="M156" s="411"/>
      <c r="N156" s="422"/>
      <c r="O156" s="422"/>
      <c r="P156" s="415"/>
      <c r="Q156" s="415"/>
    </row>
    <row r="157" spans="1:17" ht="14.25">
      <c r="A157" s="6"/>
      <c r="B157" s="566"/>
      <c r="C157" s="567"/>
      <c r="D157" s="568"/>
      <c r="E157" s="560"/>
      <c r="F157" s="562"/>
      <c r="G157" s="419" t="s">
        <v>283</v>
      </c>
      <c r="H157" s="204"/>
      <c r="I157" s="204"/>
      <c r="J157" s="204"/>
      <c r="K157" s="412"/>
      <c r="L157" s="204"/>
      <c r="M157" s="416"/>
      <c r="N157" s="422"/>
      <c r="O157" s="422"/>
      <c r="P157" s="415"/>
      <c r="Q157" s="415"/>
    </row>
    <row r="158" spans="1:17" ht="15" customHeight="1">
      <c r="A158" s="6"/>
      <c r="B158" s="581"/>
      <c r="C158" s="582"/>
      <c r="D158" s="583"/>
      <c r="E158" s="559"/>
      <c r="F158" s="561" t="s">
        <v>281</v>
      </c>
      <c r="G158" s="418" t="s">
        <v>282</v>
      </c>
      <c r="H158" s="204"/>
      <c r="I158" s="204"/>
      <c r="J158" s="204"/>
      <c r="K158" s="412"/>
      <c r="L158" s="204"/>
      <c r="M158" s="417"/>
      <c r="N158" s="421"/>
      <c r="O158" s="421"/>
      <c r="P158" s="415"/>
      <c r="Q158" s="415"/>
    </row>
    <row r="159" spans="1:17" ht="14.25">
      <c r="A159" s="6"/>
      <c r="B159" s="584"/>
      <c r="C159" s="585"/>
      <c r="D159" s="586"/>
      <c r="E159" s="560"/>
      <c r="F159" s="562"/>
      <c r="G159" s="418" t="s">
        <v>283</v>
      </c>
      <c r="H159" s="204"/>
      <c r="I159" s="204"/>
      <c r="J159" s="204"/>
      <c r="K159" s="412"/>
      <c r="L159" s="204"/>
      <c r="M159" s="417"/>
      <c r="N159" s="421"/>
      <c r="O159" s="421"/>
      <c r="P159" s="415"/>
      <c r="Q159" s="415"/>
    </row>
    <row r="160" spans="1:17" ht="15" customHeight="1">
      <c r="A160" s="6"/>
      <c r="B160" s="563"/>
      <c r="C160" s="564"/>
      <c r="D160" s="565"/>
      <c r="E160" s="559"/>
      <c r="F160" s="561" t="s">
        <v>281</v>
      </c>
      <c r="G160" s="419" t="s">
        <v>282</v>
      </c>
      <c r="H160" s="204"/>
      <c r="I160" s="204"/>
      <c r="J160" s="204"/>
      <c r="K160" s="412"/>
      <c r="L160" s="204"/>
      <c r="M160" s="417"/>
      <c r="N160" s="422"/>
      <c r="O160" s="422"/>
      <c r="P160" s="415"/>
      <c r="Q160" s="415"/>
    </row>
    <row r="161" spans="1:17" ht="14.25">
      <c r="A161" s="6"/>
      <c r="B161" s="566"/>
      <c r="C161" s="567"/>
      <c r="D161" s="568"/>
      <c r="E161" s="560"/>
      <c r="F161" s="562"/>
      <c r="G161" s="419" t="s">
        <v>283</v>
      </c>
      <c r="H161" s="204"/>
      <c r="I161" s="204"/>
      <c r="J161" s="204"/>
      <c r="K161" s="412"/>
      <c r="L161" s="204"/>
      <c r="M161" s="417"/>
      <c r="N161" s="422"/>
      <c r="O161" s="422"/>
      <c r="P161" s="415"/>
      <c r="Q161" s="415"/>
    </row>
    <row r="162" spans="1:17" ht="14.25">
      <c r="A162" s="6"/>
      <c r="B162" s="6"/>
      <c r="C162" s="6"/>
      <c r="D162" s="6"/>
      <c r="E162" s="6"/>
      <c r="F162" s="6"/>
      <c r="G162" s="141"/>
      <c r="H162" s="6"/>
      <c r="I162" s="6"/>
      <c r="J162" s="6"/>
      <c r="K162" s="6"/>
      <c r="L162" s="6"/>
      <c r="M162" s="6"/>
      <c r="N162" s="6"/>
      <c r="P162" s="5"/>
      <c r="Q162" s="5"/>
    </row>
    <row r="163" spans="1:17" ht="14.25">
      <c r="A163" s="6"/>
      <c r="B163" s="6"/>
      <c r="C163" s="6"/>
      <c r="D163" s="6"/>
      <c r="E163" s="6"/>
      <c r="F163" s="6"/>
      <c r="G163" s="141"/>
      <c r="H163" s="6"/>
      <c r="I163" s="6"/>
      <c r="J163" s="6"/>
      <c r="K163" s="6"/>
      <c r="L163" s="6"/>
      <c r="M163" s="6"/>
      <c r="N163" s="6"/>
      <c r="P163" s="5"/>
      <c r="Q163" s="5"/>
    </row>
    <row r="164" spans="1:17" ht="14.25">
      <c r="A164" s="6"/>
      <c r="B164" s="6"/>
      <c r="C164" s="6"/>
      <c r="D164" s="6"/>
      <c r="E164" s="6"/>
      <c r="F164" s="6"/>
      <c r="G164" s="141"/>
      <c r="H164" s="6"/>
      <c r="I164" s="6"/>
      <c r="J164" s="6"/>
      <c r="K164" s="6"/>
      <c r="L164" s="6"/>
      <c r="M164" s="6"/>
      <c r="N164" s="6"/>
      <c r="P164" s="5"/>
      <c r="Q164" s="5"/>
    </row>
    <row r="165" spans="1:17" ht="14.25" customHeight="1">
      <c r="A165" s="6"/>
      <c r="B165" s="6"/>
      <c r="C165" s="6"/>
      <c r="D165" s="6"/>
      <c r="E165" s="6"/>
      <c r="F165" s="6"/>
      <c r="G165" s="141"/>
      <c r="H165" s="6"/>
      <c r="I165" s="6"/>
      <c r="J165" s="6"/>
      <c r="K165" s="6"/>
      <c r="L165" s="6"/>
      <c r="M165" s="6"/>
      <c r="N165" s="6"/>
      <c r="P165" s="5"/>
      <c r="Q165" s="5"/>
    </row>
    <row r="166" spans="1:17" ht="15.75" thickBot="1">
      <c r="A166" s="6"/>
      <c r="B166" s="206"/>
      <c r="C166" s="6"/>
      <c r="D166" s="6"/>
      <c r="E166" s="6"/>
      <c r="F166" s="6"/>
      <c r="G166" s="141"/>
      <c r="H166" s="6"/>
      <c r="I166" s="6"/>
      <c r="J166" s="6"/>
      <c r="K166" s="6"/>
      <c r="L166" s="6"/>
      <c r="M166" s="6"/>
      <c r="N166" s="6"/>
      <c r="P166" s="5"/>
      <c r="Q166" s="5"/>
    </row>
    <row r="167" spans="1:17" ht="26.25">
      <c r="A167" s="6"/>
      <c r="B167" s="207" t="s">
        <v>284</v>
      </c>
      <c r="C167" s="6"/>
      <c r="D167" s="6"/>
      <c r="E167" s="208" t="s">
        <v>278</v>
      </c>
      <c r="F167" s="209" t="s">
        <v>279</v>
      </c>
      <c r="G167" s="197"/>
      <c r="H167" s="198" t="str">
        <f aca="true" t="shared" si="9" ref="H167:N167">C30</f>
        <v>P1</v>
      </c>
      <c r="I167" s="198" t="str">
        <f t="shared" si="9"/>
        <v>P2</v>
      </c>
      <c r="J167" s="198" t="str">
        <f t="shared" si="9"/>
        <v>P3</v>
      </c>
      <c r="K167" s="198" t="str">
        <f t="shared" si="9"/>
        <v>P4</v>
      </c>
      <c r="L167" s="198" t="str">
        <f t="shared" si="9"/>
        <v>P5</v>
      </c>
      <c r="M167" s="198" t="str">
        <f t="shared" si="9"/>
        <v>P6</v>
      </c>
      <c r="N167" s="198" t="str">
        <f t="shared" si="9"/>
        <v>P7</v>
      </c>
      <c r="O167" s="198" t="str">
        <f>L30</f>
        <v>P10</v>
      </c>
      <c r="P167" s="198" t="str">
        <f>M30</f>
        <v>P11</v>
      </c>
      <c r="Q167" s="198" t="str">
        <f>N30</f>
        <v>P12</v>
      </c>
    </row>
    <row r="168" spans="1:17" ht="14.25" customHeight="1" thickBot="1">
      <c r="A168" s="6"/>
      <c r="B168" s="593" t="str">
        <f>IF(ISBLANK(B130),"",(B130))</f>
        <v>% Y Número de personas HSH alcanzadas con el paquete básico de prevención de VIH</v>
      </c>
      <c r="C168" s="593"/>
      <c r="D168" s="593"/>
      <c r="E168" s="591" t="str">
        <f>IF(ISBLANK(E130),"",(E130))</f>
        <v>TOP TEN</v>
      </c>
      <c r="F168" s="592" t="str">
        <f>IF(ISBLANK(F130),"",(F130))</f>
        <v>Yes</v>
      </c>
      <c r="G168" s="210" t="s">
        <v>282</v>
      </c>
      <c r="H168" s="211">
        <f aca="true" t="shared" si="10" ref="H168:H173">H130</f>
        <v>1558</v>
      </c>
      <c r="I168" s="211">
        <f aca="true" t="shared" si="11" ref="I168:I173">+I130</f>
        <v>2336</v>
      </c>
      <c r="J168" s="211">
        <f aca="true" t="shared" si="12" ref="J168:J173">J136</f>
        <v>179</v>
      </c>
      <c r="K168" s="211">
        <f aca="true" t="shared" si="13" ref="K168:K173">+K130</f>
        <v>0</v>
      </c>
      <c r="L168" s="211">
        <f aca="true" t="shared" si="14" ref="L168:L173">L136</f>
        <v>0</v>
      </c>
      <c r="M168" s="211">
        <f aca="true" t="shared" si="15" ref="M168:M173">+M130</f>
        <v>0</v>
      </c>
      <c r="N168" s="212">
        <f aca="true" t="shared" si="16" ref="N168:Q173">N130</f>
        <v>0</v>
      </c>
      <c r="O168" s="212">
        <f t="shared" si="16"/>
        <v>0</v>
      </c>
      <c r="P168" s="212">
        <f t="shared" si="16"/>
        <v>0</v>
      </c>
      <c r="Q168" s="212">
        <f t="shared" si="16"/>
        <v>0</v>
      </c>
    </row>
    <row r="169" spans="1:17" ht="15" thickBot="1">
      <c r="A169" s="6"/>
      <c r="B169" s="593"/>
      <c r="C169" s="593"/>
      <c r="D169" s="593"/>
      <c r="E169" s="591"/>
      <c r="F169" s="592"/>
      <c r="G169" s="213" t="s">
        <v>283</v>
      </c>
      <c r="H169" s="211">
        <f t="shared" si="10"/>
        <v>155</v>
      </c>
      <c r="I169" s="211">
        <f t="shared" si="11"/>
        <v>3973</v>
      </c>
      <c r="J169" s="211">
        <f t="shared" si="12"/>
        <v>1803</v>
      </c>
      <c r="K169" s="211">
        <f t="shared" si="13"/>
        <v>0</v>
      </c>
      <c r="L169" s="211">
        <f t="shared" si="14"/>
        <v>0</v>
      </c>
      <c r="M169" s="211">
        <f t="shared" si="15"/>
        <v>0</v>
      </c>
      <c r="N169" s="212">
        <f t="shared" si="16"/>
        <v>0</v>
      </c>
      <c r="O169" s="212">
        <f t="shared" si="16"/>
        <v>0</v>
      </c>
      <c r="P169" s="212">
        <f t="shared" si="16"/>
        <v>0</v>
      </c>
      <c r="Q169" s="212">
        <f t="shared" si="16"/>
        <v>0</v>
      </c>
    </row>
    <row r="170" spans="1:17" ht="15" thickBot="1">
      <c r="A170" s="6"/>
      <c r="B170" s="594" t="str">
        <f>IF(ISBLANK(B132),"",(B132))</f>
        <v>% Y Número de personas TS alcanzadas con el paquete básico de prevención de VIH</v>
      </c>
      <c r="C170" s="594"/>
      <c r="D170" s="594"/>
      <c r="E170" s="587" t="str">
        <f>IF(ISBLANK(E132),"",(E132))</f>
        <v>TOP TEN</v>
      </c>
      <c r="F170" s="588" t="str">
        <f>IF(ISBLANK(F132),"",(F132))</f>
        <v>Yes</v>
      </c>
      <c r="G170" s="214" t="s">
        <v>282</v>
      </c>
      <c r="H170" s="211">
        <f t="shared" si="10"/>
        <v>1171</v>
      </c>
      <c r="I170" s="211">
        <f t="shared" si="11"/>
        <v>1175</v>
      </c>
      <c r="J170" s="211">
        <f t="shared" si="12"/>
        <v>351</v>
      </c>
      <c r="K170" s="211">
        <f t="shared" si="13"/>
        <v>0</v>
      </c>
      <c r="L170" s="211">
        <f t="shared" si="14"/>
        <v>0</v>
      </c>
      <c r="M170" s="211">
        <f t="shared" si="15"/>
        <v>0</v>
      </c>
      <c r="N170" s="215">
        <f t="shared" si="16"/>
        <v>0</v>
      </c>
      <c r="O170" s="215">
        <f t="shared" si="16"/>
        <v>0</v>
      </c>
      <c r="P170" s="215">
        <f t="shared" si="16"/>
        <v>0</v>
      </c>
      <c r="Q170" s="215">
        <f t="shared" si="16"/>
        <v>0</v>
      </c>
    </row>
    <row r="171" spans="1:17" ht="14.25" customHeight="1" thickBot="1">
      <c r="A171" s="6"/>
      <c r="B171" s="594"/>
      <c r="C171" s="594"/>
      <c r="D171" s="594"/>
      <c r="E171" s="587"/>
      <c r="F171" s="588"/>
      <c r="G171" s="214" t="s">
        <v>283</v>
      </c>
      <c r="H171" s="211">
        <f t="shared" si="10"/>
        <v>44</v>
      </c>
      <c r="I171" s="211">
        <f t="shared" si="11"/>
        <v>2918</v>
      </c>
      <c r="J171" s="211">
        <f t="shared" si="12"/>
        <v>1247</v>
      </c>
      <c r="K171" s="211">
        <f t="shared" si="13"/>
        <v>0</v>
      </c>
      <c r="L171" s="211">
        <f t="shared" si="14"/>
        <v>0</v>
      </c>
      <c r="M171" s="211">
        <f t="shared" si="15"/>
        <v>0</v>
      </c>
      <c r="N171" s="215">
        <f t="shared" si="16"/>
        <v>0</v>
      </c>
      <c r="O171" s="215">
        <f t="shared" si="16"/>
        <v>0</v>
      </c>
      <c r="P171" s="215">
        <f t="shared" si="16"/>
        <v>0</v>
      </c>
      <c r="Q171" s="215">
        <f t="shared" si="16"/>
        <v>0</v>
      </c>
    </row>
    <row r="172" spans="1:17" ht="14.25" customHeight="1" thickBot="1">
      <c r="A172" s="6"/>
      <c r="B172" s="590" t="str">
        <f>IF(ISBLANK(B134),"",(B134))</f>
        <v>% Y Número de personas TRANS alcanzadas con el paquete básico de prevención de VIH</v>
      </c>
      <c r="C172" s="590"/>
      <c r="D172" s="590"/>
      <c r="E172" s="591" t="str">
        <f>IF(ISBLANK(E134),"",(E134))</f>
        <v>TOP TEN</v>
      </c>
      <c r="F172" s="592" t="str">
        <f>IF(ISBLANK(F134),"",(F134))</f>
        <v>Yes</v>
      </c>
      <c r="G172" s="213" t="s">
        <v>282</v>
      </c>
      <c r="H172" s="211">
        <f t="shared" si="10"/>
        <v>220</v>
      </c>
      <c r="I172" s="211">
        <f t="shared" si="11"/>
        <v>331</v>
      </c>
      <c r="J172" s="211">
        <f t="shared" si="12"/>
        <v>193</v>
      </c>
      <c r="K172" s="211">
        <f t="shared" si="13"/>
        <v>0</v>
      </c>
      <c r="L172" s="211">
        <f t="shared" si="14"/>
        <v>0</v>
      </c>
      <c r="M172" s="211">
        <f t="shared" si="15"/>
        <v>0</v>
      </c>
      <c r="N172" s="212">
        <f t="shared" si="16"/>
        <v>0</v>
      </c>
      <c r="O172" s="212">
        <f t="shared" si="16"/>
        <v>0</v>
      </c>
      <c r="P172" s="212">
        <f t="shared" si="16"/>
        <v>0</v>
      </c>
      <c r="Q172" s="212">
        <f t="shared" si="16"/>
        <v>0</v>
      </c>
    </row>
    <row r="173" spans="1:17" ht="15" customHeight="1" thickBot="1">
      <c r="A173" s="6"/>
      <c r="B173" s="590"/>
      <c r="C173" s="590"/>
      <c r="D173" s="590"/>
      <c r="E173" s="591"/>
      <c r="F173" s="592"/>
      <c r="G173" s="216" t="s">
        <v>283</v>
      </c>
      <c r="H173" s="217">
        <f t="shared" si="10"/>
        <v>34</v>
      </c>
      <c r="I173" s="211">
        <f t="shared" si="11"/>
        <v>524</v>
      </c>
      <c r="J173" s="217">
        <f t="shared" si="12"/>
        <v>62</v>
      </c>
      <c r="K173" s="211">
        <f t="shared" si="13"/>
        <v>0</v>
      </c>
      <c r="L173" s="217">
        <f t="shared" si="14"/>
        <v>0</v>
      </c>
      <c r="M173" s="211">
        <f t="shared" si="15"/>
        <v>0</v>
      </c>
      <c r="N173" s="212">
        <f t="shared" si="16"/>
        <v>0</v>
      </c>
      <c r="O173" s="212">
        <f t="shared" si="16"/>
        <v>0</v>
      </c>
      <c r="P173" s="212">
        <f t="shared" si="16"/>
        <v>0</v>
      </c>
      <c r="Q173" s="212">
        <f t="shared" si="16"/>
        <v>0</v>
      </c>
    </row>
  </sheetData>
  <sheetProtection selectLockedCells="1" selectUnlockedCells="1"/>
  <mergeCells count="103">
    <mergeCell ref="B125:C125"/>
    <mergeCell ref="H121:H123"/>
    <mergeCell ref="I121:I123"/>
    <mergeCell ref="H118:H120"/>
    <mergeCell ref="J118:J120"/>
    <mergeCell ref="J121:J123"/>
    <mergeCell ref="B112:B123"/>
    <mergeCell ref="K121:K123"/>
    <mergeCell ref="K118:K120"/>
    <mergeCell ref="I118:I120"/>
    <mergeCell ref="B172:D173"/>
    <mergeCell ref="E172:E173"/>
    <mergeCell ref="F172:F173"/>
    <mergeCell ref="B168:D169"/>
    <mergeCell ref="E168:E169"/>
    <mergeCell ref="F168:F169"/>
    <mergeCell ref="B170:D171"/>
    <mergeCell ref="E170:E171"/>
    <mergeCell ref="F170:F171"/>
    <mergeCell ref="B158:D159"/>
    <mergeCell ref="E158:E159"/>
    <mergeCell ref="F158:F159"/>
    <mergeCell ref="B160:D161"/>
    <mergeCell ref="E160:E161"/>
    <mergeCell ref="F160:F161"/>
    <mergeCell ref="B154:D155"/>
    <mergeCell ref="E154:E155"/>
    <mergeCell ref="F154:F155"/>
    <mergeCell ref="B156:D157"/>
    <mergeCell ref="E156:E157"/>
    <mergeCell ref="F156:F157"/>
    <mergeCell ref="B150:D151"/>
    <mergeCell ref="E150:E151"/>
    <mergeCell ref="F150:F151"/>
    <mergeCell ref="B152:D153"/>
    <mergeCell ref="E152:E153"/>
    <mergeCell ref="F152:F153"/>
    <mergeCell ref="B146:D147"/>
    <mergeCell ref="E146:E147"/>
    <mergeCell ref="F146:F147"/>
    <mergeCell ref="B148:D149"/>
    <mergeCell ref="E148:E149"/>
    <mergeCell ref="F148:F149"/>
    <mergeCell ref="B142:D143"/>
    <mergeCell ref="E142:E143"/>
    <mergeCell ref="F142:F143"/>
    <mergeCell ref="B144:D145"/>
    <mergeCell ref="E144:E145"/>
    <mergeCell ref="F144:F145"/>
    <mergeCell ref="B138:D139"/>
    <mergeCell ref="E138:E139"/>
    <mergeCell ref="F138:F139"/>
    <mergeCell ref="B140:D141"/>
    <mergeCell ref="E140:E141"/>
    <mergeCell ref="F140:F141"/>
    <mergeCell ref="F134:F135"/>
    <mergeCell ref="B136:D137"/>
    <mergeCell ref="E136:E137"/>
    <mergeCell ref="F136:F137"/>
    <mergeCell ref="F130:F131"/>
    <mergeCell ref="B132:D133"/>
    <mergeCell ref="E132:E133"/>
    <mergeCell ref="F132:F133"/>
    <mergeCell ref="B128:D128"/>
    <mergeCell ref="H112:H114"/>
    <mergeCell ref="I112:I114"/>
    <mergeCell ref="J112:J114"/>
    <mergeCell ref="K112:K114"/>
    <mergeCell ref="A130:A135"/>
    <mergeCell ref="B130:D131"/>
    <mergeCell ref="E130:E131"/>
    <mergeCell ref="B134:D135"/>
    <mergeCell ref="E134:E135"/>
    <mergeCell ref="B18:C18"/>
    <mergeCell ref="D18:F18"/>
    <mergeCell ref="B21:J21"/>
    <mergeCell ref="B74:C74"/>
    <mergeCell ref="B75:C75"/>
    <mergeCell ref="B76:C76"/>
    <mergeCell ref="B26:C26"/>
    <mergeCell ref="B29:N29"/>
    <mergeCell ref="F47:I47"/>
    <mergeCell ref="B63:D63"/>
    <mergeCell ref="E10:F10"/>
    <mergeCell ref="G10:J10"/>
    <mergeCell ref="C6:D6"/>
    <mergeCell ref="E6:F6"/>
    <mergeCell ref="I6:J6"/>
    <mergeCell ref="D24:E24"/>
    <mergeCell ref="G24:H24"/>
    <mergeCell ref="I24:J24"/>
    <mergeCell ref="B14:J14"/>
    <mergeCell ref="H16:I16"/>
    <mergeCell ref="C8:D8"/>
    <mergeCell ref="I8:J8"/>
    <mergeCell ref="C12:D12"/>
    <mergeCell ref="E12:F12"/>
    <mergeCell ref="G12:J12"/>
    <mergeCell ref="B2:J2"/>
    <mergeCell ref="C4:D4"/>
    <mergeCell ref="E4:F4"/>
    <mergeCell ref="G4:J4"/>
    <mergeCell ref="C10:D10"/>
  </mergeCells>
  <conditionalFormatting sqref="B34 C33:N33 B32">
    <cfRule type="expression" priority="6" dxfId="44" stopIfTrue="1">
      <formula>+AND(B31&gt;=#REF!,B31&lt;=#REF!)</formula>
    </cfRule>
  </conditionalFormatting>
  <conditionalFormatting sqref="C34:N34">
    <cfRule type="expression" priority="7" dxfId="44" stopIfTrue="1">
      <formula>+AND(C32&gt;=#REF!,C32&lt;=#REF!)</formula>
    </cfRule>
  </conditionalFormatting>
  <conditionalFormatting sqref="C30:N30 C98:N98">
    <cfRule type="cellIs" priority="8" dxfId="45" operator="equal" stopIfTrue="1">
      <formula>$C$16</formula>
    </cfRule>
  </conditionalFormatting>
  <conditionalFormatting sqref="C12:D12">
    <cfRule type="cellIs" priority="9" dxfId="46" operator="equal" stopIfTrue="1">
      <formula>"C"</formula>
    </cfRule>
    <cfRule type="cellIs" priority="10" dxfId="42" operator="equal" stopIfTrue="1">
      <formula>"B2"</formula>
    </cfRule>
    <cfRule type="cellIs" priority="11" dxfId="43" operator="equal" stopIfTrue="1">
      <formula>"B1"</formula>
    </cfRule>
  </conditionalFormatting>
  <conditionalFormatting sqref="H167:Q167 H128:Q129 H154:J154 L154:M154">
    <cfRule type="cellIs" priority="12" dxfId="47" operator="equal" stopIfTrue="1">
      <formula>$C$16</formula>
    </cfRule>
  </conditionalFormatting>
  <conditionalFormatting sqref="F47:I47">
    <cfRule type="expression" priority="13" dxfId="48" stopIfTrue="1">
      <formula>LEFT($F$47,2)="OK"</formula>
    </cfRule>
  </conditionalFormatting>
  <conditionalFormatting sqref="C31 C32:H32">
    <cfRule type="expression" priority="15" dxfId="32" stopIfTrue="1">
      <formula>+AND(C30&gt;=#REF!,C30&lt;=#REF!)</formula>
    </cfRule>
  </conditionalFormatting>
  <conditionalFormatting sqref="L154 H154:J154">
    <cfRule type="cellIs" priority="5" dxfId="49" operator="equal" stopIfTrue="1">
      <formula>$C$16</formula>
    </cfRule>
  </conditionalFormatting>
  <dataValidations count="9">
    <dataValidation type="list" allowBlank="1" showErrorMessage="1" sqref="G6 B112:B114">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2:C123">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27"/>
  </sheetPr>
  <dimension ref="A1:O34"/>
  <sheetViews>
    <sheetView showGridLines="0" zoomScalePageLayoutView="0" workbookViewId="0" topLeftCell="A7">
      <selection activeCell="T24" sqref="T24"/>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22" t="str">
        <f>+"Cuadro de mando:  "&amp;"  "&amp;+'Introducción de datos'!C4&amp;" - "&amp;'Introducción de datos'!G6</f>
        <v>Cuadro de mando:    El Salvador - VIH / SIDA</v>
      </c>
      <c r="C2" s="522"/>
      <c r="D2" s="522"/>
      <c r="E2" s="522"/>
      <c r="F2" s="522"/>
      <c r="G2" s="522"/>
      <c r="H2" s="522"/>
      <c r="I2" s="522"/>
      <c r="J2" s="522"/>
      <c r="K2" s="522"/>
      <c r="L2" s="248"/>
      <c r="M2" s="248"/>
      <c r="N2" s="248"/>
      <c r="O2" s="248"/>
    </row>
    <row r="3" spans="2:12" ht="14.25">
      <c r="B3" s="249" t="str">
        <f>+'Introducción de datos'!G8</f>
        <v>Seleccionar</v>
      </c>
      <c r="C3" s="618" t="str">
        <f>+'Introducción de datos'!I8</f>
        <v>Seleccionar</v>
      </c>
      <c r="D3" s="618"/>
      <c r="E3" s="615"/>
      <c r="F3" s="615"/>
      <c r="G3" s="615"/>
      <c r="H3" s="615"/>
      <c r="I3" s="616" t="str">
        <f>+'Introducción de datos'!B16</f>
        <v>Periodo:</v>
      </c>
      <c r="J3" s="616"/>
      <c r="K3" s="251" t="str">
        <f>+'Introducción de datos'!C16</f>
        <v>P3</v>
      </c>
      <c r="L3" s="252"/>
    </row>
    <row r="4" spans="2:11" ht="14.25">
      <c r="B4" s="249" t="str">
        <f>+'Introducción de datos'!B12</f>
        <v>Ultima calificación:</v>
      </c>
      <c r="C4" s="614" t="str">
        <f>+'Introducción de datos'!C12</f>
        <v>A1</v>
      </c>
      <c r="D4" s="614"/>
      <c r="E4" s="615" t="str">
        <f>+'Introducción de datos'!C8</f>
        <v>PLAN  INTERNACIONAL</v>
      </c>
      <c r="F4" s="615"/>
      <c r="G4" s="615"/>
      <c r="H4" s="615"/>
      <c r="I4" s="616" t="str">
        <f>+'Introducción de datos'!D16</f>
        <v>Desde:</v>
      </c>
      <c r="J4" s="616"/>
      <c r="K4" s="253">
        <f>+'Introducción de datos'!E16</f>
        <v>42005</v>
      </c>
    </row>
    <row r="5" spans="2:11" ht="18.75" customHeight="1">
      <c r="B5" s="249"/>
      <c r="C5" s="249"/>
      <c r="D5" s="617" t="str">
        <f>+'Introducción de datos'!G4</f>
        <v>INNOVANDO SERVICIOS, REDUCIENDO RIESGOS, RENOVANDO VIDAS EN EL SALVADOR</v>
      </c>
      <c r="E5" s="617"/>
      <c r="F5" s="617"/>
      <c r="G5" s="617"/>
      <c r="H5" s="617"/>
      <c r="I5" s="617"/>
      <c r="J5" s="249" t="str">
        <f>+'Introducción de datos'!F16</f>
        <v>Hasta:</v>
      </c>
      <c r="K5" s="253">
        <f>+'Introducción de datos'!G16</f>
        <v>42185</v>
      </c>
    </row>
    <row r="6" spans="2:11" ht="18">
      <c r="B6" s="254"/>
      <c r="C6" s="249"/>
      <c r="D6" s="255"/>
      <c r="E6" s="628" t="s">
        <v>293</v>
      </c>
      <c r="F6" s="628"/>
      <c r="G6" s="628"/>
      <c r="H6" s="628"/>
      <c r="I6" s="6"/>
      <c r="J6" s="6"/>
      <c r="K6" s="6"/>
    </row>
    <row r="7" spans="2:11" ht="10.5" customHeight="1">
      <c r="B7" s="256"/>
      <c r="C7" s="250"/>
      <c r="D7" s="255"/>
      <c r="E7" s="257"/>
      <c r="F7" s="257"/>
      <c r="G7" s="258"/>
      <c r="H7" s="258"/>
      <c r="I7" s="259"/>
      <c r="J7" s="259"/>
      <c r="K7" s="260"/>
    </row>
    <row r="8" spans="2:11" ht="14.25">
      <c r="B8" s="261" t="str">
        <f>+'Introducción de datos'!B27&amp;" - en ("&amp;'Introducción de datos'!D26&amp;")         "&amp;+I3&amp;" "&amp;+K3</f>
        <v>F1: Presupuesto y desembolsos del Fondo Mundial - en ($)         Periodo: P3</v>
      </c>
      <c r="C8" s="262"/>
      <c r="D8" s="141"/>
      <c r="E8" s="141"/>
      <c r="F8" s="141"/>
      <c r="H8" s="261" t="str">
        <f>+'Introducción de datos'!B49&amp;" - en ("&amp;'Introducción de datos'!D26&amp;")         "&amp;+I3&amp;" "&amp;+K3</f>
        <v>F3: Desembolsos y gastos - en ($)         Periodo: P3</v>
      </c>
      <c r="I8" s="6"/>
      <c r="J8" s="6"/>
      <c r="K8" s="6"/>
    </row>
    <row r="9" spans="2:11" ht="130.5" customHeight="1">
      <c r="B9" s="429" t="s">
        <v>294</v>
      </c>
      <c r="C9" s="629" t="s">
        <v>356</v>
      </c>
      <c r="D9" s="629"/>
      <c r="E9" s="629"/>
      <c r="F9" s="629"/>
      <c r="H9" s="428" t="s">
        <v>294</v>
      </c>
      <c r="I9" s="630" t="s">
        <v>355</v>
      </c>
      <c r="J9" s="631"/>
      <c r="K9" s="632"/>
    </row>
    <row r="10" spans="2:11" ht="12.75" customHeight="1">
      <c r="B10" s="141"/>
      <c r="C10" s="141"/>
      <c r="D10" s="141"/>
      <c r="E10" s="141"/>
      <c r="F10" s="141"/>
      <c r="G10" s="6"/>
      <c r="H10" s="6"/>
      <c r="I10" s="6"/>
      <c r="J10" s="6"/>
      <c r="K10" s="6"/>
    </row>
    <row r="11" spans="2:11" ht="14.25" hidden="1">
      <c r="B11" s="141"/>
      <c r="C11" s="141"/>
      <c r="D11" s="141"/>
      <c r="E11" s="141"/>
      <c r="F11" s="141"/>
      <c r="G11" s="6"/>
      <c r="H11" s="6"/>
      <c r="I11" s="6"/>
      <c r="J11" s="6"/>
      <c r="K11" s="6"/>
    </row>
    <row r="12" spans="2:11" ht="14.25" hidden="1">
      <c r="B12" s="141"/>
      <c r="C12" s="141"/>
      <c r="D12" s="141"/>
      <c r="E12" s="141"/>
      <c r="F12" s="141"/>
      <c r="G12" s="6"/>
      <c r="H12" s="6"/>
      <c r="I12" s="6"/>
      <c r="J12" s="6"/>
      <c r="K12" s="6"/>
    </row>
    <row r="13" spans="2:11" ht="14.25">
      <c r="B13" s="141"/>
      <c r="C13" s="141"/>
      <c r="D13" s="141"/>
      <c r="E13" s="141"/>
      <c r="F13" s="141"/>
      <c r="G13" s="6"/>
      <c r="H13" s="6"/>
      <c r="I13" s="6"/>
      <c r="J13" s="6"/>
      <c r="K13" s="6"/>
    </row>
    <row r="14" spans="2:11" ht="14.25">
      <c r="B14" s="141"/>
      <c r="C14" s="141"/>
      <c r="D14" s="141"/>
      <c r="E14" s="141"/>
      <c r="F14" s="141"/>
      <c r="G14" s="6"/>
      <c r="H14" s="6"/>
      <c r="I14" s="6"/>
      <c r="J14" s="6"/>
      <c r="K14" s="6"/>
    </row>
    <row r="15" spans="2:13" ht="14.25">
      <c r="B15" s="141"/>
      <c r="C15" s="141"/>
      <c r="D15" s="141"/>
      <c r="E15" s="141"/>
      <c r="F15" s="141"/>
      <c r="G15" s="6"/>
      <c r="H15" s="6"/>
      <c r="I15" s="6"/>
      <c r="J15" s="6"/>
      <c r="K15" s="6"/>
      <c r="M15" s="263" t="s">
        <v>295</v>
      </c>
    </row>
    <row r="16" spans="2:13" ht="14.25">
      <c r="B16" s="141"/>
      <c r="C16" s="141"/>
      <c r="D16" s="141"/>
      <c r="E16" s="141"/>
      <c r="F16" s="141"/>
      <c r="G16" s="6"/>
      <c r="H16" s="6"/>
      <c r="I16" s="6"/>
      <c r="J16" s="6"/>
      <c r="K16" s="6"/>
      <c r="M16" s="263" t="s">
        <v>296</v>
      </c>
    </row>
    <row r="17" spans="2:11" ht="14.25">
      <c r="B17" s="141"/>
      <c r="C17" s="141"/>
      <c r="D17" s="141"/>
      <c r="E17" s="141"/>
      <c r="F17" s="141"/>
      <c r="G17" s="6"/>
      <c r="H17" s="6"/>
      <c r="I17" s="6"/>
      <c r="J17" s="6"/>
      <c r="K17" s="6"/>
    </row>
    <row r="18" spans="2:11" ht="14.25">
      <c r="B18" s="141"/>
      <c r="C18" s="141"/>
      <c r="D18" s="141"/>
      <c r="E18" s="141"/>
      <c r="F18" s="141"/>
      <c r="G18" s="6"/>
      <c r="H18" s="6"/>
      <c r="I18" s="6"/>
      <c r="J18" s="6"/>
      <c r="K18" s="6"/>
    </row>
    <row r="19" spans="2:11" ht="14.25">
      <c r="B19" s="141"/>
      <c r="C19" s="141"/>
      <c r="D19" s="141"/>
      <c r="E19" s="141"/>
      <c r="F19" s="141"/>
      <c r="G19" s="6"/>
      <c r="H19" s="6"/>
      <c r="I19" s="6"/>
      <c r="J19" s="6"/>
      <c r="K19" s="6"/>
    </row>
    <row r="20" spans="2:11" ht="14.25">
      <c r="B20" s="141"/>
      <c r="C20" s="141"/>
      <c r="D20" s="141"/>
      <c r="E20" s="141"/>
      <c r="F20" s="141"/>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2:11" ht="23.25" customHeight="1">
      <c r="B23" s="264" t="str">
        <f>+'Introducción de datos'!B36&amp;" - en ("&amp;'Introducción de datos'!D26&amp;")  "&amp;+I3&amp;" "&amp;+K3</f>
        <v>F2: Presupuesto y gastos reales por objetivo de la subvención - en ($)  Periodo: P3</v>
      </c>
      <c r="C23" s="141"/>
      <c r="D23" s="141"/>
      <c r="E23" s="141"/>
      <c r="F23" s="141"/>
      <c r="H23" s="264" t="str">
        <f>+'Introducción de datos'!B61&amp;"   "&amp;+I3&amp;" "&amp;+K3</f>
        <v>F4: Último ciclo de información y desembolso del RP   Periodo: P3</v>
      </c>
      <c r="J23" s="6"/>
      <c r="K23" s="6"/>
    </row>
    <row r="24" spans="2:11" ht="75" customHeight="1">
      <c r="B24" s="428" t="s">
        <v>297</v>
      </c>
      <c r="C24" s="629" t="s">
        <v>354</v>
      </c>
      <c r="D24" s="629"/>
      <c r="E24" s="629"/>
      <c r="F24" s="629"/>
      <c r="G24" s="265"/>
      <c r="H24" s="428" t="s">
        <v>294</v>
      </c>
      <c r="I24" s="633" t="s">
        <v>353</v>
      </c>
      <c r="J24" s="633"/>
      <c r="K24" s="633"/>
    </row>
    <row r="25" spans="2:11" ht="15.75" customHeight="1" thickBot="1">
      <c r="B25" s="266"/>
      <c r="C25" s="266"/>
      <c r="D25" s="266"/>
      <c r="E25" s="266"/>
      <c r="F25" s="266"/>
      <c r="G25" s="266"/>
      <c r="H25" s="267"/>
      <c r="I25" s="267"/>
      <c r="J25" s="266"/>
      <c r="K25" s="266"/>
    </row>
    <row r="26" spans="2:11" ht="29.25" customHeight="1" thickBot="1">
      <c r="B26" s="6"/>
      <c r="C26" s="6"/>
      <c r="D26" s="6"/>
      <c r="E26" s="6"/>
      <c r="F26" s="6"/>
      <c r="G26" s="268"/>
      <c r="H26" s="621" t="s">
        <v>298</v>
      </c>
      <c r="I26" s="622"/>
      <c r="J26" s="622"/>
      <c r="K26" s="623"/>
    </row>
    <row r="27" spans="2:11" ht="14.25">
      <c r="B27" s="6"/>
      <c r="C27" s="6"/>
      <c r="D27" s="6"/>
      <c r="E27" s="6"/>
      <c r="F27" s="6"/>
      <c r="G27" s="44"/>
      <c r="H27" s="624"/>
      <c r="I27" s="625"/>
      <c r="J27" s="269" t="s">
        <v>229</v>
      </c>
      <c r="K27" s="270" t="s">
        <v>230</v>
      </c>
    </row>
    <row r="28" spans="2:11" ht="29.25" customHeight="1" thickBot="1">
      <c r="B28" s="6"/>
      <c r="C28" s="6"/>
      <c r="D28" s="6"/>
      <c r="E28" s="6"/>
      <c r="F28" s="6"/>
      <c r="G28" s="271"/>
      <c r="H28" s="626" t="str">
        <f>'Introducción de datos'!B65</f>
        <v>Días tardados en presentar el informe de progreso actualizado y solicitud de desembolso al ALF</v>
      </c>
      <c r="I28" s="627"/>
      <c r="J28" s="272">
        <f>+'Introducción de datos'!C65</f>
        <v>45</v>
      </c>
      <c r="K28" s="426">
        <f>+'Introducción de datos'!D65</f>
        <v>30</v>
      </c>
    </row>
    <row r="29" spans="2:11" ht="21" customHeight="1" thickBot="1">
      <c r="B29" s="6"/>
      <c r="C29" s="6"/>
      <c r="D29" s="6"/>
      <c r="E29" s="6"/>
      <c r="F29" s="6"/>
      <c r="G29" s="271"/>
      <c r="H29" s="626" t="str">
        <f>'Introducción de datos'!B66</f>
        <v>Días que el desembolso ha tardado en llegar al RP</v>
      </c>
      <c r="I29" s="627"/>
      <c r="J29" s="272">
        <f>+'Introducción de datos'!C66</f>
        <v>45</v>
      </c>
      <c r="K29" s="274">
        <f>+'Introducción de datos'!D66</f>
        <v>65</v>
      </c>
    </row>
    <row r="30" spans="2:11" ht="21" customHeight="1" thickBot="1">
      <c r="B30" s="6"/>
      <c r="C30" s="6"/>
      <c r="D30" s="6"/>
      <c r="E30" s="6"/>
      <c r="F30" s="6"/>
      <c r="G30" s="271"/>
      <c r="H30" s="619" t="str">
        <f>'Introducción de datos'!B67</f>
        <v>Días que el desembolso ha tardado en llegar a los subreceptores </v>
      </c>
      <c r="I30" s="620"/>
      <c r="J30" s="273">
        <f>+'Introducción de datos'!C67</f>
        <v>15</v>
      </c>
      <c r="K30" s="274">
        <f>+'Introducción de datos'!D67</f>
        <v>15</v>
      </c>
    </row>
    <row r="31" spans="2:11" ht="14.25">
      <c r="B31" s="6"/>
      <c r="C31" s="6"/>
      <c r="D31" s="6"/>
      <c r="E31" s="6"/>
      <c r="F31" s="6"/>
      <c r="G31" s="6"/>
      <c r="H31" s="6"/>
      <c r="I31" s="6"/>
      <c r="J31" s="6"/>
      <c r="K31" s="6"/>
    </row>
    <row r="32" spans="2:11" ht="14.25">
      <c r="B32" s="6"/>
      <c r="C32" s="92"/>
      <c r="D32" s="275"/>
      <c r="E32" s="6"/>
      <c r="F32" s="6"/>
      <c r="G32" s="6"/>
      <c r="H32" s="6"/>
      <c r="I32" s="6"/>
      <c r="J32" s="6"/>
      <c r="K32" s="6"/>
    </row>
    <row r="33" spans="2:11" ht="14.25">
      <c r="B33" s="6"/>
      <c r="C33" s="241" t="s">
        <v>212</v>
      </c>
      <c r="D33" s="275"/>
      <c r="E33" s="6"/>
      <c r="F33" s="6"/>
      <c r="G33" s="6"/>
      <c r="H33" s="6"/>
      <c r="I33" s="6"/>
      <c r="J33" s="6"/>
      <c r="K33" s="6"/>
    </row>
    <row r="34" ht="14.25">
      <c r="C34" s="263" t="s">
        <v>265</v>
      </c>
    </row>
  </sheetData>
  <sheetProtection/>
  <mergeCells count="18">
    <mergeCell ref="H30:I30"/>
    <mergeCell ref="H26:K26"/>
    <mergeCell ref="H27:I27"/>
    <mergeCell ref="H28:I28"/>
    <mergeCell ref="H29:I29"/>
    <mergeCell ref="E6:H6"/>
    <mergeCell ref="C9:F9"/>
    <mergeCell ref="I9:K9"/>
    <mergeCell ref="C24:F24"/>
    <mergeCell ref="I24:K24"/>
    <mergeCell ref="C4:D4"/>
    <mergeCell ref="E4:H4"/>
    <mergeCell ref="I4:J4"/>
    <mergeCell ref="D5:I5"/>
    <mergeCell ref="B2:K2"/>
    <mergeCell ref="C3:D3"/>
    <mergeCell ref="E3:H3"/>
    <mergeCell ref="I3:J3"/>
  </mergeCells>
  <conditionalFormatting sqref="K28:K30">
    <cfRule type="cellIs" priority="1" dxfId="50" operator="greaterThan" stopIfTrue="1">
      <formula>J28</formula>
    </cfRule>
    <cfRule type="cellIs" priority="2" dxfId="51" operator="between" stopIfTrue="1">
      <formula>J28</formula>
      <formula>1</formula>
    </cfRule>
    <cfRule type="cellIs" priority="3" dxfId="52" operator="equal" stopIfTrue="1">
      <formula>0</formula>
    </cfRule>
  </conditionalFormatting>
  <conditionalFormatting sqref="C4:D4">
    <cfRule type="cellIs" priority="4" dxfId="41" operator="equal" stopIfTrue="1">
      <formula>"C"</formula>
    </cfRule>
    <cfRule type="cellIs" priority="5" dxfId="42" operator="equal" stopIfTrue="1">
      <formula>"B2"</formula>
    </cfRule>
    <cfRule type="cellIs" priority="6"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41"/>
  <sheetViews>
    <sheetView showGridLines="0" zoomScalePageLayoutView="0" workbookViewId="0" topLeftCell="B21">
      <selection activeCell="O40" sqref="O40"/>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27.28125" style="0" bestFit="1" customWidth="1"/>
    <col min="10" max="10" width="15.140625" style="0" customWidth="1"/>
    <col min="11" max="11" width="15.28125" style="0" customWidth="1"/>
    <col min="12" max="12" width="15.7109375" style="0" customWidth="1"/>
  </cols>
  <sheetData>
    <row r="1" spans="3:5" ht="28.5" customHeight="1">
      <c r="C1" s="276"/>
      <c r="E1" s="276"/>
    </row>
    <row r="2" spans="2:16" ht="27.75" customHeight="1">
      <c r="B2" s="634" t="str">
        <f>+"Cuadro de mando:  "&amp;"  "&amp;+'Introducción de datos'!C4&amp;" - "&amp;'Introducción de datos'!G6</f>
        <v>Cuadro de mando:    El Salvador - VIH / SIDA</v>
      </c>
      <c r="C2" s="634"/>
      <c r="D2" s="634"/>
      <c r="E2" s="634"/>
      <c r="F2" s="634"/>
      <c r="G2" s="634"/>
      <c r="H2" s="634"/>
      <c r="I2" s="634"/>
      <c r="J2" s="634"/>
      <c r="K2" s="634"/>
      <c r="L2" s="634"/>
      <c r="M2" s="277"/>
      <c r="N2" s="277"/>
      <c r="O2" s="277"/>
      <c r="P2" s="277"/>
    </row>
    <row r="3" spans="2:12" ht="14.25">
      <c r="B3" s="278" t="str">
        <f>+'Introducción de datos'!G8</f>
        <v>Seleccionar</v>
      </c>
      <c r="C3" s="635" t="str">
        <f>+'Introducción de datos'!I8</f>
        <v>Seleccionar</v>
      </c>
      <c r="D3" s="635"/>
      <c r="E3" s="636"/>
      <c r="F3" s="636"/>
      <c r="G3" s="636"/>
      <c r="H3" s="636"/>
      <c r="I3" s="636"/>
      <c r="J3" s="637" t="str">
        <f>+'Introducción de datos'!B16</f>
        <v>Periodo:</v>
      </c>
      <c r="K3" s="637"/>
      <c r="L3" s="251" t="str">
        <f>+'Introducción de datos'!C16</f>
        <v>P3</v>
      </c>
    </row>
    <row r="4" spans="2:12" ht="14.25">
      <c r="B4" s="278" t="str">
        <f>+'Introducción de datos'!B12</f>
        <v>Ultima calificación:</v>
      </c>
      <c r="C4" s="614" t="str">
        <f>+'Introducción de datos'!C12</f>
        <v>A1</v>
      </c>
      <c r="D4" s="614"/>
      <c r="E4" s="636" t="str">
        <f>+'Introducción de datos'!C8</f>
        <v>PLAN  INTERNACIONAL</v>
      </c>
      <c r="F4" s="636"/>
      <c r="G4" s="636"/>
      <c r="H4" s="636"/>
      <c r="I4" s="636"/>
      <c r="J4" s="637" t="str">
        <f>+'Introducción de datos'!D16</f>
        <v>Desde:</v>
      </c>
      <c r="K4" s="637"/>
      <c r="L4" s="253">
        <f>+'Introducción de datos'!E16</f>
        <v>42005</v>
      </c>
    </row>
    <row r="5" spans="2:12" ht="18.75" customHeight="1">
      <c r="B5" s="278"/>
      <c r="C5" s="278"/>
      <c r="D5" s="636" t="str">
        <f>+'Introducción de datos'!G4</f>
        <v>INNOVANDO SERVICIOS, REDUCIENDO RIESGOS, RENOVANDO VIDAS EN EL SALVADOR</v>
      </c>
      <c r="E5" s="636"/>
      <c r="F5" s="636"/>
      <c r="G5" s="636"/>
      <c r="H5" s="636"/>
      <c r="I5" s="636"/>
      <c r="J5" s="636"/>
      <c r="K5" s="278" t="str">
        <f>+'Introducción de datos'!F16</f>
        <v>Hasta:</v>
      </c>
      <c r="L5" s="253">
        <f>+'Introducción de datos'!G16</f>
        <v>42185</v>
      </c>
    </row>
    <row r="6" spans="2:9" ht="18">
      <c r="B6" s="279"/>
      <c r="C6" s="278"/>
      <c r="D6" s="255"/>
      <c r="E6" s="638" t="s">
        <v>145</v>
      </c>
      <c r="F6" s="638"/>
      <c r="G6" s="638"/>
      <c r="H6" s="638"/>
      <c r="I6" s="638"/>
    </row>
    <row r="7" spans="2:8" ht="14.25">
      <c r="B7" s="280" t="str">
        <f>+'Introducción de datos'!B72&amp;"     "&amp;+J3&amp;" "&amp;+L3</f>
        <v>M1: Estado de las condiciones precedentes y acciones con fecha límite     Periodo: P3</v>
      </c>
      <c r="C7" s="281"/>
      <c r="H7" s="280" t="str">
        <f>+'Introducción de datos'!B79&amp;"         "&amp;+J3&amp;"  "&amp;+L3</f>
        <v>M2: Estado de los principales puestos directivos del RP         Periodo:  P3</v>
      </c>
    </row>
    <row r="8" spans="2:12" ht="19.5" customHeight="1">
      <c r="B8" s="425" t="s">
        <v>294</v>
      </c>
      <c r="C8" s="639" t="s">
        <v>351</v>
      </c>
      <c r="D8" s="639"/>
      <c r="E8" s="639"/>
      <c r="F8" s="639"/>
      <c r="G8" s="282"/>
      <c r="H8" s="425" t="s">
        <v>294</v>
      </c>
      <c r="I8" s="640" t="s">
        <v>352</v>
      </c>
      <c r="J8" s="640"/>
      <c r="K8" s="640"/>
      <c r="L8" s="640"/>
    </row>
    <row r="9" spans="2:8" ht="14.25">
      <c r="B9" s="10"/>
      <c r="C9" s="10"/>
      <c r="D9" s="10"/>
      <c r="E9" s="10"/>
      <c r="F9" s="10"/>
      <c r="G9" s="10"/>
      <c r="H9" s="10"/>
    </row>
    <row r="10" spans="1:16" ht="14.25">
      <c r="A10" s="283"/>
      <c r="B10" s="10"/>
      <c r="C10" s="10"/>
      <c r="D10" s="641"/>
      <c r="E10" s="495"/>
      <c r="F10" s="495"/>
      <c r="G10" s="12"/>
      <c r="H10" s="10"/>
      <c r="N10" s="285"/>
      <c r="O10" s="285"/>
      <c r="P10" s="286"/>
    </row>
    <row r="11" spans="2:15" ht="14.25">
      <c r="B11" s="10"/>
      <c r="C11" s="284"/>
      <c r="D11" s="641"/>
      <c r="E11" s="284"/>
      <c r="F11" s="284"/>
      <c r="G11" s="284"/>
      <c r="H11" s="284"/>
      <c r="N11" s="10"/>
      <c r="O11" s="10"/>
    </row>
    <row r="12" spans="2:8" ht="14.25">
      <c r="B12" s="284"/>
      <c r="C12" s="287"/>
      <c r="D12" s="288"/>
      <c r="E12" s="288"/>
      <c r="F12" s="288"/>
      <c r="G12" s="288"/>
      <c r="H12" s="289"/>
    </row>
    <row r="13" spans="2:8" ht="14.25">
      <c r="B13" s="284"/>
      <c r="C13" s="287"/>
      <c r="D13" s="288"/>
      <c r="E13" s="288"/>
      <c r="F13" s="288"/>
      <c r="G13" s="288"/>
      <c r="H13" s="289"/>
    </row>
    <row r="15" spans="2:8" ht="27.75" customHeight="1">
      <c r="B15" s="280" t="str">
        <f>+'Introducción de datos'!B84&amp;"            "&amp;+J3&amp;" "&amp;+L3</f>
        <v>M3: Acuerdos contractuales (subreceptores)             Periodo: P3</v>
      </c>
      <c r="H15" s="280" t="str">
        <f>+'Introducción de datos'!B89&amp;"                "&amp;+J3&amp;" "&amp;+L3</f>
        <v>M4: Número de informes completos recibidos a tiempo                Periodo: P3</v>
      </c>
    </row>
    <row r="16" spans="2:12" ht="33.75" customHeight="1">
      <c r="B16" s="425" t="s">
        <v>294</v>
      </c>
      <c r="C16" s="640" t="s">
        <v>358</v>
      </c>
      <c r="D16" s="640"/>
      <c r="E16" s="640"/>
      <c r="F16" s="640"/>
      <c r="G16" s="282"/>
      <c r="H16" s="425" t="s">
        <v>294</v>
      </c>
      <c r="I16" s="640" t="s">
        <v>357</v>
      </c>
      <c r="J16" s="640"/>
      <c r="K16" s="640"/>
      <c r="L16" s="640"/>
    </row>
    <row r="17" spans="2:8" ht="14.25">
      <c r="B17" s="290"/>
      <c r="H17" s="291"/>
    </row>
    <row r="18" ht="14.25">
      <c r="M18" s="252"/>
    </row>
    <row r="25" ht="22.5" customHeight="1"/>
    <row r="26" spans="2:8" ht="14.25">
      <c r="B26" s="280" t="str">
        <f>+'Introducción de datos'!B96</f>
        <v>M5: Presupuesto y compra de productos y equipo sanitario, medicamentos y productos farmacéuticos</v>
      </c>
      <c r="H26" s="280" t="str">
        <f>+'Introducción de datos'!B109&amp;"    "&amp;+J3&amp;"  "&amp;+L3</f>
        <v>M6: Diferencia entre existencias actuales y existencias de seguridad    Periodo:  P3</v>
      </c>
    </row>
    <row r="27" spans="2:12" ht="36.75" customHeight="1">
      <c r="B27" s="425" t="s">
        <v>294</v>
      </c>
      <c r="C27" s="642" t="s">
        <v>383</v>
      </c>
      <c r="D27" s="643"/>
      <c r="E27" s="643"/>
      <c r="F27" s="644"/>
      <c r="G27" s="282"/>
      <c r="H27" s="425" t="s">
        <v>294</v>
      </c>
      <c r="I27" s="645" t="s">
        <v>382</v>
      </c>
      <c r="J27" s="646"/>
      <c r="K27" s="646"/>
      <c r="L27" s="647"/>
    </row>
    <row r="29" spans="6:12" ht="104.25" customHeight="1" thickBot="1">
      <c r="F29" s="292"/>
      <c r="G29" s="292"/>
      <c r="H29" s="457" t="s">
        <v>268</v>
      </c>
      <c r="I29" s="458" t="s">
        <v>269</v>
      </c>
      <c r="J29" s="459" t="s">
        <v>299</v>
      </c>
      <c r="K29" s="460" t="s">
        <v>300</v>
      </c>
      <c r="L29" s="461" t="s">
        <v>301</v>
      </c>
    </row>
    <row r="30" spans="6:12" ht="15" customHeight="1">
      <c r="F30" s="292"/>
      <c r="G30" s="292"/>
      <c r="H30" s="648" t="str">
        <f>+'Introducción de datos'!B112</f>
        <v>VIH / SIDA</v>
      </c>
      <c r="I30" s="462" t="str">
        <f>+'Introducción de datos'!C112</f>
        <v>CONDONES MASCULINOS (HSH)</v>
      </c>
      <c r="J30" s="652">
        <f>+'Introducción de datos'!I112</f>
        <v>3.149470102212512</v>
      </c>
      <c r="K30" s="660">
        <f>+'Introducción de datos'!J112</f>
        <v>5</v>
      </c>
      <c r="L30" s="663">
        <f>+'Introducción de datos'!K112</f>
        <v>-1.8505298977874882</v>
      </c>
    </row>
    <row r="31" spans="6:12" ht="14.25">
      <c r="F31" s="292"/>
      <c r="G31" s="292"/>
      <c r="H31" s="649"/>
      <c r="I31" s="293" t="str">
        <f>+'Introducción de datos'!C113</f>
        <v>CONDONES MASCULINOS (TS)</v>
      </c>
      <c r="J31" s="653"/>
      <c r="K31" s="657"/>
      <c r="L31" s="664"/>
    </row>
    <row r="32" spans="6:12" ht="14.25">
      <c r="F32" s="292"/>
      <c r="G32" s="292"/>
      <c r="H32" s="649"/>
      <c r="I32" s="293" t="str">
        <f>+'Introducción de datos'!C114</f>
        <v>CONDONES MASCULINOS (TRANS)</v>
      </c>
      <c r="J32" s="654"/>
      <c r="K32" s="658"/>
      <c r="L32" s="665"/>
    </row>
    <row r="33" spans="6:12" ht="14.25">
      <c r="F33" s="292"/>
      <c r="G33" s="292"/>
      <c r="H33" s="649"/>
      <c r="I33" s="293" t="str">
        <f>+'Introducción de datos'!C115</f>
        <v>CONDONES FEMENINOS (TS)</v>
      </c>
      <c r="J33" s="294">
        <f>+'Introducción de datos'!I115</f>
        <v>3.7438678027368963</v>
      </c>
      <c r="K33" s="295">
        <f>+'Introducción de datos'!J115</f>
        <v>5</v>
      </c>
      <c r="L33" s="463">
        <f>+'Introducción de datos'!K115</f>
        <v>-1.2561321972631037</v>
      </c>
    </row>
    <row r="34" spans="6:12" ht="14.25">
      <c r="F34" s="292"/>
      <c r="G34" s="292"/>
      <c r="H34" s="649"/>
      <c r="I34" s="293" t="str">
        <f>+'Introducción de datos'!C116</f>
        <v>PRUEBAS RAPIDAS*</v>
      </c>
      <c r="J34" s="294">
        <f>+'Introducción de datos'!I116</f>
        <v>5.183333333333334</v>
      </c>
      <c r="K34" s="295">
        <f>+'Introducción de datos'!J116</f>
        <v>5</v>
      </c>
      <c r="L34" s="463">
        <f>+'Introducción de datos'!K116</f>
        <v>0.18333333333333357</v>
      </c>
    </row>
    <row r="35" spans="6:12" ht="15" thickBot="1">
      <c r="F35" s="292"/>
      <c r="G35" s="292"/>
      <c r="H35" s="649"/>
      <c r="I35" s="456" t="str">
        <f>+'Introducción de datos'!C117</f>
        <v>MANTAS DE LATEX</v>
      </c>
      <c r="J35" s="294">
        <f>+'Introducción de datos'!I117</f>
        <v>12.27988639297702</v>
      </c>
      <c r="K35" s="295">
        <f>+'Introducción de datos'!J117</f>
        <v>5</v>
      </c>
      <c r="L35" s="463">
        <f>+'Introducción de datos'!K117</f>
        <v>7.279886392977019</v>
      </c>
    </row>
    <row r="36" spans="2:12" ht="18" customHeight="1" thickBot="1">
      <c r="B36" s="662" t="str">
        <f>+'Introducción de datos'!B106</f>
        <v>* Incluye sólo los montos de las categorías 4 y 5 (Productos y equipamientos sanitarios y Medicamentos y productos farmacéuticos) de los  Informes Financieros Mejorados</v>
      </c>
      <c r="C36" s="662"/>
      <c r="D36" s="662"/>
      <c r="E36" s="662"/>
      <c r="F36" s="10"/>
      <c r="G36" s="10"/>
      <c r="H36" s="650"/>
      <c r="I36" s="456" t="str">
        <f>+'Introducción de datos'!C118</f>
        <v>LUBRICANTES/TUBOS HSH</v>
      </c>
      <c r="J36" s="655">
        <f>+'Introducción de datos'!I118</f>
        <v>12.941210086434747</v>
      </c>
      <c r="K36" s="656">
        <f>+'Introducción de datos'!J118</f>
        <v>5</v>
      </c>
      <c r="L36" s="666">
        <f>+'Introducción de datos'!K118</f>
        <v>7.941210086434747</v>
      </c>
    </row>
    <row r="37" spans="2:12" ht="15" thickBot="1">
      <c r="B37" s="662"/>
      <c r="C37" s="662"/>
      <c r="D37" s="662"/>
      <c r="E37" s="662"/>
      <c r="H37" s="650"/>
      <c r="I37" s="456" t="str">
        <f>+'Introducción de datos'!C119</f>
        <v>LUBRICANTES/TUBOS TS</v>
      </c>
      <c r="J37" s="653"/>
      <c r="K37" s="657"/>
      <c r="L37" s="664"/>
    </row>
    <row r="38" spans="2:12" ht="15" thickBot="1">
      <c r="B38" s="662"/>
      <c r="C38" s="662"/>
      <c r="D38" s="662"/>
      <c r="E38" s="662"/>
      <c r="H38" s="650"/>
      <c r="I38" s="456" t="str">
        <f>+'Introducción de datos'!C120</f>
        <v>LUBRICANTES/TUBOS TRANS</v>
      </c>
      <c r="J38" s="654"/>
      <c r="K38" s="658"/>
      <c r="L38" s="665"/>
    </row>
    <row r="39" spans="8:12" ht="15" thickBot="1">
      <c r="H39" s="650"/>
      <c r="I39" s="456" t="str">
        <f>+'Introducción de datos'!C121</f>
        <v>LUBRICANTES/SACHETS HSH</v>
      </c>
      <c r="J39" s="655">
        <f>+'Introducción de datos'!I121</f>
        <v>3.015309103657824</v>
      </c>
      <c r="K39" s="656">
        <f>+'Introducción de datos'!J121</f>
        <v>5</v>
      </c>
      <c r="L39" s="666">
        <f>+'Introducción de datos'!K121</f>
        <v>-1.984690896342176</v>
      </c>
    </row>
    <row r="40" spans="8:12" ht="15" thickBot="1">
      <c r="H40" s="650"/>
      <c r="I40" s="456" t="str">
        <f>+'Introducción de datos'!C122</f>
        <v>LUBRICANTES/SACHETS TS</v>
      </c>
      <c r="J40" s="653"/>
      <c r="K40" s="657"/>
      <c r="L40" s="664"/>
    </row>
    <row r="41" spans="8:12" ht="15" thickBot="1">
      <c r="H41" s="651"/>
      <c r="I41" s="464" t="str">
        <f>+'Introducción de datos'!C123</f>
        <v>LUBRICANTES/SACHETS TRANS</v>
      </c>
      <c r="J41" s="659"/>
      <c r="K41" s="661"/>
      <c r="L41" s="667"/>
    </row>
  </sheetData>
  <sheetProtection/>
  <mergeCells count="28">
    <mergeCell ref="K39:K41"/>
    <mergeCell ref="B36:E38"/>
    <mergeCell ref="L30:L32"/>
    <mergeCell ref="L36:L38"/>
    <mergeCell ref="L39:L41"/>
    <mergeCell ref="C16:F16"/>
    <mergeCell ref="I16:L16"/>
    <mergeCell ref="C27:F27"/>
    <mergeCell ref="I27:L27"/>
    <mergeCell ref="H30:H41"/>
    <mergeCell ref="J30:J32"/>
    <mergeCell ref="J36:J38"/>
    <mergeCell ref="K36:K38"/>
    <mergeCell ref="J39:J41"/>
    <mergeCell ref="K30:K32"/>
    <mergeCell ref="D10:D11"/>
    <mergeCell ref="E10:F10"/>
    <mergeCell ref="C4:D4"/>
    <mergeCell ref="E4:I4"/>
    <mergeCell ref="J4:K4"/>
    <mergeCell ref="D5:J5"/>
    <mergeCell ref="B2:L2"/>
    <mergeCell ref="C3:D3"/>
    <mergeCell ref="E3:I3"/>
    <mergeCell ref="J3:K3"/>
    <mergeCell ref="E6:I6"/>
    <mergeCell ref="C8:F8"/>
    <mergeCell ref="I8:L8"/>
  </mergeCells>
  <conditionalFormatting sqref="D12:D13">
    <cfRule type="cellIs" priority="3" dxfId="48" operator="greaterThan" stopIfTrue="1">
      <formula>0</formula>
    </cfRule>
  </conditionalFormatting>
  <conditionalFormatting sqref="E12:E13">
    <cfRule type="cellIs" priority="4" dxfId="53" operator="greaterThan" stopIfTrue="1">
      <formula>0</formula>
    </cfRule>
  </conditionalFormatting>
  <conditionalFormatting sqref="F12:G13">
    <cfRule type="cellIs" priority="5" dxfId="41" operator="greaterThan" stopIfTrue="1">
      <formula>0</formula>
    </cfRule>
  </conditionalFormatting>
  <conditionalFormatting sqref="C4:D4">
    <cfRule type="cellIs" priority="6" dxfId="41" operator="equal" stopIfTrue="1">
      <formula>"C"</formula>
    </cfRule>
    <cfRule type="cellIs" priority="7" dxfId="42" operator="equal" stopIfTrue="1">
      <formula>"B2"</formula>
    </cfRule>
    <cfRule type="cellIs" priority="8" dxfId="43" operator="equal" stopIfTrue="1">
      <formula>"B1"</formula>
    </cfRule>
  </conditionalFormatting>
  <conditionalFormatting sqref="L30 L39 L33 L35:L36">
    <cfRule type="cellIs" priority="9" dxfId="54" operator="lessThan" stopIfTrue="1">
      <formula>1</formula>
    </cfRule>
    <cfRule type="cellIs" priority="10" dxfId="55" operator="between" stopIfTrue="1">
      <formula>3</formula>
      <formula>17</formula>
    </cfRule>
    <cfRule type="cellIs" priority="11" dxfId="56" operator="between" stopIfTrue="1">
      <formula>1</formula>
      <formula>3</formula>
    </cfRule>
  </conditionalFormatting>
  <conditionalFormatting sqref="L30 L39 L33:L36">
    <cfRule type="cellIs" priority="1" dxfId="12" operator="greaterThan" stopIfTrue="1">
      <formula>0</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28"/>
  <sheetViews>
    <sheetView showGridLines="0" zoomScale="93" zoomScaleNormal="93" zoomScalePageLayoutView="0" workbookViewId="0" topLeftCell="A1">
      <selection activeCell="G26" sqref="G26:K26"/>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17.00390625" style="0" customWidth="1"/>
  </cols>
  <sheetData>
    <row r="1" spans="1:16" ht="26.25" customHeight="1">
      <c r="A1" s="6"/>
      <c r="B1" s="6"/>
      <c r="C1" s="6"/>
      <c r="D1" s="6"/>
      <c r="E1" s="6"/>
      <c r="F1" s="6"/>
      <c r="G1" s="6"/>
      <c r="H1" s="6"/>
      <c r="I1" s="6"/>
      <c r="J1" s="6"/>
      <c r="K1" s="6"/>
      <c r="L1" s="6"/>
      <c r="M1" s="6"/>
      <c r="N1" s="6"/>
      <c r="O1" s="6"/>
      <c r="P1" s="6"/>
    </row>
    <row r="2" spans="1:17" ht="21.75" customHeight="1">
      <c r="A2" s="6"/>
      <c r="B2" s="675" t="str">
        <f>+"Cuadro de mando:  "&amp;"  "&amp;+'Introducción de datos'!C4&amp;" - "&amp;'Introducción de datos'!G6</f>
        <v>Cuadro de mando:    El Salvador - VIH / SIDA</v>
      </c>
      <c r="C2" s="675"/>
      <c r="D2" s="675"/>
      <c r="E2" s="675"/>
      <c r="F2" s="675"/>
      <c r="G2" s="675"/>
      <c r="H2" s="675"/>
      <c r="I2" s="675"/>
      <c r="J2" s="675"/>
      <c r="K2" s="675"/>
      <c r="L2" s="675"/>
      <c r="M2" s="675"/>
      <c r="N2" s="675"/>
      <c r="O2" s="675"/>
      <c r="P2" s="675"/>
      <c r="Q2" s="675"/>
    </row>
    <row r="3" spans="1:17" ht="14.25">
      <c r="A3" s="6"/>
      <c r="B3" s="249" t="str">
        <f>+'Introducción de datos'!G8</f>
        <v>Seleccionar</v>
      </c>
      <c r="C3" s="618" t="str">
        <f>+'Introducción de datos'!I8</f>
        <v>Seleccionar</v>
      </c>
      <c r="D3" s="618"/>
      <c r="E3" s="615"/>
      <c r="F3" s="615"/>
      <c r="G3" s="615"/>
      <c r="H3" s="615"/>
      <c r="I3" s="615"/>
      <c r="J3" s="615"/>
      <c r="K3" s="615"/>
      <c r="L3" s="6"/>
      <c r="M3" s="6"/>
      <c r="O3" s="616" t="str">
        <f>+'Introducción de datos'!B16</f>
        <v>Periodo:</v>
      </c>
      <c r="P3" s="616"/>
      <c r="Q3" s="296" t="str">
        <f>+'Introducción de datos'!C16</f>
        <v>P3</v>
      </c>
    </row>
    <row r="4" spans="1:29" ht="12" customHeight="1">
      <c r="A4" s="6"/>
      <c r="B4" s="249" t="str">
        <f>+'Introducción de datos'!B12</f>
        <v>Ultima calificación:</v>
      </c>
      <c r="C4" s="671" t="str">
        <f>+'Introducción de datos'!C12</f>
        <v>A1</v>
      </c>
      <c r="D4" s="671"/>
      <c r="E4" s="615" t="str">
        <f>+'Introducción de datos'!C8</f>
        <v>PLAN  INTERNACIONAL</v>
      </c>
      <c r="F4" s="615"/>
      <c r="G4" s="615"/>
      <c r="H4" s="615"/>
      <c r="I4" s="615"/>
      <c r="J4" s="615"/>
      <c r="K4" s="615"/>
      <c r="L4" s="615"/>
      <c r="M4" s="6"/>
      <c r="O4" s="297"/>
      <c r="P4" s="249" t="str">
        <f>+'Introducción de datos'!D16</f>
        <v>Desde:</v>
      </c>
      <c r="Q4" s="298">
        <f>+'Introducción de datos'!E16</f>
        <v>42005</v>
      </c>
      <c r="Y4" s="263"/>
      <c r="Z4" s="263"/>
      <c r="AA4" s="263"/>
      <c r="AB4" s="263"/>
      <c r="AC4" s="263"/>
    </row>
    <row r="5" spans="1:35" ht="15.75" customHeight="1">
      <c r="A5" s="6"/>
      <c r="B5" s="249"/>
      <c r="C5" s="249"/>
      <c r="D5" s="615" t="str">
        <f>+'Introducción de datos'!G4</f>
        <v>INNOVANDO SERVICIOS, REDUCIENDO RIESGOS, RENOVANDO VIDAS EN EL SALVADOR</v>
      </c>
      <c r="E5" s="615"/>
      <c r="F5" s="615"/>
      <c r="G5" s="615"/>
      <c r="H5" s="615"/>
      <c r="I5" s="615"/>
      <c r="J5" s="615"/>
      <c r="K5" s="615"/>
      <c r="L5" s="615"/>
      <c r="M5" s="615"/>
      <c r="N5" s="615"/>
      <c r="P5" s="249" t="str">
        <f>+'Introducción de datos'!F16</f>
        <v>Hasta:</v>
      </c>
      <c r="Q5" s="298">
        <f>+'Introducción de datos'!G16</f>
        <v>42185</v>
      </c>
      <c r="S5" s="299"/>
      <c r="T5" s="299"/>
      <c r="U5" s="299"/>
      <c r="V5" s="299"/>
      <c r="W5" s="299"/>
      <c r="X5" s="299"/>
      <c r="Y5" s="263"/>
      <c r="Z5" s="263"/>
      <c r="AA5" s="263" t="s">
        <v>302</v>
      </c>
      <c r="AB5" s="263"/>
      <c r="AC5" s="300" t="s">
        <v>303</v>
      </c>
      <c r="AD5" s="299"/>
      <c r="AE5" s="299"/>
      <c r="AF5" s="299"/>
      <c r="AG5" s="299"/>
      <c r="AH5" s="299"/>
      <c r="AI5" s="299"/>
    </row>
    <row r="6" spans="1:35" ht="15.75" customHeight="1">
      <c r="A6" s="6"/>
      <c r="B6" s="249"/>
      <c r="C6" s="249"/>
      <c r="D6" s="301"/>
      <c r="E6" s="301"/>
      <c r="F6" s="672" t="s">
        <v>304</v>
      </c>
      <c r="G6" s="672"/>
      <c r="H6" s="672"/>
      <c r="I6" s="672"/>
      <c r="J6" s="672"/>
      <c r="K6" s="672"/>
      <c r="L6" s="301"/>
      <c r="M6" s="6"/>
      <c r="N6" s="6"/>
      <c r="O6" s="302"/>
      <c r="P6" s="303"/>
      <c r="S6" s="299"/>
      <c r="T6" s="299"/>
      <c r="U6" s="299"/>
      <c r="V6" s="299"/>
      <c r="W6" s="299"/>
      <c r="X6" s="299"/>
      <c r="Y6" s="263"/>
      <c r="Z6" s="263"/>
      <c r="AA6" s="263"/>
      <c r="AB6" s="263"/>
      <c r="AC6" s="263"/>
      <c r="AD6" s="299"/>
      <c r="AE6" s="299"/>
      <c r="AF6" s="299"/>
      <c r="AG6" s="299"/>
      <c r="AH6" s="299"/>
      <c r="AI6" s="299"/>
    </row>
    <row r="7" spans="1:35" ht="3" customHeight="1">
      <c r="A7" s="6"/>
      <c r="B7" s="249"/>
      <c r="C7" s="249"/>
      <c r="D7" s="301"/>
      <c r="E7" s="301"/>
      <c r="F7" s="301"/>
      <c r="G7" s="301"/>
      <c r="H7" s="301"/>
      <c r="I7" s="301"/>
      <c r="J7" s="301"/>
      <c r="K7" s="301"/>
      <c r="L7" s="301"/>
      <c r="M7" s="6"/>
      <c r="N7" s="6"/>
      <c r="O7" s="302"/>
      <c r="P7" s="253"/>
      <c r="Q7" s="253"/>
      <c r="S7" s="299"/>
      <c r="T7" s="299"/>
      <c r="U7" s="299"/>
      <c r="V7" s="299"/>
      <c r="W7" s="299"/>
      <c r="X7" s="299"/>
      <c r="Y7" s="263"/>
      <c r="Z7" s="263"/>
      <c r="AA7" s="263"/>
      <c r="AB7" s="263"/>
      <c r="AC7" s="263"/>
      <c r="AD7" s="299"/>
      <c r="AE7" s="299"/>
      <c r="AF7" s="299"/>
      <c r="AG7" s="299"/>
      <c r="AH7" s="299"/>
      <c r="AI7" s="299"/>
    </row>
    <row r="8" spans="1:35" ht="18.75" customHeight="1">
      <c r="A8" s="6"/>
      <c r="B8" s="676" t="str">
        <f>+'Introducción de datos'!B130</f>
        <v>% Y Número de personas HSH alcanzadas con el paquete básico de prevención de VIH</v>
      </c>
      <c r="C8" s="676"/>
      <c r="D8" s="676"/>
      <c r="E8" s="676"/>
      <c r="F8" s="676" t="str">
        <f>+'Introducción de datos'!B132</f>
        <v>% Y Número de personas TS alcanzadas con el paquete básico de prevención de VIH</v>
      </c>
      <c r="G8" s="676"/>
      <c r="H8" s="676"/>
      <c r="I8" s="676"/>
      <c r="J8" s="676"/>
      <c r="K8" s="676"/>
      <c r="L8" s="676" t="str">
        <f>+'Introducción de datos'!B134</f>
        <v>% Y Número de personas TRANS alcanzadas con el paquete básico de prevención de VIH</v>
      </c>
      <c r="M8" s="676"/>
      <c r="N8" s="676"/>
      <c r="O8" s="676"/>
      <c r="P8" s="676"/>
      <c r="Q8" s="676"/>
      <c r="S8" s="299"/>
      <c r="T8" s="299"/>
      <c r="U8" s="299"/>
      <c r="V8" s="299"/>
      <c r="W8" s="299"/>
      <c r="X8" s="299"/>
      <c r="Y8" s="263"/>
      <c r="Z8" s="263"/>
      <c r="AA8" s="263"/>
      <c r="AB8" s="263"/>
      <c r="AC8" s="263"/>
      <c r="AD8" s="299"/>
      <c r="AE8" s="299"/>
      <c r="AF8" s="299"/>
      <c r="AG8" s="299"/>
      <c r="AH8" s="299"/>
      <c r="AI8" s="299"/>
    </row>
    <row r="9" spans="1:35" ht="75" customHeight="1">
      <c r="A9" s="6"/>
      <c r="B9" s="424" t="s">
        <v>305</v>
      </c>
      <c r="C9" s="645" t="s">
        <v>362</v>
      </c>
      <c r="D9" s="646"/>
      <c r="E9" s="647"/>
      <c r="F9" s="424" t="s">
        <v>305</v>
      </c>
      <c r="G9" s="645" t="s">
        <v>363</v>
      </c>
      <c r="H9" s="646"/>
      <c r="I9" s="646"/>
      <c r="J9" s="646"/>
      <c r="K9" s="647"/>
      <c r="L9" s="424" t="s">
        <v>305</v>
      </c>
      <c r="M9" s="645" t="s">
        <v>364</v>
      </c>
      <c r="N9" s="646"/>
      <c r="O9" s="646"/>
      <c r="P9" s="646"/>
      <c r="Q9" s="647"/>
      <c r="S9" s="299"/>
      <c r="T9" s="299"/>
      <c r="U9" s="299"/>
      <c r="V9" s="299"/>
      <c r="W9" s="299"/>
      <c r="X9" s="299"/>
      <c r="Y9" s="299"/>
      <c r="Z9" s="299"/>
      <c r="AA9" s="299"/>
      <c r="AB9" s="299"/>
      <c r="AC9" s="299"/>
      <c r="AD9" s="299"/>
      <c r="AE9" s="299"/>
      <c r="AF9" s="299"/>
      <c r="AG9" s="299"/>
      <c r="AH9" s="299"/>
      <c r="AI9" s="299"/>
    </row>
    <row r="10" spans="1:35" ht="18.75" customHeight="1">
      <c r="A10" s="6"/>
      <c r="B10" s="249"/>
      <c r="C10" s="249"/>
      <c r="D10" s="301"/>
      <c r="E10" s="301"/>
      <c r="F10" s="301"/>
      <c r="G10" s="301"/>
      <c r="H10" s="301"/>
      <c r="I10" s="301"/>
      <c r="J10" s="301"/>
      <c r="K10" s="301"/>
      <c r="L10" s="301"/>
      <c r="M10" s="6"/>
      <c r="N10" s="6"/>
      <c r="O10" s="302"/>
      <c r="P10" s="253"/>
      <c r="S10" s="299"/>
      <c r="T10" s="299"/>
      <c r="U10" s="299"/>
      <c r="V10" s="299"/>
      <c r="W10" s="299"/>
      <c r="X10" s="299"/>
      <c r="Y10" s="299"/>
      <c r="Z10" s="299"/>
      <c r="AA10" s="299"/>
      <c r="AB10" s="299"/>
      <c r="AC10" s="299"/>
      <c r="AD10" s="299"/>
      <c r="AE10" s="299"/>
      <c r="AF10" s="299"/>
      <c r="AG10" s="299"/>
      <c r="AH10" s="299"/>
      <c r="AI10" s="299"/>
    </row>
    <row r="11" spans="1:35" ht="18.75" customHeight="1">
      <c r="A11" s="6"/>
      <c r="B11" s="249"/>
      <c r="C11" s="249"/>
      <c r="D11" s="301"/>
      <c r="E11" s="301"/>
      <c r="F11" s="301"/>
      <c r="G11" s="301"/>
      <c r="H11" s="301"/>
      <c r="I11" s="301"/>
      <c r="J11" s="301"/>
      <c r="K11" s="301"/>
      <c r="L11" s="301"/>
      <c r="M11" s="6"/>
      <c r="N11" s="6"/>
      <c r="O11" s="302"/>
      <c r="P11" s="253"/>
      <c r="S11" s="299"/>
      <c r="T11" s="299"/>
      <c r="U11" s="299"/>
      <c r="V11" s="299"/>
      <c r="W11" s="299"/>
      <c r="X11" s="299"/>
      <c r="Y11" s="299"/>
      <c r="Z11" s="299"/>
      <c r="AA11" s="299"/>
      <c r="AB11" s="299"/>
      <c r="AC11" s="299"/>
      <c r="AD11" s="299"/>
      <c r="AE11" s="299"/>
      <c r="AF11" s="299"/>
      <c r="AG11" s="299"/>
      <c r="AH11" s="299"/>
      <c r="AI11" s="299"/>
    </row>
    <row r="12" spans="1:35" ht="18.75" customHeight="1">
      <c r="A12" s="6"/>
      <c r="B12" s="249"/>
      <c r="C12" s="249"/>
      <c r="D12" s="301"/>
      <c r="E12" s="301"/>
      <c r="F12" s="301"/>
      <c r="G12" s="301"/>
      <c r="H12" s="301"/>
      <c r="I12" s="301"/>
      <c r="J12" s="301"/>
      <c r="K12" s="301"/>
      <c r="L12" s="301"/>
      <c r="M12" s="6"/>
      <c r="N12" s="6"/>
      <c r="O12" s="302"/>
      <c r="P12" s="253"/>
      <c r="S12" s="299"/>
      <c r="T12" s="299"/>
      <c r="U12" s="299"/>
      <c r="V12" s="299"/>
      <c r="W12" s="299"/>
      <c r="X12" s="299"/>
      <c r="Y12" s="299"/>
      <c r="Z12" s="299"/>
      <c r="AA12" s="299"/>
      <c r="AB12" s="299"/>
      <c r="AC12" s="299"/>
      <c r="AD12" s="299"/>
      <c r="AE12" s="299"/>
      <c r="AF12" s="299"/>
      <c r="AG12" s="299"/>
      <c r="AH12" s="299"/>
      <c r="AI12" s="299"/>
    </row>
    <row r="13" spans="1:35" ht="18.75" customHeight="1">
      <c r="A13" s="6"/>
      <c r="B13" s="249"/>
      <c r="C13" s="249"/>
      <c r="D13" s="301"/>
      <c r="E13" s="301"/>
      <c r="F13" s="301"/>
      <c r="G13" s="301"/>
      <c r="H13" s="301"/>
      <c r="I13" s="301"/>
      <c r="J13" s="301"/>
      <c r="K13" s="301"/>
      <c r="L13" s="301"/>
      <c r="M13" s="6"/>
      <c r="N13" s="6"/>
      <c r="O13" s="302"/>
      <c r="P13" s="253"/>
      <c r="S13" s="299"/>
      <c r="T13" s="299"/>
      <c r="U13" s="299"/>
      <c r="V13" s="299"/>
      <c r="W13" s="299"/>
      <c r="X13" s="299"/>
      <c r="Y13" s="299"/>
      <c r="Z13" s="299"/>
      <c r="AA13" s="299"/>
      <c r="AB13" s="299"/>
      <c r="AC13" s="299"/>
      <c r="AD13" s="299"/>
      <c r="AE13" s="299"/>
      <c r="AF13" s="299"/>
      <c r="AG13" s="299"/>
      <c r="AH13" s="299"/>
      <c r="AI13" s="299"/>
    </row>
    <row r="14" spans="1:35" ht="18.75" customHeight="1">
      <c r="A14" s="6"/>
      <c r="B14" s="249"/>
      <c r="C14" s="249"/>
      <c r="D14" s="301"/>
      <c r="E14" s="301"/>
      <c r="F14" s="301"/>
      <c r="G14" s="301"/>
      <c r="H14" s="301"/>
      <c r="I14" s="301"/>
      <c r="J14" s="301"/>
      <c r="K14" s="301"/>
      <c r="L14" s="301"/>
      <c r="M14" s="6"/>
      <c r="N14" s="6"/>
      <c r="O14" s="302"/>
      <c r="P14" s="253"/>
      <c r="S14" s="299"/>
      <c r="T14" s="299"/>
      <c r="U14" s="299"/>
      <c r="V14" s="299"/>
      <c r="W14" s="299"/>
      <c r="X14" s="299"/>
      <c r="Y14" s="299"/>
      <c r="Z14" s="299"/>
      <c r="AA14" s="299"/>
      <c r="AB14" s="299"/>
      <c r="AC14" s="299"/>
      <c r="AD14" s="299"/>
      <c r="AE14" s="299"/>
      <c r="AF14" s="299"/>
      <c r="AG14" s="299"/>
      <c r="AH14" s="299"/>
      <c r="AI14" s="299"/>
    </row>
    <row r="15" spans="1:35" ht="18.75" customHeight="1">
      <c r="A15" s="6"/>
      <c r="B15" s="249"/>
      <c r="C15" s="249"/>
      <c r="D15" s="301"/>
      <c r="E15" s="301"/>
      <c r="F15" s="301"/>
      <c r="G15" s="301"/>
      <c r="H15" s="301"/>
      <c r="I15" s="301"/>
      <c r="J15" s="301"/>
      <c r="K15" s="301"/>
      <c r="L15" s="301"/>
      <c r="M15" s="6"/>
      <c r="N15" s="6"/>
      <c r="O15" s="302"/>
      <c r="P15" s="253"/>
      <c r="S15" s="299"/>
      <c r="T15" s="299"/>
      <c r="U15" s="299"/>
      <c r="V15" s="299"/>
      <c r="W15" s="299"/>
      <c r="X15" s="299"/>
      <c r="Y15" s="299"/>
      <c r="Z15" s="299"/>
      <c r="AA15" s="299"/>
      <c r="AB15" s="299"/>
      <c r="AC15" s="299"/>
      <c r="AD15" s="299"/>
      <c r="AE15" s="299"/>
      <c r="AF15" s="299"/>
      <c r="AG15" s="299"/>
      <c r="AH15" s="299"/>
      <c r="AI15" s="299"/>
    </row>
    <row r="16" spans="1:35" ht="18.75" customHeight="1">
      <c r="A16" s="6"/>
      <c r="B16" s="249"/>
      <c r="C16" s="249"/>
      <c r="D16" s="301"/>
      <c r="E16" s="301"/>
      <c r="F16" s="301"/>
      <c r="G16" s="301"/>
      <c r="H16" s="301"/>
      <c r="I16" s="301"/>
      <c r="J16" s="301"/>
      <c r="K16" s="301"/>
      <c r="L16" s="301"/>
      <c r="M16" s="6"/>
      <c r="N16" s="6"/>
      <c r="O16" s="302"/>
      <c r="P16" s="253"/>
      <c r="S16" s="299"/>
      <c r="T16" s="299"/>
      <c r="U16" s="299"/>
      <c r="V16" s="299"/>
      <c r="W16" s="299"/>
      <c r="X16" s="299"/>
      <c r="Y16" s="299"/>
      <c r="Z16" s="299"/>
      <c r="AA16" s="299"/>
      <c r="AB16" s="299"/>
      <c r="AC16" s="299"/>
      <c r="AD16" s="299"/>
      <c r="AE16" s="299"/>
      <c r="AF16" s="299"/>
      <c r="AG16" s="299"/>
      <c r="AH16" s="299"/>
      <c r="AI16" s="299"/>
    </row>
    <row r="17" spans="1:35" ht="17.25" customHeight="1">
      <c r="A17" s="6"/>
      <c r="B17" s="249"/>
      <c r="C17" s="249"/>
      <c r="D17" s="301"/>
      <c r="E17" s="301"/>
      <c r="F17" s="301"/>
      <c r="G17" s="301"/>
      <c r="H17" s="301"/>
      <c r="I17" s="301"/>
      <c r="J17" s="301"/>
      <c r="K17" s="301"/>
      <c r="L17" s="301"/>
      <c r="M17" s="6"/>
      <c r="N17" s="6"/>
      <c r="O17" s="302"/>
      <c r="P17" s="253"/>
      <c r="S17" s="299"/>
      <c r="T17" s="299"/>
      <c r="U17" s="299"/>
      <c r="V17" s="299"/>
      <c r="W17" s="299"/>
      <c r="X17" s="299"/>
      <c r="Y17" s="299"/>
      <c r="Z17" s="299"/>
      <c r="AA17" s="299"/>
      <c r="AB17" s="299"/>
      <c r="AC17" s="299"/>
      <c r="AD17" s="299"/>
      <c r="AE17" s="299"/>
      <c r="AF17" s="299"/>
      <c r="AG17" s="299"/>
      <c r="AH17" s="299"/>
      <c r="AI17" s="299"/>
    </row>
    <row r="18" spans="1:35" ht="6" customHeight="1">
      <c r="A18" s="6"/>
      <c r="B18" s="254"/>
      <c r="C18" s="249"/>
      <c r="D18" s="255"/>
      <c r="E18" s="686"/>
      <c r="F18" s="686"/>
      <c r="G18" s="686"/>
      <c r="H18" s="686"/>
      <c r="I18" s="686"/>
      <c r="J18" s="686"/>
      <c r="K18" s="686"/>
      <c r="L18" s="6"/>
      <c r="M18" s="6"/>
      <c r="N18" s="6"/>
      <c r="O18" s="6"/>
      <c r="P18" s="6"/>
      <c r="S18" s="299"/>
      <c r="T18" s="299"/>
      <c r="U18" s="299"/>
      <c r="V18" s="299"/>
      <c r="W18" s="299"/>
      <c r="X18" s="299"/>
      <c r="Y18" s="299"/>
      <c r="Z18" s="299"/>
      <c r="AA18" s="299"/>
      <c r="AB18" s="299"/>
      <c r="AC18" s="299"/>
      <c r="AD18" s="299"/>
      <c r="AE18" s="299"/>
      <c r="AF18" s="299"/>
      <c r="AG18" s="299"/>
      <c r="AH18" s="299"/>
      <c r="AI18" s="299"/>
    </row>
    <row r="19" spans="1:35" ht="24" customHeight="1">
      <c r="A19" s="6"/>
      <c r="B19" s="687" t="s">
        <v>306</v>
      </c>
      <c r="C19" s="688"/>
      <c r="D19" s="689"/>
      <c r="E19" s="304" t="s">
        <v>282</v>
      </c>
      <c r="F19" s="304" t="s">
        <v>307</v>
      </c>
      <c r="G19" s="690" t="s">
        <v>308</v>
      </c>
      <c r="H19" s="691"/>
      <c r="I19" s="692" t="s">
        <v>309</v>
      </c>
      <c r="J19" s="693"/>
      <c r="K19" s="305" t="s">
        <v>310</v>
      </c>
      <c r="L19" s="673" t="s">
        <v>311</v>
      </c>
      <c r="M19" s="674"/>
      <c r="N19" s="674"/>
      <c r="O19" s="674"/>
      <c r="P19" s="674"/>
      <c r="Q19" s="674"/>
      <c r="R19" s="432" t="s">
        <v>319</v>
      </c>
      <c r="S19" s="430" t="s">
        <v>312</v>
      </c>
      <c r="T19" s="307">
        <v>0</v>
      </c>
      <c r="U19" s="308">
        <v>0.3</v>
      </c>
      <c r="V19" s="308">
        <v>0.6</v>
      </c>
      <c r="W19" s="308">
        <v>0.9</v>
      </c>
      <c r="X19" s="308">
        <v>1</v>
      </c>
      <c r="Y19" s="263"/>
      <c r="Z19" s="263"/>
      <c r="AA19" s="306" t="s">
        <v>313</v>
      </c>
      <c r="AB19" s="307">
        <v>0</v>
      </c>
      <c r="AC19" s="308">
        <v>0.2</v>
      </c>
      <c r="AD19" s="308">
        <v>0.4</v>
      </c>
      <c r="AE19" s="308">
        <v>0.6</v>
      </c>
      <c r="AF19" s="308">
        <v>0.8</v>
      </c>
      <c r="AG19" s="263"/>
      <c r="AH19" s="263"/>
      <c r="AI19" s="263"/>
    </row>
    <row r="20" spans="1:35" ht="372.75" customHeight="1">
      <c r="A20" s="6"/>
      <c r="B20" s="677" t="str">
        <f>+'Introducción de datos'!B130</f>
        <v>% Y Número de personas HSH alcanzadas con el paquete básico de prevención de VIH</v>
      </c>
      <c r="C20" s="678"/>
      <c r="D20" s="679"/>
      <c r="E20" s="427">
        <v>2878</v>
      </c>
      <c r="F20" s="427">
        <v>3198</v>
      </c>
      <c r="G20" s="680">
        <v>1.11</v>
      </c>
      <c r="H20" s="681"/>
      <c r="I20" s="681"/>
      <c r="J20" s="681"/>
      <c r="K20" s="682"/>
      <c r="L20" s="683" t="s">
        <v>365</v>
      </c>
      <c r="M20" s="684"/>
      <c r="N20" s="684"/>
      <c r="O20" s="684"/>
      <c r="P20" s="684"/>
      <c r="Q20" s="685"/>
      <c r="R20" s="668"/>
      <c r="S20" s="430" t="s">
        <v>314</v>
      </c>
      <c r="T20" s="309">
        <v>0.3</v>
      </c>
      <c r="U20" s="308">
        <v>0.6</v>
      </c>
      <c r="V20" s="308">
        <v>0.9</v>
      </c>
      <c r="W20" s="308">
        <v>1</v>
      </c>
      <c r="X20" s="308">
        <v>2</v>
      </c>
      <c r="Y20" s="263"/>
      <c r="Z20" s="263"/>
      <c r="AA20" s="306" t="s">
        <v>315</v>
      </c>
      <c r="AB20" s="309">
        <v>0.2</v>
      </c>
      <c r="AC20" s="308">
        <v>0.4</v>
      </c>
      <c r="AD20" s="308">
        <v>0.6</v>
      </c>
      <c r="AE20" s="308">
        <v>0.8</v>
      </c>
      <c r="AF20" s="308">
        <v>1</v>
      </c>
      <c r="AG20" s="263"/>
      <c r="AH20" s="263"/>
      <c r="AI20" s="263"/>
    </row>
    <row r="21" spans="1:35" ht="383.25" customHeight="1">
      <c r="A21" s="6"/>
      <c r="B21" s="677" t="str">
        <f>+'Introducción de datos'!B132</f>
        <v>% Y Número de personas TS alcanzadas con el paquete básico de prevención de VIH</v>
      </c>
      <c r="C21" s="678"/>
      <c r="D21" s="679"/>
      <c r="E21" s="423">
        <v>2196</v>
      </c>
      <c r="F21" s="423">
        <v>2582</v>
      </c>
      <c r="G21" s="680">
        <v>1.17</v>
      </c>
      <c r="H21" s="681"/>
      <c r="I21" s="681"/>
      <c r="J21" s="681"/>
      <c r="K21" s="682"/>
      <c r="L21" s="683" t="s">
        <v>366</v>
      </c>
      <c r="M21" s="684"/>
      <c r="N21" s="684"/>
      <c r="O21" s="684"/>
      <c r="P21" s="684"/>
      <c r="Q21" s="685"/>
      <c r="R21" s="669"/>
      <c r="S21" s="431"/>
      <c r="T21" s="310" t="str">
        <f>"de "&amp;T19&amp;" a "&amp;T20</f>
        <v>de 0 a 0.3</v>
      </c>
      <c r="U21" s="310" t="str">
        <f>"de "&amp;U19&amp;" a "&amp;U20</f>
        <v>de 0.3 a 0.6</v>
      </c>
      <c r="V21" s="310" t="str">
        <f>"de "&amp;V19&amp;" a "&amp;V20</f>
        <v>de 0.6 a 0.9</v>
      </c>
      <c r="W21" s="310" t="str">
        <f>"de "&amp;W19&amp;" a "&amp;W20</f>
        <v>de 0.9 a 1</v>
      </c>
      <c r="X21" s="310" t="str">
        <f>"de "&amp;X19&amp;" a "&amp;X20</f>
        <v>de 1 a 2</v>
      </c>
      <c r="Y21" s="263"/>
      <c r="Z21" s="311" t="s">
        <v>316</v>
      </c>
      <c r="AA21" s="312" t="s">
        <v>317</v>
      </c>
      <c r="AB21" s="310" t="str">
        <f>"de "&amp;AB19&amp;" a "&amp;AB20</f>
        <v>de 0 a 0.2</v>
      </c>
      <c r="AC21" s="310" t="str">
        <f>"de "&amp;AC19&amp;" a "&amp;AC20</f>
        <v>de 0.2 a 0.4</v>
      </c>
      <c r="AD21" s="310" t="str">
        <f>"de "&amp;AD19&amp;" a "&amp;AD20</f>
        <v>de 0.4 a 0.6</v>
      </c>
      <c r="AE21" s="310" t="str">
        <f>"de "&amp;AE19&amp;" a "&amp;AE20</f>
        <v>de 0.6 a 0.8</v>
      </c>
      <c r="AF21" s="310" t="str">
        <f>"de "&amp;AF19&amp;" a "&amp;AF20</f>
        <v>de 0.8 a 1</v>
      </c>
      <c r="AG21" s="263"/>
      <c r="AH21" s="263"/>
      <c r="AI21" s="263"/>
    </row>
    <row r="22" spans="1:35" ht="374.25" customHeight="1">
      <c r="A22" s="6"/>
      <c r="B22" s="677" t="str">
        <f>+'Introducción de datos'!B134</f>
        <v>% Y Número de personas TRANS alcanzadas con el paquete básico de prevención de VIH</v>
      </c>
      <c r="C22" s="678"/>
      <c r="D22" s="679"/>
      <c r="E22" s="427">
        <v>279</v>
      </c>
      <c r="F22" s="427">
        <v>280</v>
      </c>
      <c r="G22" s="680">
        <v>1</v>
      </c>
      <c r="H22" s="681"/>
      <c r="I22" s="681"/>
      <c r="J22" s="681"/>
      <c r="K22" s="682"/>
      <c r="L22" s="683" t="s">
        <v>367</v>
      </c>
      <c r="M22" s="684"/>
      <c r="N22" s="684"/>
      <c r="O22" s="684"/>
      <c r="P22" s="684"/>
      <c r="Q22" s="685"/>
      <c r="R22" s="670"/>
      <c r="S22" s="431"/>
      <c r="T22" s="308" t="e">
        <f aca="true" t="shared" si="0" ref="T22:W26">IF($K20&gt;T$19,IF($K20&lt;=T$20,$K20,NA()),NA())</f>
        <v>#N/A</v>
      </c>
      <c r="U22" s="308" t="e">
        <f t="shared" si="0"/>
        <v>#N/A</v>
      </c>
      <c r="V22" s="308" t="e">
        <f t="shared" si="0"/>
        <v>#N/A</v>
      </c>
      <c r="W22" s="308" t="e">
        <f t="shared" si="0"/>
        <v>#N/A</v>
      </c>
      <c r="X22" s="308" t="e">
        <f>IF($K20&gt;X$19,IF($K20&lt;=X$20,1,NA()),NA())</f>
        <v>#N/A</v>
      </c>
      <c r="Y22" s="263"/>
      <c r="Z22" s="313" t="e">
        <f>+'Información de la subvención'!#REF!</f>
        <v>#REF!</v>
      </c>
      <c r="AA22" s="308" t="e">
        <f>+IF(Z22="A1",1,IF(Z22="A2",0.8,IF(Z22="B1",0.6,IF(Z22="B2",0.4,0.2))))</f>
        <v>#REF!</v>
      </c>
      <c r="AB22" s="308" t="e">
        <f>IF($AA22&gt;AB$19,IF($AA22&lt;=AB$20,$AA22,NA()),NA())</f>
        <v>#REF!</v>
      </c>
      <c r="AC22" s="308" t="e">
        <f aca="true" t="shared" si="1" ref="AC22:AF24">IF($AA22&gt;AC$19,IF($AA22&lt;=AC$20,$AA22,NA()),NA())</f>
        <v>#REF!</v>
      </c>
      <c r="AD22" s="308" t="e">
        <f t="shared" si="1"/>
        <v>#REF!</v>
      </c>
      <c r="AE22" s="308" t="e">
        <f t="shared" si="1"/>
        <v>#REF!</v>
      </c>
      <c r="AF22" s="308" t="e">
        <f t="shared" si="1"/>
        <v>#REF!</v>
      </c>
      <c r="AG22" s="263"/>
      <c r="AH22" s="263"/>
      <c r="AI22" s="263"/>
    </row>
    <row r="23" spans="1:35" ht="302.25" customHeight="1">
      <c r="A23" s="6"/>
      <c r="B23" s="677" t="str">
        <f>+'Introducción de datos'!B136</f>
        <v>% Y Número de personas HSH alcanzadas con el paquete complementario de prevención de VIH</v>
      </c>
      <c r="C23" s="678"/>
      <c r="D23" s="679"/>
      <c r="E23" s="427">
        <v>179</v>
      </c>
      <c r="F23" s="427">
        <v>1803</v>
      </c>
      <c r="G23" s="680">
        <v>10.07</v>
      </c>
      <c r="H23" s="681"/>
      <c r="I23" s="681"/>
      <c r="J23" s="681"/>
      <c r="K23" s="682"/>
      <c r="L23" s="694" t="s">
        <v>368</v>
      </c>
      <c r="M23" s="695"/>
      <c r="N23" s="695"/>
      <c r="O23" s="695"/>
      <c r="P23" s="695"/>
      <c r="Q23" s="696"/>
      <c r="R23" s="668"/>
      <c r="S23" s="431"/>
      <c r="T23" s="308" t="e">
        <f t="shared" si="0"/>
        <v>#N/A</v>
      </c>
      <c r="U23" s="308" t="e">
        <f t="shared" si="0"/>
        <v>#N/A</v>
      </c>
      <c r="V23" s="308" t="e">
        <f t="shared" si="0"/>
        <v>#N/A</v>
      </c>
      <c r="W23" s="308" t="e">
        <f t="shared" si="0"/>
        <v>#N/A</v>
      </c>
      <c r="X23" s="308" t="e">
        <f>IF($K21&gt;X$19,IF($K21&lt;=X$20,1,1),NA())</f>
        <v>#N/A</v>
      </c>
      <c r="Y23" s="263"/>
      <c r="Z23" s="313" t="e">
        <f>+'Información de la subvención'!#REF!</f>
        <v>#REF!</v>
      </c>
      <c r="AA23" s="308" t="e">
        <f>+IF(Z23="A1",1,IF(Z23="A2",0.8,IF(Z23="B1",0.6,IF(Z23="B2",0.4,0.2))))</f>
        <v>#REF!</v>
      </c>
      <c r="AB23" s="308" t="e">
        <f>IF($AA23&gt;AB$19,IF($AA23&lt;=AB$20,$AA23,NA()),NA())</f>
        <v>#REF!</v>
      </c>
      <c r="AC23" s="308" t="e">
        <f t="shared" si="1"/>
        <v>#REF!</v>
      </c>
      <c r="AD23" s="308" t="e">
        <f t="shared" si="1"/>
        <v>#REF!</v>
      </c>
      <c r="AE23" s="308" t="e">
        <f t="shared" si="1"/>
        <v>#REF!</v>
      </c>
      <c r="AF23" s="308" t="e">
        <f t="shared" si="1"/>
        <v>#REF!</v>
      </c>
      <c r="AG23" s="263"/>
      <c r="AH23" s="263"/>
      <c r="AI23" s="263"/>
    </row>
    <row r="24" spans="1:35" ht="315" customHeight="1">
      <c r="A24" s="6"/>
      <c r="B24" s="677" t="str">
        <f>+'Introducción de datos'!B138</f>
        <v>% Y Número de personas TS alcanzadas con el paquete complementario de prevención de VIH</v>
      </c>
      <c r="C24" s="678"/>
      <c r="D24" s="679"/>
      <c r="E24" s="427">
        <v>351</v>
      </c>
      <c r="F24" s="427">
        <v>1247</v>
      </c>
      <c r="G24" s="680">
        <v>4.59</v>
      </c>
      <c r="H24" s="681"/>
      <c r="I24" s="681"/>
      <c r="J24" s="681"/>
      <c r="K24" s="682"/>
      <c r="L24" s="694" t="s">
        <v>360</v>
      </c>
      <c r="M24" s="695"/>
      <c r="N24" s="695"/>
      <c r="O24" s="695"/>
      <c r="P24" s="695"/>
      <c r="Q24" s="696"/>
      <c r="R24" s="669"/>
      <c r="S24" s="431"/>
      <c r="T24" s="308" t="e">
        <f t="shared" si="0"/>
        <v>#N/A</v>
      </c>
      <c r="U24" s="308" t="e">
        <f t="shared" si="0"/>
        <v>#N/A</v>
      </c>
      <c r="V24" s="308" t="e">
        <f t="shared" si="0"/>
        <v>#N/A</v>
      </c>
      <c r="W24" s="308" t="e">
        <f t="shared" si="0"/>
        <v>#N/A</v>
      </c>
      <c r="X24" s="308" t="e">
        <f>IF($K22&gt;X$19,IF($K22&lt;=X$20,1,NA()),NA())</f>
        <v>#N/A</v>
      </c>
      <c r="Y24" s="263"/>
      <c r="Z24" s="313" t="e">
        <f>+'Información de la subvención'!#REF!</f>
        <v>#REF!</v>
      </c>
      <c r="AA24" s="308" t="e">
        <f>+IF(Z24="A1",1,IF(Z24="A2",0.8,IF(Z24="B1",0.6,IF(Z24="B2",0.4,0.2))))</f>
        <v>#REF!</v>
      </c>
      <c r="AB24" s="308" t="e">
        <f>IF($AA24&gt;AB$19,IF($AA24&lt;=AB$20,$AA24,NA()),NA())</f>
        <v>#REF!</v>
      </c>
      <c r="AC24" s="308" t="e">
        <f t="shared" si="1"/>
        <v>#REF!</v>
      </c>
      <c r="AD24" s="308" t="e">
        <f t="shared" si="1"/>
        <v>#REF!</v>
      </c>
      <c r="AE24" s="308" t="e">
        <f t="shared" si="1"/>
        <v>#REF!</v>
      </c>
      <c r="AF24" s="308" t="e">
        <f t="shared" si="1"/>
        <v>#REF!</v>
      </c>
      <c r="AG24" s="263"/>
      <c r="AH24" s="263"/>
      <c r="AI24" s="263"/>
    </row>
    <row r="25" spans="1:35" ht="255" customHeight="1">
      <c r="A25" s="6"/>
      <c r="B25" s="677" t="str">
        <f>+'Introducción de datos'!B140</f>
        <v>% Y Número de personas TRANS alcanzadas con el paquete complementario de prevención de VIH</v>
      </c>
      <c r="C25" s="678"/>
      <c r="D25" s="679"/>
      <c r="E25" s="423">
        <v>193</v>
      </c>
      <c r="F25" s="423">
        <v>62</v>
      </c>
      <c r="G25" s="680">
        <v>0.32</v>
      </c>
      <c r="H25" s="681"/>
      <c r="I25" s="681"/>
      <c r="J25" s="681"/>
      <c r="K25" s="682"/>
      <c r="L25" s="694" t="s">
        <v>369</v>
      </c>
      <c r="M25" s="695"/>
      <c r="N25" s="695"/>
      <c r="O25" s="695"/>
      <c r="P25" s="695"/>
      <c r="Q25" s="695"/>
      <c r="R25" s="669"/>
      <c r="S25" s="431"/>
      <c r="T25" s="308" t="e">
        <f t="shared" si="0"/>
        <v>#N/A</v>
      </c>
      <c r="U25" s="308" t="e">
        <f t="shared" si="0"/>
        <v>#N/A</v>
      </c>
      <c r="V25" s="308" t="e">
        <f t="shared" si="0"/>
        <v>#N/A</v>
      </c>
      <c r="W25" s="308" t="e">
        <f t="shared" si="0"/>
        <v>#N/A</v>
      </c>
      <c r="X25" s="308" t="e">
        <f>IF($K23&gt;X$19,IF($K23&lt;=X$20,1,NA()),NA())</f>
        <v>#N/A</v>
      </c>
      <c r="Y25" s="263"/>
      <c r="Z25" s="263"/>
      <c r="AA25" s="263"/>
      <c r="AB25" s="263"/>
      <c r="AC25" s="263"/>
      <c r="AD25" s="263"/>
      <c r="AE25" s="263"/>
      <c r="AF25" s="263"/>
      <c r="AG25" s="263"/>
      <c r="AH25" s="263"/>
      <c r="AI25" s="263"/>
    </row>
    <row r="26" spans="1:35" ht="92.25" customHeight="1">
      <c r="A26" s="6"/>
      <c r="B26" s="677" t="str">
        <f>+'Introducción de datos'!B142</f>
        <v>% de Población Transgenero infectada por el VIH</v>
      </c>
      <c r="C26" s="678"/>
      <c r="D26" s="679"/>
      <c r="E26" s="423">
        <f ca="1">OFFSET('Introducción de datos'!$G$129,13,RIGHT('Introducción de datos'!$C$16,LEN('Introducción de datos'!$C$16)-1),1,1)</f>
        <v>0</v>
      </c>
      <c r="F26" s="423">
        <f ca="1">OFFSET('Introducción de datos'!$G$129,14,RIGHT('Introducción de datos'!$C$16,LEN('Introducción de datos'!$C$16)-1),1,1)</f>
        <v>0</v>
      </c>
      <c r="G26" s="698">
        <v>1</v>
      </c>
      <c r="H26" s="699"/>
      <c r="I26" s="699"/>
      <c r="J26" s="699"/>
      <c r="K26" s="700"/>
      <c r="L26" s="701" t="s">
        <v>392</v>
      </c>
      <c r="M26" s="701"/>
      <c r="N26" s="701"/>
      <c r="O26" s="701"/>
      <c r="P26" s="701"/>
      <c r="Q26" s="694"/>
      <c r="R26" s="433"/>
      <c r="S26" s="431"/>
      <c r="T26" s="308" t="e">
        <f t="shared" si="0"/>
        <v>#N/A</v>
      </c>
      <c r="U26" s="308" t="e">
        <f t="shared" si="0"/>
        <v>#N/A</v>
      </c>
      <c r="V26" s="308" t="e">
        <f t="shared" si="0"/>
        <v>#N/A</v>
      </c>
      <c r="W26" s="308" t="e">
        <f t="shared" si="0"/>
        <v>#N/A</v>
      </c>
      <c r="X26" s="308" t="e">
        <f>IF($K24&gt;X$19,IF($K24&lt;=X$20,1,NA()),NA())</f>
        <v>#N/A</v>
      </c>
      <c r="Y26" s="263"/>
      <c r="Z26" s="263"/>
      <c r="AA26" s="263"/>
      <c r="AB26" s="263"/>
      <c r="AC26" s="263"/>
      <c r="AD26" s="263"/>
      <c r="AE26" s="263"/>
      <c r="AF26" s="263"/>
      <c r="AG26" s="263"/>
      <c r="AH26" s="263"/>
      <c r="AI26" s="263"/>
    </row>
    <row r="27" spans="1:35" ht="14.25">
      <c r="A27" s="6"/>
      <c r="B27" s="6"/>
      <c r="C27" s="6"/>
      <c r="D27" s="6"/>
      <c r="E27" s="6"/>
      <c r="F27" s="6"/>
      <c r="G27" s="6"/>
      <c r="H27" s="6"/>
      <c r="I27" s="314"/>
      <c r="J27" s="90"/>
      <c r="K27" s="90"/>
      <c r="L27" s="6"/>
      <c r="M27" s="6"/>
      <c r="N27" s="6"/>
      <c r="O27" s="6"/>
      <c r="P27" s="6"/>
      <c r="S27" s="263"/>
      <c r="T27" s="263"/>
      <c r="U27" s="263"/>
      <c r="V27" s="263"/>
      <c r="W27" s="263"/>
      <c r="X27" s="263"/>
      <c r="Y27" s="263"/>
      <c r="Z27" s="263"/>
      <c r="AA27" s="263"/>
      <c r="AB27" s="263"/>
      <c r="AC27" s="263"/>
      <c r="AD27" s="263"/>
      <c r="AE27" s="263"/>
      <c r="AF27" s="263"/>
      <c r="AG27" s="263"/>
      <c r="AH27" s="263"/>
      <c r="AI27" s="263"/>
    </row>
    <row r="28" spans="1:35" ht="14.25" customHeight="1">
      <c r="A28" s="6"/>
      <c r="B28" s="6"/>
      <c r="C28" s="6"/>
      <c r="D28" s="6"/>
      <c r="E28" s="6"/>
      <c r="F28" s="6"/>
      <c r="G28" s="697" t="s">
        <v>359</v>
      </c>
      <c r="H28" s="697"/>
      <c r="I28" s="697"/>
      <c r="J28" s="697"/>
      <c r="K28" s="697"/>
      <c r="L28" s="697"/>
      <c r="M28" s="697"/>
      <c r="N28" s="697"/>
      <c r="O28" s="697"/>
      <c r="P28" s="697"/>
      <c r="Q28" s="697"/>
      <c r="S28" s="263"/>
      <c r="T28" s="263"/>
      <c r="U28" s="263"/>
      <c r="V28" s="263"/>
      <c r="W28" s="263"/>
      <c r="X28" s="263"/>
      <c r="Y28" s="263"/>
      <c r="Z28" s="263"/>
      <c r="AA28" s="263"/>
      <c r="AB28" s="263"/>
      <c r="AC28" s="263"/>
      <c r="AD28" s="263"/>
      <c r="AE28" s="263"/>
      <c r="AF28" s="263"/>
      <c r="AG28" s="263"/>
      <c r="AH28" s="263"/>
      <c r="AI28" s="263"/>
    </row>
  </sheetData>
  <sheetProtection selectLockedCells="1" selectUnlockedCells="1"/>
  <mergeCells count="43">
    <mergeCell ref="G28:Q28"/>
    <mergeCell ref="B25:D25"/>
    <mergeCell ref="G25:K25"/>
    <mergeCell ref="L25:Q25"/>
    <mergeCell ref="B26:D26"/>
    <mergeCell ref="G26:K26"/>
    <mergeCell ref="L26:Q26"/>
    <mergeCell ref="B23:D23"/>
    <mergeCell ref="G23:K23"/>
    <mergeCell ref="L23:Q23"/>
    <mergeCell ref="B24:D24"/>
    <mergeCell ref="G24:K24"/>
    <mergeCell ref="L24:Q24"/>
    <mergeCell ref="B21:D21"/>
    <mergeCell ref="G21:K21"/>
    <mergeCell ref="L21:Q21"/>
    <mergeCell ref="B22:D22"/>
    <mergeCell ref="G22:K22"/>
    <mergeCell ref="L22:Q22"/>
    <mergeCell ref="B20:D20"/>
    <mergeCell ref="G20:K20"/>
    <mergeCell ref="L20:Q20"/>
    <mergeCell ref="E18:K18"/>
    <mergeCell ref="B19:D19"/>
    <mergeCell ref="G19:H19"/>
    <mergeCell ref="I19:J19"/>
    <mergeCell ref="B2:Q2"/>
    <mergeCell ref="C3:D3"/>
    <mergeCell ref="E3:K3"/>
    <mergeCell ref="O3:P3"/>
    <mergeCell ref="B8:E8"/>
    <mergeCell ref="F8:K8"/>
    <mergeCell ref="L8:Q8"/>
    <mergeCell ref="R20:R22"/>
    <mergeCell ref="R23:R25"/>
    <mergeCell ref="C4:D4"/>
    <mergeCell ref="E4:L4"/>
    <mergeCell ref="D5:N5"/>
    <mergeCell ref="F6:K6"/>
    <mergeCell ref="C9:E9"/>
    <mergeCell ref="G9:K9"/>
    <mergeCell ref="M9:Q9"/>
    <mergeCell ref="L19:Q19"/>
  </mergeCells>
  <conditionalFormatting sqref="C4:D4">
    <cfRule type="cellIs" priority="31" dxfId="41" operator="equal" stopIfTrue="1">
      <formula>"C"</formula>
    </cfRule>
    <cfRule type="cellIs" priority="32" dxfId="42" operator="equal" stopIfTrue="1">
      <formula>"B2"</formula>
    </cfRule>
    <cfRule type="cellIs" priority="33" dxfId="43" operator="equal" stopIfTrue="1">
      <formula>"B1"</formula>
    </cfRule>
  </conditionalFormatting>
  <conditionalFormatting sqref="G20:G26">
    <cfRule type="cellIs" priority="34" dxfId="57" operator="between" stopIfTrue="1">
      <formula>0</formula>
      <formula>0.599</formula>
    </cfRule>
    <cfRule type="cellIs" priority="35" dxfId="56" operator="between" stopIfTrue="1">
      <formula>0.6</formula>
      <formula>0.899</formula>
    </cfRule>
    <cfRule type="cellIs" priority="36" dxfId="55"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14">
      <selection activeCell="D32" sqref="D32:G32"/>
    </sheetView>
  </sheetViews>
  <sheetFormatPr defaultColWidth="9.140625" defaultRowHeight="15"/>
  <cols>
    <col min="1" max="1" width="1.1484375" style="315" customWidth="1"/>
    <col min="2" max="2" width="19.28125" style="315" customWidth="1"/>
    <col min="3" max="3" width="1.1484375" style="315" customWidth="1"/>
    <col min="4" max="4" width="17.140625" style="315" customWidth="1"/>
    <col min="5" max="5" width="17.57421875" style="315" customWidth="1"/>
    <col min="6" max="6" width="9.7109375" style="315" customWidth="1"/>
    <col min="7" max="7" width="13.00390625" style="315" customWidth="1"/>
    <col min="8" max="8" width="4.28125" style="315" customWidth="1"/>
    <col min="9" max="9" width="15.8515625" style="315" customWidth="1"/>
    <col min="10" max="10" width="3.57421875" style="315" customWidth="1"/>
    <col min="11" max="11" width="7.57421875" style="316" customWidth="1"/>
    <col min="12" max="12" width="22.00390625" style="315" customWidth="1"/>
    <col min="13" max="13" width="12.00390625" style="315" customWidth="1"/>
    <col min="14" max="14" width="5.421875" style="315" customWidth="1"/>
    <col min="15" max="15" width="2.57421875" style="315" customWidth="1"/>
    <col min="16" max="16384" width="9.140625" style="315" customWidth="1"/>
  </cols>
  <sheetData>
    <row r="1" spans="1:14" ht="38.25" customHeight="1">
      <c r="A1" s="317"/>
      <c r="B1" s="317"/>
      <c r="C1" s="317"/>
      <c r="D1" s="317"/>
      <c r="E1" s="317"/>
      <c r="F1" s="317"/>
      <c r="G1" s="317"/>
      <c r="H1" s="317"/>
      <c r="I1" s="317"/>
      <c r="J1" s="317"/>
      <c r="K1" s="318"/>
      <c r="L1" s="317"/>
      <c r="M1" s="317"/>
      <c r="N1" s="317"/>
    </row>
    <row r="2" spans="1:256" ht="27.75" customHeight="1">
      <c r="A2" s="6"/>
      <c r="B2" s="675" t="str">
        <f>+"Cuadro de mando:  "&amp;"  "&amp;+'Introducción de datos'!C4&amp;" - "&amp;'Introducción de datos'!G6</f>
        <v>Cuadro de mando:    El Salvador - VIH / SIDA</v>
      </c>
      <c r="C2" s="675"/>
      <c r="D2" s="675"/>
      <c r="E2" s="675"/>
      <c r="F2" s="675"/>
      <c r="G2" s="675"/>
      <c r="H2" s="675"/>
      <c r="I2" s="675"/>
      <c r="J2" s="675"/>
      <c r="K2" s="675"/>
      <c r="L2" s="675"/>
      <c r="M2" s="675"/>
      <c r="N2" s="675"/>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249" t="str">
        <f>+'Introducción de datos'!G8</f>
        <v>Seleccionar</v>
      </c>
      <c r="C3" s="618" t="str">
        <f>+'Introducción de datos'!I8</f>
        <v>Seleccionar</v>
      </c>
      <c r="D3" s="618"/>
      <c r="E3" s="702"/>
      <c r="F3" s="702"/>
      <c r="G3" s="702"/>
      <c r="H3" s="702"/>
      <c r="I3" s="702"/>
      <c r="J3" s="702"/>
      <c r="K3" s="702"/>
      <c r="L3" s="249" t="str">
        <f>+'Introducción de datos'!B16</f>
        <v>Periodo:</v>
      </c>
      <c r="M3" s="296" t="str">
        <f>+'Introducción de datos'!C16</f>
        <v>P3</v>
      </c>
      <c r="N3" s="29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
      <c r="B4" s="249" t="str">
        <f>+'Introducción de datos'!B12</f>
        <v>Ultima calificación:</v>
      </c>
      <c r="C4" s="671" t="str">
        <f>+'Introducción de datos'!C12</f>
        <v>A1</v>
      </c>
      <c r="D4" s="671"/>
      <c r="E4" s="615" t="str">
        <f>+'Introducción de datos'!C8</f>
        <v>PLAN  INTERNACIONAL</v>
      </c>
      <c r="F4" s="615"/>
      <c r="G4" s="615"/>
      <c r="H4" s="615"/>
      <c r="I4" s="615"/>
      <c r="J4" s="615"/>
      <c r="K4" s="615"/>
      <c r="L4" s="249" t="str">
        <f>+'Introducción de datos'!D16</f>
        <v>Desde:</v>
      </c>
      <c r="M4" s="253">
        <f>+'Introducción de datos'!E16</f>
        <v>42005</v>
      </c>
      <c r="N4" s="25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9"/>
      <c r="C5" s="249"/>
      <c r="D5" s="255"/>
      <c r="E5" s="615" t="str">
        <f>+'Introducción de datos'!G4</f>
        <v>INNOVANDO SERVICIOS, REDUCIENDO RIESGOS, RENOVANDO VIDAS EN EL SALVADOR</v>
      </c>
      <c r="F5" s="615"/>
      <c r="G5" s="615"/>
      <c r="H5" s="615"/>
      <c r="I5" s="615"/>
      <c r="J5" s="615"/>
      <c r="K5" s="615"/>
      <c r="L5" s="249" t="str">
        <f>+'Introducción de datos'!F16</f>
        <v>Hasta:</v>
      </c>
      <c r="M5" s="253">
        <f>+'Introducción de datos'!G16</f>
        <v>42185</v>
      </c>
      <c r="N5" s="25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6"/>
      <c r="C6" s="250"/>
      <c r="D6" s="255"/>
      <c r="E6" s="703" t="s">
        <v>315</v>
      </c>
      <c r="F6" s="703"/>
      <c r="G6" s="703"/>
      <c r="H6" s="703"/>
      <c r="I6" s="703"/>
      <c r="J6" s="703"/>
      <c r="K6" s="703"/>
      <c r="L6" s="141"/>
      <c r="M6" s="141"/>
      <c r="N6" s="14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24" customFormat="1" ht="4.5" customHeight="1">
      <c r="A7" s="320"/>
      <c r="B7" s="321"/>
      <c r="C7" s="321"/>
      <c r="D7" s="321"/>
      <c r="E7" s="321"/>
      <c r="F7" s="321"/>
      <c r="G7" s="321"/>
      <c r="H7" s="321"/>
      <c r="I7" s="321"/>
      <c r="J7" s="321"/>
      <c r="K7" s="321"/>
      <c r="L7" s="322"/>
      <c r="M7" s="322"/>
      <c r="N7" s="323"/>
    </row>
    <row r="8" spans="1:14" s="324" customFormat="1" ht="21" customHeight="1">
      <c r="A8" s="320"/>
      <c r="B8" s="704" t="s">
        <v>0</v>
      </c>
      <c r="C8" s="704"/>
      <c r="D8" s="704"/>
      <c r="E8" s="704"/>
      <c r="F8" s="704"/>
      <c r="G8" s="704"/>
      <c r="H8" s="704"/>
      <c r="I8" s="704"/>
      <c r="J8" s="704"/>
      <c r="K8" s="704"/>
      <c r="L8" s="704"/>
      <c r="M8" s="704"/>
      <c r="N8" s="704"/>
    </row>
    <row r="9" spans="1:14" s="324" customFormat="1" ht="3.75" customHeight="1">
      <c r="A9" s="320"/>
      <c r="B9" s="321"/>
      <c r="C9" s="321"/>
      <c r="D9" s="321"/>
      <c r="E9" s="321"/>
      <c r="F9" s="321"/>
      <c r="G9" s="321"/>
      <c r="H9" s="321"/>
      <c r="I9" s="321"/>
      <c r="J9" s="321"/>
      <c r="K9" s="321"/>
      <c r="L9" s="322"/>
      <c r="M9" s="322"/>
      <c r="N9" s="323"/>
    </row>
    <row r="10" spans="1:14" s="327" customFormat="1" ht="25.5" customHeight="1">
      <c r="A10" s="325"/>
      <c r="B10" s="705" t="s">
        <v>1</v>
      </c>
      <c r="C10" s="705"/>
      <c r="D10" s="706" t="s">
        <v>314</v>
      </c>
      <c r="E10" s="706"/>
      <c r="F10" s="706"/>
      <c r="G10" s="706"/>
      <c r="H10" s="326"/>
      <c r="I10" s="706" t="s">
        <v>315</v>
      </c>
      <c r="J10" s="706"/>
      <c r="K10" s="706"/>
      <c r="L10" s="706"/>
      <c r="M10" s="706"/>
      <c r="N10" s="706"/>
    </row>
    <row r="11" spans="1:14" s="327" customFormat="1" ht="28.5" customHeight="1">
      <c r="A11" s="325"/>
      <c r="B11" s="328" t="s">
        <v>2</v>
      </c>
      <c r="C11" s="329"/>
      <c r="D11" s="707" t="str">
        <f>IF(ISBLANK(Financiamiento!C9),"",(Financiamiento!C9))</f>
        <v>La diferencia entre el presupuesto aprobado y desembolsos recibidos, se debe a que el fondo global para efectos de realizar el desembolso del P3, desconto el saldo de caja al 31 de diciembre de 2014, y sumo los compromisos pendientes para el año 2015. </v>
      </c>
      <c r="E11" s="707"/>
      <c r="F11" s="707"/>
      <c r="G11" s="707"/>
      <c r="H11" s="330"/>
      <c r="I11" s="711"/>
      <c r="J11" s="711"/>
      <c r="K11" s="711"/>
      <c r="L11" s="711"/>
      <c r="M11" s="711"/>
      <c r="N11" s="711"/>
    </row>
    <row r="12" spans="1:14" s="327" customFormat="1" ht="27.75" customHeight="1">
      <c r="A12" s="325"/>
      <c r="B12" s="331" t="s">
        <v>3</v>
      </c>
      <c r="C12" s="332"/>
      <c r="D12" s="707" t="str">
        <f>IF(ISBLANK(Financiamiento!C24),"",(Financiamiento!C24))</f>
        <v>La diferencia entre el presupuesto y los gastos acumulados se debe principalmente a que al cierre del año 2014 se presentaron economías en algunas lineas presupuestarias, (algunas de las cuales fue solicitada su reprogramación) adicionalmente para el periodo (P3) de este informe, se tiene presupuestada la compra de productos de salud, la cual se encontraba en proceso de compra al cierre de este informe.</v>
      </c>
      <c r="E12" s="707"/>
      <c r="F12" s="707"/>
      <c r="G12" s="707"/>
      <c r="H12" s="330"/>
      <c r="I12" s="712"/>
      <c r="J12" s="712"/>
      <c r="K12" s="712"/>
      <c r="L12" s="712"/>
      <c r="M12" s="712"/>
      <c r="N12" s="712"/>
    </row>
    <row r="13" spans="1:14" s="327" customFormat="1" ht="26.25" customHeight="1">
      <c r="A13" s="325"/>
      <c r="B13" s="331" t="s">
        <v>4</v>
      </c>
      <c r="C13" s="332"/>
      <c r="D13" s="707" t="str">
        <f>IF(ISBLANK(Financiamiento!I9),"",(Financiamiento!I9))</f>
        <v>La variación entre los desembolsos efectuados por el Fondo Mundial y los gastos del RP+ desembolsos a SR, se debe principalmente a compras en proceso que el RP no logro realizar en el P3. 
La variacion entre los desembolsos a SR y los gastos ejecutados por ellos, se debe principalmente a la recalendarización de actividades asi como, a la contratación tardia de recursos humanos en algunos SR, que no permitieron la ejecucion total del desembolso asignado.</v>
      </c>
      <c r="E13" s="707"/>
      <c r="F13" s="707"/>
      <c r="G13" s="707"/>
      <c r="H13" s="330"/>
      <c r="I13" s="708"/>
      <c r="J13" s="708"/>
      <c r="K13" s="708"/>
      <c r="L13" s="708"/>
      <c r="M13" s="708"/>
      <c r="N13" s="708"/>
    </row>
    <row r="14" spans="1:14" s="327" customFormat="1" ht="28.5" customHeight="1">
      <c r="A14" s="325"/>
      <c r="B14" s="333" t="s">
        <v>5</v>
      </c>
      <c r="C14" s="334"/>
      <c r="D14" s="709" t="str">
        <f>IF(ISBLANK(Financiamiento!I24),"",(Financiamiento!I24))</f>
        <v>A solicitud del Fondo Mundial, se presento informe PU el 31 de julio de 2015 (nueva fecha limite), sin embargo, éste fue observado, por lo que se presentó corregido el dia 12 de agosto de 2015.</v>
      </c>
      <c r="E14" s="709"/>
      <c r="F14" s="709"/>
      <c r="G14" s="709"/>
      <c r="H14" s="330"/>
      <c r="I14" s="710"/>
      <c r="J14" s="710"/>
      <c r="K14" s="710"/>
      <c r="L14" s="710"/>
      <c r="M14" s="710"/>
      <c r="N14" s="710"/>
    </row>
    <row r="15" spans="1:15" s="327" customFormat="1" ht="4.5" customHeight="1">
      <c r="A15" s="325"/>
      <c r="B15" s="335"/>
      <c r="C15" s="336"/>
      <c r="D15" s="337"/>
      <c r="E15" s="337"/>
      <c r="F15" s="337"/>
      <c r="G15" s="337"/>
      <c r="H15" s="330"/>
      <c r="I15" s="338"/>
      <c r="J15" s="338"/>
      <c r="K15" s="338"/>
      <c r="L15" s="338"/>
      <c r="M15" s="338"/>
      <c r="N15" s="338"/>
      <c r="O15" s="339"/>
    </row>
    <row r="16" spans="1:14" s="324" customFormat="1" ht="21" customHeight="1">
      <c r="A16" s="320"/>
      <c r="B16" s="704" t="s">
        <v>6</v>
      </c>
      <c r="C16" s="704"/>
      <c r="D16" s="704"/>
      <c r="E16" s="704"/>
      <c r="F16" s="704"/>
      <c r="G16" s="704"/>
      <c r="H16" s="704"/>
      <c r="I16" s="704"/>
      <c r="J16" s="704"/>
      <c r="K16" s="704"/>
      <c r="L16" s="704"/>
      <c r="M16" s="704"/>
      <c r="N16" s="704"/>
    </row>
    <row r="17" spans="1:14" s="327" customFormat="1" ht="3.75" customHeight="1">
      <c r="A17" s="325"/>
      <c r="B17" s="340"/>
      <c r="C17" s="341"/>
      <c r="D17" s="342"/>
      <c r="E17" s="343"/>
      <c r="F17" s="344"/>
      <c r="G17" s="344"/>
      <c r="H17" s="345"/>
      <c r="I17" s="346"/>
      <c r="J17" s="347"/>
      <c r="K17" s="348"/>
      <c r="L17" s="349"/>
      <c r="M17" s="350"/>
      <c r="N17" s="351"/>
    </row>
    <row r="18" spans="1:14" s="327" customFormat="1" ht="22.5" customHeight="1">
      <c r="A18" s="325"/>
      <c r="B18" s="717" t="s">
        <v>313</v>
      </c>
      <c r="C18" s="717"/>
      <c r="D18" s="718" t="s">
        <v>314</v>
      </c>
      <c r="E18" s="718"/>
      <c r="F18" s="718"/>
      <c r="G18" s="718"/>
      <c r="H18" s="326"/>
      <c r="I18" s="719" t="s">
        <v>315</v>
      </c>
      <c r="J18" s="719"/>
      <c r="K18" s="719"/>
      <c r="L18" s="719"/>
      <c r="M18" s="719"/>
      <c r="N18" s="719"/>
    </row>
    <row r="19" spans="1:14" s="327" customFormat="1" ht="21.75" customHeight="1">
      <c r="A19" s="325"/>
      <c r="B19" s="352" t="s">
        <v>316</v>
      </c>
      <c r="C19" s="353"/>
      <c r="D19" s="713" t="str">
        <f>IF(ISBLANK(Gestión!C8),"",(Gestión!C8))</f>
        <v>No existieron condiciones precedentes</v>
      </c>
      <c r="E19" s="713"/>
      <c r="F19" s="713"/>
      <c r="G19" s="713"/>
      <c r="H19" s="354"/>
      <c r="I19" s="714"/>
      <c r="J19" s="714"/>
      <c r="K19" s="714"/>
      <c r="L19" s="714"/>
      <c r="M19" s="714"/>
      <c r="N19" s="714"/>
    </row>
    <row r="20" spans="1:15" ht="24.75" customHeight="1">
      <c r="A20" s="317"/>
      <c r="B20" s="355" t="s">
        <v>317</v>
      </c>
      <c r="C20" s="356"/>
      <c r="D20" s="715" t="str">
        <f>IF(ISBLANK(Gestión!I8),"",(Gestión!I8))</f>
        <v>Los recursos estan contratados desde el primer semestre</v>
      </c>
      <c r="E20" s="715" t="e">
        <f>+'Introducción de datos'!D76/'Introducción de datos'!G76</f>
        <v>#DIV/0!</v>
      </c>
      <c r="F20" s="715" t="e">
        <f>+('Introducción de datos'!E76+'Introducción de datos'!F76)/'Introducción de datos'!G76</f>
        <v>#DIV/0!</v>
      </c>
      <c r="G20" s="715"/>
      <c r="H20" s="354"/>
      <c r="I20" s="716"/>
      <c r="J20" s="716"/>
      <c r="K20" s="716"/>
      <c r="L20" s="716"/>
      <c r="M20" s="716"/>
      <c r="N20" s="716"/>
      <c r="O20" s="357"/>
    </row>
    <row r="21" spans="1:15" ht="29.25" customHeight="1">
      <c r="A21" s="317"/>
      <c r="B21" s="358" t="s">
        <v>7</v>
      </c>
      <c r="C21" s="356"/>
      <c r="D21" s="715" t="str">
        <f>IF(ISBLANK(Gestión!C16),"",(Gestión!C16))</f>
        <v>10 subreceptores contratados , 6 contratos fueron firmados en el primer semestre y el resto corresponden al segundo semestre.</v>
      </c>
      <c r="E21" s="715"/>
      <c r="F21" s="715"/>
      <c r="G21" s="715"/>
      <c r="H21" s="354"/>
      <c r="I21" s="716"/>
      <c r="J21" s="716"/>
      <c r="K21" s="716"/>
      <c r="L21" s="716"/>
      <c r="M21" s="716"/>
      <c r="N21" s="716"/>
      <c r="O21" s="357"/>
    </row>
    <row r="22" spans="1:15" ht="26.25" customHeight="1">
      <c r="A22" s="317"/>
      <c r="B22" s="358" t="s">
        <v>8</v>
      </c>
      <c r="C22" s="356"/>
      <c r="D22" s="715" t="str">
        <f>IF(ISBLANK(Gestión!I16),"",(Gestión!I16))</f>
        <v>Los 10 SR presentaron sus informes de ejecucion técnica y financiera, correspondiente al segundo semestre.</v>
      </c>
      <c r="E22" s="715"/>
      <c r="F22" s="715"/>
      <c r="G22" s="715"/>
      <c r="H22" s="354"/>
      <c r="I22" s="716"/>
      <c r="J22" s="716"/>
      <c r="K22" s="716"/>
      <c r="L22" s="716"/>
      <c r="M22" s="716"/>
      <c r="N22" s="716"/>
      <c r="O22" s="357"/>
    </row>
    <row r="23" spans="1:15" ht="24.75" customHeight="1">
      <c r="A23" s="317"/>
      <c r="B23" s="358" t="s">
        <v>9</v>
      </c>
      <c r="C23" s="356"/>
      <c r="D23" s="715" t="str">
        <f>IF(ISBLANK(Gestión!C27),"",(Gestión!C27))</f>
        <v>La adquisicion de producto de salud es realizada a traves de PNUD, con fondos NMF, hasta este el P4 Plan estara realizando compras.</v>
      </c>
      <c r="E23" s="715"/>
      <c r="F23" s="715"/>
      <c r="G23" s="715"/>
      <c r="H23" s="354"/>
      <c r="I23" s="716"/>
      <c r="J23" s="716"/>
      <c r="K23" s="716"/>
      <c r="L23" s="716"/>
      <c r="M23" s="716"/>
      <c r="N23" s="716"/>
      <c r="O23" s="357"/>
    </row>
    <row r="24" spans="1:15" ht="27" customHeight="1">
      <c r="A24" s="317"/>
      <c r="B24" s="359" t="s">
        <v>10</v>
      </c>
      <c r="C24" s="360"/>
      <c r="D24" s="720" t="str">
        <f>IF(ISBLANK(Gestión!I27),"",(Gestión!I27))</f>
        <v>Si bien es cierto las cifras presentan riesgo, a esta fecha se han eliminado, debido a que ya las compras de insumos estaban en transito y estas por recibirse</v>
      </c>
      <c r="E24" s="720"/>
      <c r="F24" s="720"/>
      <c r="G24" s="720"/>
      <c r="H24" s="354"/>
      <c r="I24" s="721"/>
      <c r="J24" s="721"/>
      <c r="K24" s="721"/>
      <c r="L24" s="721"/>
      <c r="M24" s="721"/>
      <c r="N24" s="721"/>
      <c r="O24" s="357"/>
    </row>
    <row r="25" spans="1:15" ht="4.5" customHeight="1">
      <c r="A25" s="320"/>
      <c r="B25" s="361"/>
      <c r="C25" s="362"/>
      <c r="D25" s="363"/>
      <c r="E25" s="364"/>
      <c r="F25" s="365"/>
      <c r="G25" s="365"/>
      <c r="H25" s="326"/>
      <c r="I25" s="364"/>
      <c r="J25" s="366"/>
      <c r="K25" s="348"/>
      <c r="L25" s="349"/>
      <c r="M25" s="350"/>
      <c r="N25" s="351"/>
      <c r="O25" s="357"/>
    </row>
    <row r="26" spans="1:14" s="324" customFormat="1" ht="21" customHeight="1">
      <c r="A26" s="320"/>
      <c r="B26" s="704" t="s">
        <v>11</v>
      </c>
      <c r="C26" s="704"/>
      <c r="D26" s="704"/>
      <c r="E26" s="704"/>
      <c r="F26" s="704"/>
      <c r="G26" s="704"/>
      <c r="H26" s="704"/>
      <c r="I26" s="704"/>
      <c r="J26" s="704"/>
      <c r="K26" s="704"/>
      <c r="L26" s="704"/>
      <c r="M26" s="704"/>
      <c r="N26" s="704"/>
    </row>
    <row r="27" spans="1:15" ht="3.75" customHeight="1">
      <c r="A27" s="320"/>
      <c r="B27" s="361"/>
      <c r="C27" s="362"/>
      <c r="D27" s="363"/>
      <c r="E27" s="364"/>
      <c r="F27" s="365"/>
      <c r="G27" s="365"/>
      <c r="H27" s="326"/>
      <c r="I27" s="364"/>
      <c r="J27" s="366"/>
      <c r="K27" s="348"/>
      <c r="L27" s="349"/>
      <c r="M27" s="350"/>
      <c r="N27" s="351"/>
      <c r="O27" s="357"/>
    </row>
    <row r="28" spans="1:15" ht="21.75" customHeight="1">
      <c r="A28" s="317"/>
      <c r="B28" s="726" t="s">
        <v>12</v>
      </c>
      <c r="C28" s="726"/>
      <c r="D28" s="727" t="s">
        <v>314</v>
      </c>
      <c r="E28" s="727"/>
      <c r="F28" s="727"/>
      <c r="G28" s="727"/>
      <c r="H28" s="326"/>
      <c r="I28" s="727" t="s">
        <v>315</v>
      </c>
      <c r="J28" s="727"/>
      <c r="K28" s="727"/>
      <c r="L28" s="727"/>
      <c r="M28" s="727"/>
      <c r="N28" s="727"/>
      <c r="O28" s="357"/>
    </row>
    <row r="29" spans="1:15" ht="29.25" customHeight="1">
      <c r="A29" s="317"/>
      <c r="B29" s="367" t="s">
        <v>13</v>
      </c>
      <c r="C29" s="368"/>
      <c r="D29" s="722" t="str">
        <f>IF(ISBLANK(Programatico!C9),"",(Programatico!C9))</f>
        <v>El porcentaje reportado indica el acumulado del año 2 y corresponde a las personas HSH que han participado en los componentes del paquete básico, de acuerdo con  el desarrollo de la metodologia de prevencion combinada.</v>
      </c>
      <c r="E29" s="722"/>
      <c r="F29" s="722"/>
      <c r="G29" s="722"/>
      <c r="H29" s="354"/>
      <c r="I29" s="723"/>
      <c r="J29" s="723"/>
      <c r="K29" s="723"/>
      <c r="L29" s="723"/>
      <c r="M29" s="723"/>
      <c r="N29" s="723"/>
      <c r="O29" s="357"/>
    </row>
    <row r="30" spans="1:15" ht="21.75" customHeight="1">
      <c r="A30" s="317"/>
      <c r="B30" s="369" t="s">
        <v>14</v>
      </c>
      <c r="C30" s="370"/>
      <c r="D30" s="724" t="str">
        <f>IF(ISBLANK(Programatico!G9),"",(Programatico!G9))</f>
        <v>El porcentaje reportado indica el acumulado del año 2 y corresponde a las personas TS que han participado en los componentes del paquete básico, de acuerdo con  el desarrollo de la metodologia de prevencion combinada. </v>
      </c>
      <c r="E30" s="724"/>
      <c r="F30" s="724"/>
      <c r="G30" s="724"/>
      <c r="H30" s="354"/>
      <c r="I30" s="725"/>
      <c r="J30" s="725"/>
      <c r="K30" s="725"/>
      <c r="L30" s="725"/>
      <c r="M30" s="725"/>
      <c r="N30" s="725"/>
      <c r="O30" s="357"/>
    </row>
    <row r="31" spans="1:15" ht="21.75" customHeight="1">
      <c r="A31" s="317"/>
      <c r="B31" s="369" t="s">
        <v>15</v>
      </c>
      <c r="C31" s="370"/>
      <c r="D31" s="724" t="str">
        <f>IF(ISBLANK(Programatico!M9),"",(Programatico!M9))</f>
        <v>El porcentaje reportado indica el acumulado del año 2 y corresponde a las personas TRANS que han participado en los componentes del paquete básico, de acuerdo con  el desarrollo de la metodologia de prevencion combinada.</v>
      </c>
      <c r="E31" s="724"/>
      <c r="F31" s="724"/>
      <c r="G31" s="724"/>
      <c r="H31" s="354"/>
      <c r="I31" s="725"/>
      <c r="J31" s="725"/>
      <c r="K31" s="725"/>
      <c r="L31" s="725"/>
      <c r="M31" s="725"/>
      <c r="N31" s="725"/>
      <c r="O31" s="357"/>
    </row>
    <row r="32" spans="1:15" ht="21.75" customHeight="1">
      <c r="A32" s="317"/>
      <c r="B32" s="371" t="s">
        <v>16</v>
      </c>
      <c r="C32" s="370"/>
      <c r="D32" s="728" t="str">
        <f>IF(ISBLANK(Programatico!L20),"",(Programatico!L20))</f>
        <v>El progreso alcanzado durante el  primer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HSH y así lograr un número mayor de intervenciones. 
Para este semestre las actividades  se focalizarón en acciones dentro de  zonas geográficas  de concentracion de  población  HSH que fueron identificadas por los diferentes SR´s, lo que permitio  alcanzar de manera efectiva el cumplimeinto de la meta.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La promoción de actividades del componente complementario contribuyo grandemente al cierre de ciclos del paquete basico, al servir de enlace para que la población HSH asistiese a las  actividades. Esto a su vez incremento de manera significativa el número de actividades dentro del componente complementario. 
Tambien en este periodo se desarrolllaron otras actividades de cambio de comportamiento con los usuarios alcanzados en el año 1, los cuales fueron registrados como seguimiento. La meta de seguimientos para el periodo 3 (primer periodo en que se realizan seguimientos) corresponde a 1947 personas en seguimiento. Debido a que la meta alcanzada el año 1 supero la meta de personas alcanzadas con ciclo cerrado y CUI (4128 correspondiendo a un 106%) la meta de seguimientos se incremento para el año 2, para el periodo 3 se tienen una meta de 2064 . Actualmente se han registrado en seguimiento 1618 personas de las cuales 249 han cerrado un nuevo ciclo. </v>
      </c>
      <c r="E32" s="728"/>
      <c r="F32" s="728"/>
      <c r="G32" s="728"/>
      <c r="H32" s="354"/>
      <c r="I32" s="725"/>
      <c r="J32" s="725"/>
      <c r="K32" s="725"/>
      <c r="L32" s="725"/>
      <c r="M32" s="725"/>
      <c r="N32" s="725"/>
      <c r="O32" s="357"/>
    </row>
    <row r="33" spans="1:15" ht="27" customHeight="1">
      <c r="A33" s="317"/>
      <c r="B33" s="371" t="s">
        <v>17</v>
      </c>
      <c r="C33" s="370"/>
      <c r="D33" s="728" t="str">
        <f>IF(ISBLANK(Programatico!L21),"",(Programatico!L21))</f>
        <v>El progreso alcanzado durante el  primer semestre del año 2015 permitió lograr las metas programáticas previstas   de acuerdo a los planes de trabajo  implementados por los socios de prevencion , los cuales incluyeron   el cierre de  ciclos de las personas con CUIs que se registraron en el sistema SIGPRO durante el segundo semestre del año 1 . Las actividades desarrolladas como parte de los planes operativos anuales  se enfocaron en: 
1- Actividades de cambio de comportamiento
2- La entrega de insumos exclusivamente en actividades educativas    y  en la cantidad requerida.
3- Referencias a pruebas de VIH
Ademas dentro de estas acciones se realizaron  actividades de autocuido y  talleres especificos donde  se oferto prueba rápida oral  de VIH con pre y post consejería (En coordinación con las clínicas VICITS), promoviendo actividades que permitieron la concentración de la población TSF y así lograr un número mayor de intervenciones. 
Para este semestre las actividades  se focalizarón en acciones dentro de  zonas geográficas  de concentracion de  población TSF que fueron identificadas por los diferentes SR´s, lo que permitio  alcanzar de manera efectiva el cumplimeinto de la meta.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La promoción de actividades del componente complementario contribuyo grandemente al cierre de ciclos del paquete basico, al servir de enlace para que la población TSF asistiese a las  actividades. Esto a su vez incremento de manera significativa el número de actividades dentro del componente complementario.
Tambien en este periodo se desarrolllaron otras actividades de cambio de comportamiento con las usuarias alcanzadas en el año 1, las cuales fueron registradas como seguimiento. La meta de seguimientos para el periodo 3 (primer periodo en que se realizan seguimientos) corresponde a 1,464 personas en seguimiento. Debido a que la meta alcanzada el año 1 supero la meta de personas alcanzadas con ciclo cerrado y CUI (2,962 correspondiendo a un 101%) la meta de seguimientos se incremento para el año 2, para el periodo 3 se tienen una meta de 1,481 (Ver achivo anexo de Analisis de metas de seguimiento). Actualmente se han registrado en seguimiento 1122 personas de las cuales 339 han cerrado un nuevo ciclo. </v>
      </c>
      <c r="E33" s="728"/>
      <c r="F33" s="728"/>
      <c r="G33" s="728"/>
      <c r="H33" s="354"/>
      <c r="I33" s="725"/>
      <c r="J33" s="725"/>
      <c r="K33" s="725"/>
      <c r="L33" s="725"/>
      <c r="M33" s="725"/>
      <c r="N33" s="725"/>
      <c r="O33" s="357"/>
    </row>
    <row r="34" spans="1:15" ht="21.75" customHeight="1">
      <c r="A34" s="317"/>
      <c r="B34" s="371" t="s">
        <v>18</v>
      </c>
      <c r="C34" s="370"/>
      <c r="D34" s="728" t="str">
        <f>IF(ISBLANK(Programatico!L22),"",(Programatico!L22))</f>
        <v>El progreso alcanzado durante el primer  semestre del año 2015 permitió alcanzar las metas programáticas correspondientes a este período . Esto se debió a la implementación de las actividades previstas dentro de los planes operativos anuales, que fueron elaborados en conjunto con cada organización sub receptora.  Dentro de  estas acciones se realizaron  actividades de:
1- Actividades de cambio de comportamiento.
2-  La entrega de insumos exclusivamente en actividades educativas    y  en la cantidad requerida.
3- Referencia a pruebas de VIH a traves de las Clinicas VICITS. 
4- Ademas dentro de estas acciones se realizaron actividades de autocuido, dias de formacion comunitaria, Barridos de zona.
La  coordinación efectiva  del RP Plan  con el nivel central ( Gerencia Programa Clinicas VICITS , Sub-comision nacional de Monitoreo y Evaluacion, Laboratorio Nacional de referencia ) y con el nivel local ( Equipo multidisciplinario de clincias VICITS)  permitio  el desarrollo del plan de acción  para fortalecer la promocion de los diferentes servicios de las clinicas VICITS, asi como las referencia de los usuarios desde los CCPI a estas   Clinicas.
Tambien en este periodo se desarrolllaron otras actividades de cambio de comportamiento con las usuarias alcanzadas en el año 1, las cuales fueron registradas como seguimiento. La meta de seguimientos para el periodo 3 (primer periodo en que se realizan seguimientos) corresponde a 276 personas en seguimiento. Debido a que la meta alcanzada el año 1 supero la meta de personas alcanzadas con ciclo cerrado y CUI (558 correspondiendo a un 101%) la meta de seguimientos se incremento para el año 2, para el periodo 3 se tienen una meta de 279 (Ver achivo anexo de Analisis de metas de seguimiento). Actualmente se han registrado en seguimiento 257 personas de las cuales 23 han cerrado un nuevo ciclo.
El cumplimiento de las metas fue particularmente  dificil en este semestre  para esta población debido a la violencia concentrada  hacia las mujeres  TRANS. En este periodo asesinaron de manera violenta y en circunstancias muy poco  precisas a la responsable del CCPI  de mujeres Trans en Santa Ana: Francella Méndez,  lo que impacto de manera muy particular a la poblacion; por este mismo tema de violencia  muchas mujeres Trans decidieron migrar  de manera ilegal  por miedo a la situacion,  a la impunidad de los asesinatos y otros hechos de violencia en contra de las mujeres TRANS.</v>
      </c>
      <c r="E34" s="728"/>
      <c r="F34" s="728"/>
      <c r="G34" s="728"/>
      <c r="H34" s="354"/>
      <c r="I34" s="725"/>
      <c r="J34" s="725"/>
      <c r="K34" s="725"/>
      <c r="L34" s="725"/>
      <c r="M34" s="725"/>
      <c r="N34" s="725"/>
      <c r="O34" s="357"/>
    </row>
    <row r="35" spans="1:15" ht="21.75" customHeight="1">
      <c r="A35" s="317"/>
      <c r="B35" s="371" t="s">
        <v>19</v>
      </c>
      <c r="C35" s="372"/>
      <c r="D35" s="728" t="str">
        <f>IF(ISBLANK(Programatico!L23),"",(Programatico!L23))</f>
        <v>Tal como en el semestre pasado la promoción de actividades del componente complementario contribuyó grandemente al cierre de los ciclos de prevención al servir de enlace para que la población HSH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por organizaciones o intituciones con las que PASMO realizo alianzas estrategicas para el desarrollo de este componente. En el caso de este proyecto la mayoría de actividades para el componente complementario se da en los CCPI aumentando la oferta de actividades y diversificando sus temas. 
Cada organización sub receptora implemento diferentes estrategias que generaron un aumento en la demanda y la oferta para el paquete complementario. PASMO continuó implementando la metodología llamada  "Lo que hablamos los hombres" que busca generar autoreflexión y demanda a servicios complementarios en la población. Los Sicologos contratados por la Asociacion Entre amigos siguieron atendiendo la demanda de los usuarios en temas como alcohol,drogas y  autoestima. Adicionalmente con el proyecto " Centroamerica Diferente"  que cuenta con el apoyo de un abogado, un sociologo y un trabajador social, quienes  brindan servicios de asesoria legal y proteccion social. Ademas en este semestre la organizacion "Asociacion Entre Amigos" implemento como estrategia la focalizacion de actividades dirigidas en areas geográficas de concentracion  HSH, lo cual permitió mayor alcance de la poblacion y facilitó la oferta de paquetes complementarios. Ademas esta focalizacion permitió establecer coordinaciones con otras organizaciones socias (TRANS) realizando referencias cruzadas( De las organizaciones de población TRANS a las de HSH y viceversa) al momento de  identificar a las poblaciones; estas acciones permitieron aumentar no solamente el numero de referencia a paquetes complementarios, si no tambien el de paquetes basicos.
Atravez de los talleres de autocuido FUNDASIDA continuo logrando la concentracion de usuarios para generar  demanda en atención psicologica para la  población HSH. </v>
      </c>
      <c r="E35" s="728"/>
      <c r="F35" s="728"/>
      <c r="G35" s="728"/>
      <c r="H35" s="354"/>
      <c r="I35" s="725"/>
      <c r="J35" s="725"/>
      <c r="K35" s="725"/>
      <c r="L35" s="725"/>
      <c r="M35" s="725"/>
      <c r="N35" s="725"/>
      <c r="O35" s="357"/>
    </row>
    <row r="36" spans="1:15" ht="21.75" customHeight="1">
      <c r="A36" s="317"/>
      <c r="B36" s="371" t="s">
        <v>20</v>
      </c>
      <c r="C36" s="372"/>
      <c r="D36" s="728" t="str">
        <f>IF(ISBLANK(Programatico!L24),"",(Programatico!L24))</f>
        <v>Tal como en el semestre pasado la promoción de actividades del componente complementario contribuyó grandemente al cierre de ciclos de prevención al servir de enlace para que la población TSF asistiese a actividades de prevención. Esto a su vez incrementó de manera significativa el número de actividades dentro del componente complementario.
Las proyecciones estimadas para la formulación de las metas de este indicador tomaron como referencia los datos historicos de PASMO con respecto al componente complementario. Estas actividades fueron realizadas con organizacones o intituciones con las que PASMO realizo alianzas estrategicas para el desarrollo de este componente. En el caso de este proyecto la mayoría de actividades para el componente complementario se da en los CCPI aumentando la oferta de actividades y diversificando sus temas.
 Durante este periodo se han reportado  un porcentaje significativamente  alto de  servicios complementarios, estos servicios  son demandados pero también responden a la oferta que los CCPI han  brindado.
 Estas actividades fueron realizadas en coordinacion con organizaciones o instituciones( PDDH, MINSAL, Fiscalia General de la República) con las que los SR  mantienen alianzas estratégicas para el desarrollo de este componente.
Cada organización sub receptora  implemento diferentes estrategias que generaron un aumento en la demanda y la oferta para el paquete complementario. Por su parte Oquídeas del Mar continuó implementando su plan de alfabetización dirigido a usuarias a traves de la estrategia de  casas abiertas, la cual consistia en actividades dentro de los CCPI con la colaboaracion de las supervisoras quienes brindaron acompañamiento en este proceso. 
Dentro del paquete complementario relacionado a derechos humanos, se brindo acompañamiento y asesoria legal a TSF sin identidad ( Tramitacion de Documento Unico de identidad, Partidas de nacimiento) y en algunos casos asesoria migratoria en el caso de TSF extranjeras.
PASMO continuó implementando  metodología llamada "Entre Nosotras" para generar demanda a servicios complementarios por parte de la población.</v>
      </c>
      <c r="E36" s="728"/>
      <c r="F36" s="728"/>
      <c r="G36" s="728"/>
      <c r="H36" s="354"/>
      <c r="I36" s="725"/>
      <c r="J36" s="725"/>
      <c r="K36" s="725"/>
      <c r="L36" s="725"/>
      <c r="M36" s="725"/>
      <c r="N36" s="725"/>
      <c r="O36" s="357"/>
    </row>
    <row r="37" spans="1:15" ht="21.75" customHeight="1">
      <c r="A37" s="317"/>
      <c r="B37" s="371" t="s">
        <v>21</v>
      </c>
      <c r="C37" s="372"/>
      <c r="D37" s="728" t="str">
        <f>IF(ISBLANK(Programatico!L25),"",(Programatico!L25))</f>
        <v>El desempeño de este semestre ha disminuido drasticamente en comparacion al periodo anterior, particularmente debido a la violencia ejercida hacia la población  Trans. Muchas de las actividades planificadas  para alcanzar la meta de este indicador no  se pudieron realizar, por la  inseguridad, la cantidad de  casos de violencia  ejercida escificamente a ellas por su expresión de genero y la impunidad  al resolver  los crímenes de odio. Esto provoco que muchas de ellas no se quisieran reunir ni en lugares públicos ni en el CCPI por temor a ser señaladas y agredidas.
Aún cuando se convocó y se obtuvo confirmación de las participantes, no se pudieron realizar debido actividades complementarias debido a la falta de asistentes. Al contactarlas nuevamente afirmaron que no asistieron a las actividades debido al temor a la violencia existentes en el país.
 En el caso de este proyecto la mayoría de actividades para el componente complementario se da en los CCPI, y debido a que muchas mujeres Trans tienen temor a trasladarse en horarios diurnos por distintas zonas de centro de San Salvador, debido al accionar de las maras (pandillas y grupos armados), el numero de asistentes a actividades complementarias se vio reducido considerablemente.
Cada organización sub receptora implemento diferentes estrategias que tenían la intención de generar un aumento en la demanda y la oferta para el paquete complementario, por los motivos mensionados anteriormente. Aun con estas medidas los resultados fuerón modestos.  Por su parte ASPIDH contrató los servicios de un endocrinólogo para ofrecer talleres sobre hormonización y gestionó la participación de la PDDH para brindar asesoría en  prevención de violencia . Colectivo Alejandría coordinó talleres con Ciudad Mujer para diversos temas de asistencia psicológica,  además de  generar espacios de incidencia política  para la promulgación de la ley de identidad. 
</v>
      </c>
      <c r="E37" s="728"/>
      <c r="F37" s="728"/>
      <c r="G37" s="728"/>
      <c r="H37" s="354"/>
      <c r="I37" s="725"/>
      <c r="J37" s="725"/>
      <c r="K37" s="725"/>
      <c r="L37" s="725"/>
      <c r="M37" s="725"/>
      <c r="N37" s="725"/>
      <c r="O37" s="357"/>
    </row>
    <row r="38" spans="1:15" ht="21.75" customHeight="1">
      <c r="A38" s="317"/>
      <c r="B38" s="371" t="s">
        <v>22</v>
      </c>
      <c r="C38" s="372"/>
      <c r="D38" s="728" t="str">
        <f>IF(ISBLANK(Programatico!L26),"",(Programatico!L26))</f>
        <v>Según el  estudio de Normalizacion de Estimacion de Prevalencia considerando riesgos Relativos de VIH l (elaborado por Tephinet) el porcentaje de Poblacion Transgenero infectada por el VIH es de 16.6%, este dato fue validado por el Programa Nacional de VIH y reportado en el informe del semestre 3 al FM.</v>
      </c>
      <c r="E38" s="728"/>
      <c r="F38" s="728"/>
      <c r="G38" s="728"/>
      <c r="H38" s="354"/>
      <c r="I38" s="725"/>
      <c r="J38" s="725"/>
      <c r="K38" s="725"/>
      <c r="L38" s="725"/>
      <c r="M38" s="725"/>
      <c r="N38" s="725"/>
      <c r="O38" s="357"/>
    </row>
    <row r="39" spans="1:15" ht="21.75" customHeight="1">
      <c r="A39" s="317"/>
      <c r="B39" s="371" t="s">
        <v>23</v>
      </c>
      <c r="C39" s="372"/>
      <c r="D39" s="728" t="e">
        <f>IF(ISBLANK(Programatico!#REF!),"",(Programatico!#REF!))</f>
        <v>#REF!</v>
      </c>
      <c r="E39" s="728"/>
      <c r="F39" s="728"/>
      <c r="G39" s="728"/>
      <c r="H39" s="354"/>
      <c r="I39" s="725"/>
      <c r="J39" s="725"/>
      <c r="K39" s="725"/>
      <c r="L39" s="725"/>
      <c r="M39" s="725"/>
      <c r="N39" s="725"/>
      <c r="O39" s="357"/>
    </row>
    <row r="40" spans="1:15" ht="21.75" customHeight="1">
      <c r="A40" s="317"/>
      <c r="B40" s="371" t="s">
        <v>209</v>
      </c>
      <c r="C40" s="372"/>
      <c r="D40" s="728" t="e">
        <f>IF(ISBLANK(Programatico!#REF!),"",(Programatico!#REF!))</f>
        <v>#REF!</v>
      </c>
      <c r="E40" s="728"/>
      <c r="F40" s="728"/>
      <c r="G40" s="728"/>
      <c r="H40" s="354"/>
      <c r="I40" s="725"/>
      <c r="J40" s="725"/>
      <c r="K40" s="725"/>
      <c r="L40" s="725"/>
      <c r="M40" s="725"/>
      <c r="N40" s="725"/>
      <c r="O40" s="357"/>
    </row>
    <row r="41" spans="1:15" ht="21.75" customHeight="1">
      <c r="A41" s="317"/>
      <c r="B41" s="371" t="s">
        <v>210</v>
      </c>
      <c r="C41" s="373"/>
      <c r="D41" s="728" t="e">
        <f>IF(ISBLANK(Programatico!#REF!),"",(Programatico!#REF!))</f>
        <v>#REF!</v>
      </c>
      <c r="E41" s="728"/>
      <c r="F41" s="728"/>
      <c r="G41" s="728"/>
      <c r="H41" s="354"/>
      <c r="I41" s="729"/>
      <c r="J41" s="729"/>
      <c r="K41" s="729"/>
      <c r="L41" s="729"/>
      <c r="M41" s="729"/>
      <c r="N41" s="729"/>
      <c r="O41" s="357"/>
    </row>
  </sheetData>
  <sheetProtection password="CFC9" sheet="1" objects="1" scenario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E6:K6"/>
    <mergeCell ref="B8:N8"/>
    <mergeCell ref="B10:C10"/>
    <mergeCell ref="D10:G10"/>
    <mergeCell ref="I10:N10"/>
    <mergeCell ref="D13:G13"/>
    <mergeCell ref="I13:N13"/>
    <mergeCell ref="B2:N2"/>
    <mergeCell ref="C3:D3"/>
    <mergeCell ref="E3:K3"/>
    <mergeCell ref="C4:D4"/>
    <mergeCell ref="E4:K4"/>
    <mergeCell ref="E5:K5"/>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O16" sqref="O16"/>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34" t="str">
        <f>+"Cuadro de mando:  "&amp;"  "&amp;+'Introducción de datos'!C4&amp;" - "&amp;'Introducción de datos'!G6</f>
        <v>Cuadro de mando:    El Salvador - VIH / SIDA</v>
      </c>
      <c r="C2" s="634"/>
      <c r="D2" s="634"/>
      <c r="E2" s="634"/>
      <c r="F2" s="634"/>
      <c r="G2" s="634"/>
      <c r="H2" s="634"/>
      <c r="I2" s="634"/>
      <c r="J2" s="634"/>
      <c r="K2" s="634"/>
      <c r="L2" s="634"/>
    </row>
    <row r="3" spans="2:13" ht="14.25">
      <c r="B3" s="278" t="str">
        <f>+'Introducción de datos'!G8</f>
        <v>Seleccionar</v>
      </c>
      <c r="C3" s="635" t="str">
        <f>+'Introducción de datos'!I8</f>
        <v>Seleccionar</v>
      </c>
      <c r="D3" s="635"/>
      <c r="E3" s="636"/>
      <c r="F3" s="636"/>
      <c r="G3" s="636"/>
      <c r="H3" s="636"/>
      <c r="I3" s="636"/>
      <c r="J3" s="637" t="str">
        <f>+'Introducción de datos'!B16</f>
        <v>Periodo:</v>
      </c>
      <c r="K3" s="637"/>
      <c r="L3" s="296" t="str">
        <f>+'Introducción de datos'!C16</f>
        <v>P3</v>
      </c>
      <c r="M3" s="374"/>
    </row>
    <row r="4" spans="2:12" ht="14.25">
      <c r="B4" s="278" t="str">
        <f>+'Introducción de datos'!B12</f>
        <v>Ultima calificación:</v>
      </c>
      <c r="C4" s="730" t="str">
        <f>+'Introducción de datos'!C12</f>
        <v>A1</v>
      </c>
      <c r="D4" s="730"/>
      <c r="E4" s="636" t="str">
        <f>+'Introducción de datos'!C8</f>
        <v>PLAN  INTERNACIONAL</v>
      </c>
      <c r="F4" s="636"/>
      <c r="G4" s="636"/>
      <c r="H4" s="636"/>
      <c r="I4" s="636"/>
      <c r="J4" s="637" t="str">
        <f>+'Introducción de datos'!D16</f>
        <v>Desde:</v>
      </c>
      <c r="K4" s="637"/>
      <c r="L4" s="253">
        <f>+'Introducción de datos'!E16</f>
        <v>42005</v>
      </c>
    </row>
    <row r="5" spans="2:12" ht="18.75" customHeight="1">
      <c r="B5" s="278"/>
      <c r="C5" s="278"/>
      <c r="D5" s="636" t="str">
        <f>+'Introducción de datos'!G4</f>
        <v>INNOVANDO SERVICIOS, REDUCIENDO RIESGOS, RENOVANDO VIDAS EN EL SALVADOR</v>
      </c>
      <c r="E5" s="636"/>
      <c r="F5" s="636"/>
      <c r="G5" s="636"/>
      <c r="H5" s="636"/>
      <c r="I5" s="636"/>
      <c r="J5" s="636"/>
      <c r="K5" s="278" t="str">
        <f>+'Introducción de datos'!F16</f>
        <v>Hasta:</v>
      </c>
      <c r="L5" s="253">
        <f>+'Introducción de datos'!G16</f>
        <v>42185</v>
      </c>
    </row>
    <row r="6" spans="2:9" ht="18">
      <c r="B6" s="279"/>
      <c r="C6" s="278"/>
      <c r="D6" s="255"/>
      <c r="E6" s="638" t="s">
        <v>24</v>
      </c>
      <c r="F6" s="638"/>
      <c r="G6" s="638"/>
      <c r="H6" s="638"/>
      <c r="I6" s="638"/>
    </row>
    <row r="7" spans="5:9" ht="18">
      <c r="E7" s="375"/>
      <c r="F7" s="375"/>
      <c r="G7" s="375"/>
      <c r="H7" s="375"/>
      <c r="I7" s="375"/>
    </row>
    <row r="8" spans="2:12" s="324" customFormat="1" ht="21" customHeight="1">
      <c r="B8" s="376" t="s">
        <v>25</v>
      </c>
      <c r="C8" s="377"/>
      <c r="D8" s="377"/>
      <c r="E8" s="377"/>
      <c r="F8" s="377"/>
      <c r="G8" s="377"/>
      <c r="H8" s="377"/>
      <c r="I8" s="377"/>
      <c r="J8" s="377"/>
      <c r="K8" s="377"/>
      <c r="L8" s="377"/>
    </row>
    <row r="9" ht="6" customHeight="1">
      <c r="B9" s="378"/>
    </row>
    <row r="10" spans="2:12" ht="14.25">
      <c r="B10" s="735"/>
      <c r="C10" s="735"/>
      <c r="D10" s="735"/>
      <c r="E10" s="735"/>
      <c r="F10" s="735"/>
      <c r="G10" s="735"/>
      <c r="H10" s="735"/>
      <c r="I10" s="735"/>
      <c r="J10" s="735"/>
      <c r="K10" s="735"/>
      <c r="L10" s="735"/>
    </row>
    <row r="11" spans="2:12" ht="14.25">
      <c r="B11" s="735"/>
      <c r="C11" s="735"/>
      <c r="D11" s="735"/>
      <c r="E11" s="735"/>
      <c r="F11" s="735"/>
      <c r="G11" s="735"/>
      <c r="H11" s="735"/>
      <c r="I11" s="735"/>
      <c r="J11" s="735"/>
      <c r="K11" s="735"/>
      <c r="L11" s="735"/>
    </row>
    <row r="13" spans="1:12" ht="42" customHeight="1">
      <c r="A13" s="379"/>
      <c r="B13" s="736" t="s">
        <v>26</v>
      </c>
      <c r="C13" s="736"/>
      <c r="D13" s="736"/>
      <c r="E13" s="736"/>
      <c r="F13" s="380"/>
      <c r="G13" s="737" t="s">
        <v>27</v>
      </c>
      <c r="H13" s="737"/>
      <c r="I13" s="737"/>
      <c r="J13" s="381" t="s">
        <v>28</v>
      </c>
      <c r="K13" s="738" t="s">
        <v>29</v>
      </c>
      <c r="L13" s="738"/>
    </row>
    <row r="14" spans="1:12" ht="33.75" customHeight="1">
      <c r="A14" s="743" t="s">
        <v>222</v>
      </c>
      <c r="B14" s="733"/>
      <c r="C14" s="733"/>
      <c r="D14" s="733"/>
      <c r="E14" s="733"/>
      <c r="F14" s="84"/>
      <c r="G14" s="744"/>
      <c r="H14" s="744"/>
      <c r="I14" s="744"/>
      <c r="J14" s="745"/>
      <c r="K14" s="739"/>
      <c r="L14" s="739"/>
    </row>
    <row r="15" spans="1:12" ht="39" customHeight="1">
      <c r="A15" s="743"/>
      <c r="B15" s="733"/>
      <c r="C15" s="733"/>
      <c r="D15" s="733"/>
      <c r="E15" s="733"/>
      <c r="F15" s="84"/>
      <c r="G15" s="744"/>
      <c r="H15" s="744"/>
      <c r="I15" s="744"/>
      <c r="J15" s="745"/>
      <c r="K15" s="739"/>
      <c r="L15" s="739"/>
    </row>
    <row r="16" spans="1:12" ht="25.5" customHeight="1">
      <c r="A16" s="743"/>
      <c r="B16" s="733"/>
      <c r="C16" s="733"/>
      <c r="D16" s="733"/>
      <c r="E16" s="733"/>
      <c r="F16" s="84"/>
      <c r="G16" s="740"/>
      <c r="H16" s="740"/>
      <c r="I16" s="740"/>
      <c r="J16" s="741"/>
      <c r="K16" s="742"/>
      <c r="L16" s="742"/>
    </row>
    <row r="17" spans="1:12" ht="24" customHeight="1">
      <c r="A17" s="743"/>
      <c r="B17" s="733"/>
      <c r="C17" s="733"/>
      <c r="D17" s="733"/>
      <c r="E17" s="733"/>
      <c r="F17" s="84"/>
      <c r="G17" s="740"/>
      <c r="H17" s="740"/>
      <c r="I17" s="740"/>
      <c r="J17" s="741"/>
      <c r="K17" s="742"/>
      <c r="L17" s="742"/>
    </row>
    <row r="18" spans="1:12" ht="14.25">
      <c r="A18" s="743"/>
      <c r="B18" s="733"/>
      <c r="C18" s="733"/>
      <c r="D18" s="733"/>
      <c r="E18" s="733"/>
      <c r="F18" s="84"/>
      <c r="G18" s="731"/>
      <c r="H18" s="731"/>
      <c r="I18" s="731"/>
      <c r="J18" s="732"/>
      <c r="K18" s="742"/>
      <c r="L18" s="742"/>
    </row>
    <row r="19" spans="1:12" ht="30.75" customHeight="1">
      <c r="A19" s="743"/>
      <c r="B19" s="733"/>
      <c r="C19" s="733"/>
      <c r="D19" s="733"/>
      <c r="E19" s="733"/>
      <c r="F19" s="84"/>
      <c r="G19" s="731"/>
      <c r="H19" s="731"/>
      <c r="I19" s="731"/>
      <c r="J19" s="732"/>
      <c r="K19" s="732"/>
      <c r="L19" s="742"/>
    </row>
    <row r="20" spans="1:12" ht="14.25">
      <c r="A20" s="743"/>
      <c r="B20" s="733"/>
      <c r="C20" s="733"/>
      <c r="D20" s="733"/>
      <c r="E20" s="733"/>
      <c r="F20" s="84"/>
      <c r="G20" s="734"/>
      <c r="H20" s="734"/>
      <c r="I20" s="734"/>
      <c r="J20" s="732"/>
      <c r="K20" s="742"/>
      <c r="L20" s="742"/>
    </row>
    <row r="21" spans="1:12" ht="14.25">
      <c r="A21" s="743"/>
      <c r="B21" s="733"/>
      <c r="C21" s="733"/>
      <c r="D21" s="733"/>
      <c r="E21" s="733"/>
      <c r="F21" s="84"/>
      <c r="G21" s="734"/>
      <c r="H21" s="734"/>
      <c r="I21" s="734"/>
      <c r="J21" s="732"/>
      <c r="K21" s="732"/>
      <c r="L21" s="742"/>
    </row>
    <row r="22" spans="1:12" ht="14.25">
      <c r="A22" s="743"/>
      <c r="B22" s="733"/>
      <c r="C22" s="733"/>
      <c r="D22" s="733"/>
      <c r="E22" s="733"/>
      <c r="F22" s="84"/>
      <c r="G22" s="734"/>
      <c r="H22" s="734"/>
      <c r="I22" s="734"/>
      <c r="J22" s="732"/>
      <c r="K22" s="742"/>
      <c r="L22" s="742"/>
    </row>
    <row r="23" spans="1:12" ht="14.25">
      <c r="A23" s="743"/>
      <c r="B23" s="733"/>
      <c r="C23" s="733"/>
      <c r="D23" s="733"/>
      <c r="E23" s="733"/>
      <c r="F23" s="84"/>
      <c r="G23" s="734"/>
      <c r="H23" s="734"/>
      <c r="I23" s="734"/>
      <c r="J23" s="732"/>
      <c r="K23" s="732"/>
      <c r="L23" s="742"/>
    </row>
    <row r="24" spans="1:12" ht="14.25">
      <c r="A24" s="743"/>
      <c r="B24" s="746"/>
      <c r="C24" s="746"/>
      <c r="D24" s="746"/>
      <c r="E24" s="746"/>
      <c r="F24" s="84"/>
      <c r="G24" s="747"/>
      <c r="H24" s="747"/>
      <c r="I24" s="747"/>
      <c r="J24" s="748"/>
      <c r="K24" s="749"/>
      <c r="L24" s="749"/>
    </row>
    <row r="25" spans="1:12" ht="14.25">
      <c r="A25" s="743"/>
      <c r="B25" s="746"/>
      <c r="C25" s="746"/>
      <c r="D25" s="746"/>
      <c r="E25" s="746"/>
      <c r="F25" s="84"/>
      <c r="G25" s="747"/>
      <c r="H25" s="747"/>
      <c r="I25" s="747"/>
      <c r="J25" s="748"/>
      <c r="K25" s="748"/>
      <c r="L25" s="749"/>
    </row>
    <row r="26" spans="1:12" ht="14.25">
      <c r="A26" s="379"/>
      <c r="B26" s="379"/>
      <c r="C26" s="379"/>
      <c r="D26" s="379"/>
      <c r="E26" s="379"/>
      <c r="F26" s="379"/>
      <c r="G26" s="379"/>
      <c r="H26" s="379"/>
      <c r="I26" s="379"/>
      <c r="J26" s="379"/>
      <c r="K26" s="379"/>
      <c r="L26" s="379"/>
    </row>
    <row r="27" spans="1:12" ht="18">
      <c r="A27" s="379"/>
      <c r="B27" s="379"/>
      <c r="C27" s="379"/>
      <c r="D27" s="379"/>
      <c r="E27" s="382" t="s">
        <v>30</v>
      </c>
      <c r="F27" s="383"/>
      <c r="G27" s="383"/>
      <c r="H27" s="383"/>
      <c r="I27" s="383"/>
      <c r="J27" s="379"/>
      <c r="K27" s="379"/>
      <c r="L27" s="379"/>
    </row>
    <row r="28" spans="1:12" ht="6" customHeight="1">
      <c r="A28" s="379"/>
      <c r="B28" s="379"/>
      <c r="C28" s="379"/>
      <c r="D28" s="379"/>
      <c r="E28" s="384"/>
      <c r="F28" s="384"/>
      <c r="G28" s="384"/>
      <c r="H28" s="384"/>
      <c r="I28" s="384"/>
      <c r="J28" s="379"/>
      <c r="K28" s="379"/>
      <c r="L28" s="379"/>
    </row>
    <row r="29" spans="1:12" s="324" customFormat="1" ht="21" customHeight="1">
      <c r="A29" s="385"/>
      <c r="B29" s="376" t="s">
        <v>31</v>
      </c>
      <c r="C29" s="386"/>
      <c r="D29" s="386"/>
      <c r="E29" s="386"/>
      <c r="F29" s="386"/>
      <c r="G29" s="386"/>
      <c r="H29" s="386"/>
      <c r="I29" s="386"/>
      <c r="J29" s="386"/>
      <c r="K29" s="386"/>
      <c r="L29" s="386"/>
    </row>
    <row r="30" spans="1:12" ht="6" customHeight="1">
      <c r="A30" s="379"/>
      <c r="B30" s="387"/>
      <c r="C30" s="379"/>
      <c r="D30" s="379"/>
      <c r="E30" s="379"/>
      <c r="F30" s="379"/>
      <c r="G30" s="379"/>
      <c r="H30" s="379"/>
      <c r="I30" s="379"/>
      <c r="J30" s="379"/>
      <c r="K30" s="379"/>
      <c r="L30" s="379"/>
    </row>
    <row r="31" spans="1:12" ht="45" customHeight="1">
      <c r="A31" s="379"/>
      <c r="B31" s="736" t="s">
        <v>27</v>
      </c>
      <c r="C31" s="736"/>
      <c r="D31" s="736"/>
      <c r="E31" s="736"/>
      <c r="F31" s="380"/>
      <c r="G31" s="737" t="s">
        <v>32</v>
      </c>
      <c r="H31" s="737"/>
      <c r="I31" s="737"/>
      <c r="J31" s="381" t="s">
        <v>28</v>
      </c>
      <c r="K31" s="738" t="s">
        <v>29</v>
      </c>
      <c r="L31" s="738"/>
    </row>
    <row r="32" spans="1:12" ht="18.75" customHeight="1">
      <c r="A32" s="743" t="s">
        <v>33</v>
      </c>
      <c r="B32" s="750"/>
      <c r="C32" s="750"/>
      <c r="D32" s="750"/>
      <c r="E32" s="750"/>
      <c r="F32" s="84"/>
      <c r="G32" s="751"/>
      <c r="H32" s="751"/>
      <c r="I32" s="751"/>
      <c r="J32" s="752"/>
      <c r="K32" s="753"/>
      <c r="L32" s="753"/>
    </row>
    <row r="33" spans="1:12" ht="18.75" customHeight="1">
      <c r="A33" s="743"/>
      <c r="B33" s="750"/>
      <c r="C33" s="750"/>
      <c r="D33" s="750"/>
      <c r="E33" s="750"/>
      <c r="F33" s="84"/>
      <c r="G33" s="751"/>
      <c r="H33" s="751"/>
      <c r="I33" s="751"/>
      <c r="J33" s="752"/>
      <c r="K33" s="752"/>
      <c r="L33" s="753"/>
    </row>
    <row r="34" spans="1:12" ht="18.75" customHeight="1">
      <c r="A34" s="743"/>
      <c r="B34" s="754">
        <f>IF(Recomendaciones!I43="","",Recomendaciones!I43)</f>
      </c>
      <c r="C34" s="754"/>
      <c r="D34" s="754"/>
      <c r="E34" s="754"/>
      <c r="F34" s="84"/>
      <c r="G34" s="755"/>
      <c r="H34" s="755"/>
      <c r="I34" s="755"/>
      <c r="J34" s="756"/>
      <c r="K34" s="757"/>
      <c r="L34" s="757"/>
    </row>
    <row r="35" spans="1:12" ht="18.75" customHeight="1">
      <c r="A35" s="743"/>
      <c r="B35" s="754"/>
      <c r="C35" s="754"/>
      <c r="D35" s="754"/>
      <c r="E35" s="754"/>
      <c r="F35" s="84"/>
      <c r="G35" s="755"/>
      <c r="H35" s="755"/>
      <c r="I35" s="755"/>
      <c r="J35" s="756"/>
      <c r="K35" s="756"/>
      <c r="L35" s="757"/>
    </row>
    <row r="36" spans="1:12" ht="18.75" customHeight="1">
      <c r="A36" s="743"/>
      <c r="B36" s="754">
        <f>+IF(Recomendaciones!I53="","",Recomendaciones!I53)</f>
      </c>
      <c r="C36" s="754"/>
      <c r="D36" s="754"/>
      <c r="E36" s="754"/>
      <c r="F36" s="84"/>
      <c r="G36" s="755"/>
      <c r="H36" s="755"/>
      <c r="I36" s="755"/>
      <c r="J36" s="756"/>
      <c r="K36" s="757"/>
      <c r="L36" s="757"/>
    </row>
    <row r="37" spans="1:12" ht="18.75" customHeight="1">
      <c r="A37" s="743"/>
      <c r="B37" s="754"/>
      <c r="C37" s="754"/>
      <c r="D37" s="754"/>
      <c r="E37" s="754"/>
      <c r="F37" s="84"/>
      <c r="G37" s="755"/>
      <c r="H37" s="755"/>
      <c r="I37" s="755"/>
      <c r="J37" s="756"/>
      <c r="K37" s="756"/>
      <c r="L37" s="757"/>
    </row>
    <row r="38" spans="1:12" ht="18.75" customHeight="1">
      <c r="A38" s="743"/>
      <c r="B38" s="754"/>
      <c r="C38" s="754"/>
      <c r="D38" s="754"/>
      <c r="E38" s="754"/>
      <c r="F38" s="84"/>
      <c r="G38" s="755"/>
      <c r="H38" s="755"/>
      <c r="I38" s="755"/>
      <c r="J38" s="756"/>
      <c r="K38" s="757"/>
      <c r="L38" s="757"/>
    </row>
    <row r="39" spans="1:12" ht="18.75" customHeight="1">
      <c r="A39" s="743"/>
      <c r="B39" s="754"/>
      <c r="C39" s="754"/>
      <c r="D39" s="754"/>
      <c r="E39" s="754"/>
      <c r="F39" s="84"/>
      <c r="G39" s="755"/>
      <c r="H39" s="755"/>
      <c r="I39" s="755"/>
      <c r="J39" s="756"/>
      <c r="K39" s="756"/>
      <c r="L39" s="757"/>
    </row>
    <row r="40" spans="1:12" ht="18.75" customHeight="1">
      <c r="A40" s="743"/>
      <c r="B40" s="754"/>
      <c r="C40" s="754"/>
      <c r="D40" s="754"/>
      <c r="E40" s="754"/>
      <c r="F40" s="84"/>
      <c r="G40" s="755"/>
      <c r="H40" s="755"/>
      <c r="I40" s="755"/>
      <c r="J40" s="756"/>
      <c r="K40" s="757"/>
      <c r="L40" s="757"/>
    </row>
    <row r="41" spans="1:12" ht="18.75" customHeight="1">
      <c r="A41" s="743"/>
      <c r="B41" s="754"/>
      <c r="C41" s="754"/>
      <c r="D41" s="754"/>
      <c r="E41" s="754"/>
      <c r="F41" s="84"/>
      <c r="G41" s="755"/>
      <c r="H41" s="755"/>
      <c r="I41" s="755"/>
      <c r="J41" s="756"/>
      <c r="K41" s="756"/>
      <c r="L41" s="757"/>
    </row>
    <row r="42" spans="1:12" ht="18.75" customHeight="1">
      <c r="A42" s="743"/>
      <c r="B42" s="758"/>
      <c r="C42" s="758"/>
      <c r="D42" s="758"/>
      <c r="E42" s="758"/>
      <c r="F42" s="84"/>
      <c r="G42" s="759"/>
      <c r="H42" s="759"/>
      <c r="I42" s="759"/>
      <c r="J42" s="760"/>
      <c r="K42" s="761"/>
      <c r="L42" s="761"/>
    </row>
    <row r="43" spans="1:12" ht="18.75" customHeight="1">
      <c r="A43" s="743"/>
      <c r="B43" s="758"/>
      <c r="C43" s="758"/>
      <c r="D43" s="758"/>
      <c r="E43" s="758"/>
      <c r="F43" s="84"/>
      <c r="G43" s="759"/>
      <c r="H43" s="759"/>
      <c r="I43" s="759"/>
      <c r="J43" s="760"/>
      <c r="K43" s="760"/>
      <c r="L43" s="761"/>
    </row>
  </sheetData>
  <sheetProtection selectLockedCells="1" selectUnlockedCells="1"/>
  <mergeCells count="66">
    <mergeCell ref="B42:E43"/>
    <mergeCell ref="G42:I43"/>
    <mergeCell ref="J42:J43"/>
    <mergeCell ref="K42:L43"/>
    <mergeCell ref="B40:E41"/>
    <mergeCell ref="G40:I41"/>
    <mergeCell ref="J40:J41"/>
    <mergeCell ref="K40:L41"/>
    <mergeCell ref="B38:E39"/>
    <mergeCell ref="G38:I39"/>
    <mergeCell ref="J38:J39"/>
    <mergeCell ref="K38:L39"/>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conditionalFormatting sqref="C4:D4">
    <cfRule type="cellIs" priority="1" dxfId="41" operator="equal" stopIfTrue="1">
      <formula>"C"</formula>
    </cfRule>
    <cfRule type="cellIs" priority="2" dxfId="42" operator="equal" stopIfTrue="1">
      <formula>"B2"</formula>
    </cfRule>
    <cfRule type="cellIs" priority="3" dxfId="43"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Maria Leydies Portillo</cp:lastModifiedBy>
  <cp:lastPrinted>2011-01-31T13:36:40Z</cp:lastPrinted>
  <dcterms:created xsi:type="dcterms:W3CDTF">2008-11-20T16:06:13Z</dcterms:created>
  <dcterms:modified xsi:type="dcterms:W3CDTF">2015-09-03T15:30:19Z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