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288" windowHeight="5256" tabRatio="943" activeTab="0"/>
  </bookViews>
  <sheets>
    <sheet name="PRESUPUESTO PENMTB 2019 2021" sheetId="1" r:id="rId1"/>
    <sheet name="LINEAESTRATEGIA2017-2021" sheetId="2" r:id="rId2"/>
    <sheet name="LINEAESTRATEGICA" sheetId="3" r:id="rId3"/>
    <sheet name="RUBROPRESUPUESTARIO" sheetId="4" r:id="rId4"/>
    <sheet name="MONTOPORTECNICO" sheetId="5" state="hidden" r:id="rId5"/>
    <sheet name="FFINANCIAMIENTO" sheetId="6" r:id="rId6"/>
    <sheet name="%APORTES" sheetId="7" r:id="rId7"/>
    <sheet name="%APORTES (2)" sheetId="8" r:id="rId8"/>
  </sheets>
  <externalReferences>
    <externalReference r:id="rId11"/>
    <externalReference r:id="rId12"/>
  </externalReferences>
  <definedNames>
    <definedName name="_xlnm._FilterDatabase" localSheetId="0" hidden="1">'PRESUPUESTO PENMTB 2019 2021'!$A$1:$AF$124</definedName>
  </definedNames>
  <calcPr fullCalcOnLoad="1"/>
</workbook>
</file>

<file path=xl/comments1.xml><?xml version="1.0" encoding="utf-8"?>
<comments xmlns="http://schemas.openxmlformats.org/spreadsheetml/2006/main">
  <authors>
    <author/>
  </authors>
  <commentList>
    <comment ref="C70" authorId="0">
      <text>
        <r>
          <rPr>
            <b/>
            <sz val="9"/>
            <color indexed="8"/>
            <rFont val="Tahoma"/>
            <family val="2"/>
          </rPr>
          <t xml:space="preserve">Sala de reuniones TB:
</t>
        </r>
        <r>
          <rPr>
            <sz val="9"/>
            <color indexed="8"/>
            <rFont val="Tahoma"/>
            <family val="2"/>
          </rPr>
          <t>Dr. Soto alpliara los concptos las tares de esta actividad</t>
        </r>
      </text>
    </comment>
    <comment ref="P29" authorId="0">
      <text>
        <r>
          <rPr>
            <b/>
            <sz val="8"/>
            <rFont val="Tahoma"/>
            <family val="2"/>
          </rPr>
          <t>Al mas no haber:
ESTABA COMO BIENES Y SERVICIOS Y SE PASO A REMUNERACIONES</t>
        </r>
      </text>
    </comment>
    <comment ref="Q38" authorId="0">
      <text>
        <r>
          <rPr>
            <b/>
            <sz val="9"/>
            <color indexed="18"/>
            <rFont val="Tahoma"/>
            <family val="2"/>
          </rPr>
          <t xml:space="preserve">user:
</t>
        </r>
        <r>
          <rPr>
            <sz val="9"/>
            <color indexed="18"/>
            <rFont val="Tahoma"/>
            <family val="2"/>
          </rPr>
          <t xml:space="preserve">Podrá planificarse compra en año 2 para obtener econocmia de escala, con la compra del los coaguladores de mediios de cultivo? Por ser equpos homogeneos. </t>
        </r>
      </text>
    </comment>
    <comment ref="V9" authorId="0">
      <text>
        <r>
          <rPr>
            <b/>
            <sz val="8"/>
            <rFont val="Tahoma"/>
            <family val="2"/>
          </rPr>
          <t xml:space="preserve">Al mas no haber:
</t>
        </r>
        <r>
          <rPr>
            <sz val="8"/>
            <rFont val="Tahoma"/>
            <family val="2"/>
          </rPr>
          <t xml:space="preserve">favor detallar las unidades y costos
</t>
        </r>
      </text>
    </comment>
    <comment ref="V75" authorId="0">
      <text>
        <r>
          <rPr>
            <b/>
            <sz val="8"/>
            <rFont val="Tahoma"/>
            <family val="2"/>
          </rPr>
          <t xml:space="preserve">Al mas no haber:
</t>
        </r>
        <r>
          <rPr>
            <sz val="8"/>
            <rFont val="Tahoma"/>
            <family val="2"/>
          </rPr>
          <t xml:space="preserve">Agregar costos y cantidades
</t>
        </r>
      </text>
    </comment>
    <comment ref="V78" authorId="0">
      <text>
        <r>
          <rPr>
            <b/>
            <sz val="9"/>
            <color indexed="18"/>
            <rFont val="Tahoma"/>
            <family val="2"/>
          </rPr>
          <t xml:space="preserve">Usuario:
</t>
        </r>
      </text>
    </comment>
    <comment ref="V87" authorId="0">
      <text>
        <r>
          <rPr>
            <b/>
            <sz val="8"/>
            <rFont val="Tahoma"/>
            <family val="2"/>
          </rPr>
          <t xml:space="preserve">Al mas no haber:
</t>
        </r>
        <r>
          <rPr>
            <sz val="8"/>
            <rFont val="Tahoma"/>
            <family val="2"/>
          </rPr>
          <t xml:space="preserve">agregar cantidad y costos
</t>
        </r>
      </text>
    </comment>
    <comment ref="Y9" authorId="0">
      <text>
        <r>
          <rPr>
            <b/>
            <sz val="8"/>
            <rFont val="Tahoma"/>
            <family val="2"/>
          </rPr>
          <t xml:space="preserve">Al mas no haber:
</t>
        </r>
        <r>
          <rPr>
            <sz val="8"/>
            <rFont val="Tahoma"/>
            <family val="2"/>
          </rPr>
          <t xml:space="preserve">favor detallar las unidades y costos
</t>
        </r>
      </text>
    </comment>
    <comment ref="Y87" authorId="0">
      <text>
        <r>
          <rPr>
            <b/>
            <sz val="8"/>
            <rFont val="Tahoma"/>
            <family val="2"/>
          </rPr>
          <t xml:space="preserve">Al mas no haber:
</t>
        </r>
        <r>
          <rPr>
            <sz val="8"/>
            <rFont val="Tahoma"/>
            <family val="2"/>
          </rPr>
          <t xml:space="preserve">agregar cantidad y costos
</t>
        </r>
      </text>
    </comment>
    <comment ref="AB9" authorId="0">
      <text>
        <r>
          <rPr>
            <b/>
            <sz val="8"/>
            <rFont val="Tahoma"/>
            <family val="2"/>
          </rPr>
          <t xml:space="preserve">Al mas no haber:
</t>
        </r>
        <r>
          <rPr>
            <sz val="8"/>
            <rFont val="Tahoma"/>
            <family val="2"/>
          </rPr>
          <t xml:space="preserve">favor detallar las unidades y costos
</t>
        </r>
      </text>
    </comment>
    <comment ref="AB87" authorId="0">
      <text>
        <r>
          <rPr>
            <b/>
            <sz val="8"/>
            <rFont val="Tahoma"/>
            <family val="2"/>
          </rPr>
          <t xml:space="preserve">Al mas no haber:
</t>
        </r>
        <r>
          <rPr>
            <sz val="8"/>
            <rFont val="Tahoma"/>
            <family val="2"/>
          </rPr>
          <t xml:space="preserve">agregar cantidad y costos
</t>
        </r>
      </text>
    </comment>
    <comment ref="AE13" authorId="0">
      <text>
        <r>
          <rPr>
            <b/>
            <sz val="10"/>
            <color indexed="18"/>
            <rFont val="Tahoma"/>
            <family val="2"/>
          </rPr>
          <t xml:space="preserve">PNTYER:
</t>
        </r>
      </text>
    </comment>
    <comment ref="Q119" authorId="0">
      <text>
        <r>
          <rPr>
            <b/>
            <sz val="9"/>
            <color indexed="18"/>
            <rFont val="Tahoma"/>
            <family val="2"/>
          </rPr>
          <t xml:space="preserve">Usuario:
</t>
        </r>
      </text>
    </comment>
    <comment ref="Q118" authorId="0">
      <text>
        <r>
          <rPr>
            <b/>
            <sz val="9"/>
            <color indexed="18"/>
            <rFont val="Tahoma"/>
            <family val="2"/>
          </rPr>
          <t xml:space="preserve">Usuario:
</t>
        </r>
      </text>
    </comment>
    <comment ref="Q120" authorId="0">
      <text>
        <r>
          <rPr>
            <b/>
            <sz val="9"/>
            <color indexed="18"/>
            <rFont val="Tahoma"/>
            <family val="2"/>
          </rPr>
          <t xml:space="preserve">Usuario:
</t>
        </r>
      </text>
    </comment>
    <comment ref="V77" authorId="0">
      <text>
        <r>
          <rPr>
            <b/>
            <sz val="8"/>
            <rFont val="Tahoma"/>
            <family val="2"/>
          </rPr>
          <t xml:space="preserve">Al mas no haber:
</t>
        </r>
        <r>
          <rPr>
            <sz val="8"/>
            <rFont val="Tahoma"/>
            <family val="2"/>
          </rPr>
          <t xml:space="preserve">Agregar costos y cantidades
</t>
        </r>
      </text>
    </comment>
  </commentList>
</comments>
</file>

<file path=xl/sharedStrings.xml><?xml version="1.0" encoding="utf-8"?>
<sst xmlns="http://schemas.openxmlformats.org/spreadsheetml/2006/main" count="2253" uniqueCount="786">
  <si>
    <t xml:space="preserve">Compra de repuestos diversos para equipos utilizados en el diagnostico de tuberculosis, ejemplo motores de eastufas, tarjetas electronicas, entre otros </t>
  </si>
  <si>
    <t xml:space="preserve">Compra de repuesto es para todos los equipos utilizados en el diagnostico d tubercuosis , lo que permite evitar la suspension de ralizacion de pruebas </t>
  </si>
  <si>
    <t>Mantenimiento correctivo y preventido de equipos de rayos X moviles y sus accesorios</t>
  </si>
  <si>
    <t xml:space="preserve"> Número de personas evaluadas con rayos X en privados de libertad y comorbilidades sobre el total de privados de libertad sugestivo de TB más comorbilidades </t>
  </si>
  <si>
    <t xml:space="preserve">MINSAL/Centros Penales </t>
  </si>
  <si>
    <t>Compra de  placas para radiografias a sospechosos de TB por año</t>
  </si>
  <si>
    <t xml:space="preserve">Se tomaran radiografias a privados de libertad con sospecha de padecer tuberculosis pulmonar o extrapulmonar de los  19 centros penales y de los 2 centros intermedios y  4  del ISNA ,  asi como a otros grupos de riesgo social que sean  identificados como Sintomaticos Respiratorios. Se han programado tomar 2500 radiografias cada año. Anexo 27. Costo placa de rayos X                                                              </t>
  </si>
  <si>
    <t xml:space="preserve">9. Generar compromiso político a más alto nivel y multisectorial para contar con recursos adecuados para  la atención integral de la TB, TB/VIH y otras enfermedades respiratorias incluyendo los grupos vulnerables y de más alto riesgo. </t>
  </si>
  <si>
    <t>7.4.9.2 Gestionar la compra de  insumos para el abordaje integral de las enfermedades respiratorias (Compra de medidores de picoflujo. )</t>
  </si>
  <si>
    <t>Número de espirometros comprados / numero de espirometros programados para Hospitales.</t>
  </si>
  <si>
    <t>Espirómetros digitales ( equipo de computo e impresoras ) paraUnidades Medicas del ISSS.</t>
  </si>
  <si>
    <t>Compra de  10  Espirometros digitales con su CPU e impresora para  10 Unidades Medicas del ISSS a nivel  nacional para su abordaje, atencion y mejora en diagnostico de pacientes respiratorios cronicos bajo la estrategia PAL. Descarte de Tuberculosis.</t>
  </si>
  <si>
    <t>PRESUPUESTO PENMTB POR LINEAS ESTRATEGICAS SIN FINANCIAMIENTO FONDO MUNDIAL 2019-2021</t>
  </si>
  <si>
    <t xml:space="preserve">7.7.7.3  Diseñar un sistema de información electrónico en tiempo real que permita registrar la información en forma oportuna de todos los proveedores de servicios de salud del SNS integrado al SUIS que permita la desagregación de información </t>
  </si>
  <si>
    <t>2016 al 2020</t>
  </si>
  <si>
    <t>PNTYER/ Organización Panamericana de la Salud/Centro Regional de formación</t>
  </si>
  <si>
    <t>Monitoreo, seguimiento y apoyo de la implementación por parte de nivel central a los recursos que sean contratados para la consultoría del diseño, creación e implementación del sistema en línea de TB, TB/VIH y TB-MDR</t>
  </si>
  <si>
    <t>Apoyo técnico de 6 personas de nivel central para asesorar, monitorear y apoyar a los recursos que sean contratados para el diseño, creación e implementación del sistema de información en línea para TB.</t>
  </si>
  <si>
    <t>7.7.7.5 Compra de equipo para el fortalecimiento del sistema de información  de TB para el PNTB</t>
  </si>
  <si>
    <t>Adquisión de PC + UPS + Licencia y todos sus accesorios, para los tecnicos de PNTB</t>
  </si>
  <si>
    <t>1. Monitorear el desempeño de la gestión del Programa a través del cumplimiento de los indicadores del Plan.</t>
  </si>
  <si>
    <t xml:space="preserve">8.7.1.1 Gestionar convenios y acuerdos a nivel multisectorial para generar compromisos políticos de alto nivel; promoviendo su participación en la asignación de recursos económicos y humanos para la atención y prevención de la TB. </t>
  </si>
  <si>
    <t>Programas de estudio del nivel básico con contenidos de TB. Incorporados</t>
  </si>
  <si>
    <t>Durante los 5 años</t>
  </si>
  <si>
    <t>MINSAL y MINED</t>
  </si>
  <si>
    <t>LIC CALONA</t>
  </si>
  <si>
    <t>Reuniones con el MINED, 10 reuniones anuales</t>
  </si>
  <si>
    <t>5. Generar información oportuna y verás sobre los avances del cumplimiento de indicadores y metas del Plan.</t>
  </si>
  <si>
    <t xml:space="preserve">8.7.5.1 Monitoreo y seguimiento a  instituciones formadoras de recursos humanos en salud, al cumplimiento de las acciones del convenio.  </t>
  </si>
  <si>
    <t>Número de reuniones realizadas/total de reuniones programas</t>
  </si>
  <si>
    <t>12 reuniones al año</t>
  </si>
  <si>
    <t>Se realizaran reuniones mensuales con el comité nacional de docencia en donde se encuentran representadas las instituciones formadoras de recursos humanos en salud en donde se dara el seguimiento de los contenidos tematicos impartidos en la enseñanza que se mantengan apegados a la normativa nacional y lineamientos de TB segun el MINSAL Anexo 16. Costo Alimentación.</t>
  </si>
  <si>
    <t>7,4</t>
  </si>
  <si>
    <t>7.4.9.3 Gestionar la compra de  equipo, mobiliario e insumos para fortalecimiento de las AREAS TAES del  primer nivel de atencion</t>
  </si>
  <si>
    <t>Número de Áreas TAES de UCSF fortalecidas/total de Áreas TAES programadas</t>
  </si>
  <si>
    <t xml:space="preserve">8. Coordinación de informes en línea con las agencias de cooperación externa e instituciones gubernamentales y no gubernamentales. </t>
  </si>
  <si>
    <t>8.7.8.1 Apoyo técnico de recurso humano para el funcionamiento de actividades de prevencion y control de la Tuberculosis (incluye tecnicos multidicplinarios de Nivel Central)</t>
  </si>
  <si>
    <t>Numero de recursos en salud realizando actividades</t>
  </si>
  <si>
    <t>MINSAL PNTYER</t>
  </si>
  <si>
    <t>Apoyo técnico de RR.HH del PNTYER, en los diferentes niveles de atención, en coordinación con las diferentes  instituciones y organizaciones para el control y prevencion de la tuberculosis.</t>
  </si>
  <si>
    <t>Apoyo técnico de RR.HH del PNTYER, en los diferentes niveles de atención, en coordinación con las diferentes  instituciones y organizaciones para el control y prevencion de la tuberculosis, a traves de pasantias al interior del pais e internacionalmente con instituciones y organizaciones con las que se establezca convenio. (OPS, LA UNION, CDC entre otros).</t>
  </si>
  <si>
    <t>7. Estandarizar lineamiento guía de monitoreo y evaluación para los equipos técnicos involucrados de los sectores en la respuesta nacional de la lucha contra la tuberculosis.</t>
  </si>
  <si>
    <t>8.7.7.1 Apoyo de recurso humano para el funcionamiento de actividades de prevencion y control de la Tuberculosis</t>
  </si>
  <si>
    <t>FS,7</t>
  </si>
  <si>
    <t>Asignación de funciones a recursos humanos para la preveción, control y M&amp;E de la TB</t>
  </si>
  <si>
    <t>LICDA. GILMA</t>
  </si>
  <si>
    <t>Corresponde al pago de salarios de recursos humanos de FOSALUD que en su trabajo rutinario apoya las actividades e intervenciones para la prevencion y control de la Tuberculosis</t>
  </si>
  <si>
    <t>8.7.7.2 Apoyo de recurso humano para el funcionamiento de actividades de prevencion y control de la Tuberculosis</t>
  </si>
  <si>
    <t>Numeros de plazas contratadas/el total de plazas solicitadas</t>
  </si>
  <si>
    <t>RR.HH</t>
  </si>
  <si>
    <t>Por servicios</t>
  </si>
  <si>
    <t>Compra de 2 camaras de Flujolaminar para bioseguridad de recursos de laboratorio de los Hospitales de Santa Ana , Rosales, Zacatecoluca</t>
  </si>
  <si>
    <t>8.2.2.1 Monitorear establecimientos de salud que implementan acciones de búsquedas de casos de TB a través de la Iniciativa AITER/PAL</t>
  </si>
  <si>
    <t>Número de monitoreo realizados/total de monitoreos programados.</t>
  </si>
  <si>
    <t>Monitoreo y evaluacion de actividades de PAL en los diferentes establecimientos de salud</t>
  </si>
  <si>
    <t>Monitoreo</t>
  </si>
  <si>
    <t>1.     Tasa de notificación de casos de tuberculosis (todas las formas) por cada 100.000 habitantes, confirmados bacteriológicamente y con diagnóstico clínico, casos nuevos y recaídas</t>
  </si>
  <si>
    <t>Número de libros de registro impresos/total de libros de registro programados a imprimir</t>
  </si>
  <si>
    <t>Servicio de mantenimiento preventivo y correctivo del equipo accesorio de la unidad movil de rayos X, Consola de mando, digitalizador e impresor.</t>
  </si>
  <si>
    <t>Es necesario contar con us servicio de mentenimiento de los equipos  ya que el  buen funcionamiento de este garantiza una buena calidad de la imagen que se garantiza con un buen diagnostico, este se debe de realizar en el almacen el paraiso o en el lugar donde surgiera una dificultad en dichos equipos. Es recomendable realizarlo cada tres meses como servicio preventivo y con un monto aproximado de $10.000 cada año en un periodo de tres años.</t>
  </si>
  <si>
    <t>5.6.1.1 Establecer y fortalecer los mecanismos para proporcionar servicios integrados de TB y VIH</t>
  </si>
  <si>
    <t>5.6.1.2 Implementar la detección, control, tratamiento de TB y Coinfección TB/VIH de manera precoz aplicando los nuevos algoritmos establecidos para poblaciones de alto riesgo. Participarán los equipos multisectorial de las instituciones del SNS</t>
  </si>
  <si>
    <t xml:space="preserve">6.7.2.1 Diagnostico precoz de la TB en personas con diabetes, HTA y otras enfermedades cronicas y descate de diabetes en pacientes con TB </t>
  </si>
  <si>
    <t xml:space="preserve">6.7.1.1 Diagnostico precoz de la TB en personas con diabetes, HTA y otras enfermedades cronicas y descate de diabetes en pacientes con TB </t>
  </si>
  <si>
    <t>ADM/3 OVERHEAD PNUD</t>
  </si>
  <si>
    <t>OVERHEAD PNUD</t>
  </si>
  <si>
    <t>ADM/4 OVERHEAD -OPS</t>
  </si>
  <si>
    <t>OVERHEAD -OPS</t>
  </si>
  <si>
    <t>Servicios de desaduanajes, fletes seguros de bienes, Comision Bolpros y otros gastos relacionados.por compras en MINSAL</t>
  </si>
  <si>
    <t>Servicios de desaduanajes, fletes seguros de bienes,  y otros gastos relacionados.por compras en PNUD</t>
  </si>
  <si>
    <t>Servicios de desaduanajes, fletes seguros de bienes, y otros gastos relacionados.por compras en OPS</t>
  </si>
  <si>
    <t>ADM/5 Pago por servicios de desaduanajes, fletes seguros a terceros y /o pagos por contratos de servicios a segundos y/o a terceros para trabajos realizado en 18 municipios en lo que no existen ECOS sino solo ONG´s y otros que sean necesarios</t>
  </si>
  <si>
    <t>ADM/6 Pago por servicios de desaduanajes, fletes seguros a terceros y /o pagos por contratos de servicios a segundos y/o a terceros para trabajos realizado en 18 municipios en lo que no existen ECOS sino solo ONG´s y otros que sean necesarios.</t>
  </si>
  <si>
    <t>ADM/7 Pago por servicios de desaduanajes, fletes seguros a terceros y /o pagos por contratos de servicios a segundos y/o a terceros para trabajos realizado en 18 municipios en lo que no existen ECOS sino solo ONG´s y otros que sean necesarios, Comisiones Bolpros</t>
  </si>
  <si>
    <t>ADM/5 Pago por servicios de desaduanajes, fletes seguros a terceros y /o pagos por contratos de servicios a segundos y/o a terceros para trabajos realizado en 18 municipios en lo que no existen ECOS sino solo ONG´s y otros que sean necesarios.</t>
  </si>
  <si>
    <t>ISS PNUD</t>
  </si>
  <si>
    <t>Impresión de libros de registro para recoleccion de la informacion primaria en los establecimientos de salud</t>
  </si>
  <si>
    <t>Se apoyará a los establecimientos de salud del SNS y a otras instituciones proveedoras de servicios de salud de instrumentos para el registro de los datos primarios que se generan a nivel operativo. Se harán impresiones cada año, durante tres años. Anexo cuadro de. Costos materiales impresos</t>
  </si>
  <si>
    <t xml:space="preserve">8.7.5.3 Ejecuciòn de al menos dos investigaciones anuales del 2016 al 2020 </t>
  </si>
  <si>
    <t>Investigaciones publicadas a nivel nacional o internacional</t>
  </si>
  <si>
    <t xml:space="preserve">Divulgación y/o Publicación de investigaciones realizadas </t>
  </si>
  <si>
    <t xml:space="preserve">8.7.1.2 Ejecución de seis pasantías para el intercambio de experiencias: 3 nacionales y 3 internacionales </t>
  </si>
  <si>
    <t>Pasantías  programadas / pasantias realizadas x 100</t>
  </si>
  <si>
    <t xml:space="preserve">Realizar al menos dos pasantias en el año </t>
  </si>
  <si>
    <t>Se pretende realizar pasantías nacionales e internacionales de acuerdo a las necesidad e importancia que surja en el PNTYER en coordinaciópn otros Programas Nacionales de Tuberculosis de otros países y que fortalezcan los indicadores epidemiologicos y programaticos del Programa. El monto corresponde a salarios de los que asisten a dichas pasantias y a otros gastos inherentes cubiertos por GOES.</t>
  </si>
  <si>
    <t>8.7.4.3 Incorporar metodologías innovadoras de investigación a personal e Instituciones que realizan investigaciones en salud.</t>
  </si>
  <si>
    <t xml:space="preserve">40 recursos formados en investigaciòn </t>
  </si>
  <si>
    <t>INSTITUTO NACIONAL DE SALUD</t>
  </si>
  <si>
    <t>8.7.7.3 Apoyo de recurso humano para el funcionamiento de actividades de prevencion y control de la Tuberculosis (incluye tecnicos multidisciplinarios de Nivel Central)</t>
  </si>
  <si>
    <t xml:space="preserve">Numero de pasantías internacionales del personal de centros demostrativos y PNTYER realizadas/número de pasantías programadas </t>
  </si>
  <si>
    <t>2 Pasantias anuales,   fortalecimientos de los centros demostrativos</t>
  </si>
  <si>
    <t>Fortalecimiento del recurso del PNTYER, para la actualizaciòn de conocimiento y participaciòn en jornadas internacionales</t>
  </si>
  <si>
    <t>8.7.5.4 Monitoreo, supervisión y evaluación del sistema de informacion en linea de TB</t>
  </si>
  <si>
    <t>Consultoria realizada e informe presentado</t>
  </si>
  <si>
    <t>Jornada de evalucion del sistema en linea</t>
  </si>
  <si>
    <t>Planificación, coordinación y gerencia</t>
  </si>
  <si>
    <t>Cumplir con la operativización del PENM TB 2016-2020</t>
  </si>
  <si>
    <t xml:space="preserve">1. Lograr efecientemente el uso de los recursos a traves de una gerencia y planificación transparente. </t>
  </si>
  <si>
    <t>ADM/1 Gastos de administración del RP para apoyo a las diferentes unidades de gestión y ejecución. (PNTYER Y UNIDADES DE APOYO (UACI / UFI / UCP))</t>
  </si>
  <si>
    <t>Porcentaje de ejecución en las 7 estrategias en respuesta a la TB/ total planificado.</t>
  </si>
  <si>
    <t>FM,P</t>
  </si>
  <si>
    <t>Adquisicion de materiales e insumos para el desarrollo de las diferentes actividades desarrolladas, (VER DETALLE  EN SIGUIENTES HOJAS DE CALCULO de Gastos admon (PNTYER Y UNIDADES DE APOYO (UACI / UFI / UCP)) Papeleria/Insumos informaticos/Eq Informatico/Material de liempieza)
Se incluye mantenimiento y seguro para 3 vehículos por 3 años. Anexo 15. Costos de papelería, insumos de oficina y otros</t>
  </si>
  <si>
    <t>ADM/2 Pago luz verde</t>
  </si>
  <si>
    <t>FM</t>
  </si>
  <si>
    <t>Cuota de Luz Verde</t>
  </si>
  <si>
    <t>FM (COMITÉ LUZ VERDE)</t>
  </si>
  <si>
    <t>PORCENTAJE DE EJECUCIÓN</t>
  </si>
  <si>
    <t>RESPONSABLE DE LA COMPRA</t>
  </si>
  <si>
    <t>AÑO 1 
2017</t>
  </si>
  <si>
    <t>AÑO 2
2018</t>
  </si>
  <si>
    <t>AÑO3
2019</t>
  </si>
  <si>
    <t>TOTAL</t>
  </si>
  <si>
    <t xml:space="preserve">OVERHEAD-ISSS </t>
  </si>
  <si>
    <t>PNUD</t>
  </si>
  <si>
    <t>OVERHEAD-OPS</t>
  </si>
  <si>
    <t>SUMARY  BUDGET</t>
  </si>
  <si>
    <t>Total</t>
  </si>
  <si>
    <t>Porcentaje</t>
  </si>
  <si>
    <t>CODIGO PRESUPUESTARIO</t>
  </si>
  <si>
    <t>DESCRIPCION</t>
  </si>
  <si>
    <t>AÑO 4</t>
  </si>
  <si>
    <t>AÑO 5</t>
  </si>
  <si>
    <t>TOTAL 5 AÑOS</t>
  </si>
  <si>
    <t>Clasificación de Rubros del Sistema SAFI con las Categorias de Gastos de Fondo Mundial</t>
  </si>
  <si>
    <t>,</t>
  </si>
  <si>
    <t>Adquisición de Bienes y Servicios es igual a: Insumos Médicos y de Laboratorio, Productos Farmaceuticos (Medicamentos), Materiales de Comunicación, Atención directa al paciente, Monitoreo y Evaluación, Gastos Administrativos, Gastos de Gestión de adquisiciones, capacitaciónes</t>
  </si>
  <si>
    <t>Inversión en Activo Fijo corresponde a Infraestructura y otro equipos</t>
  </si>
  <si>
    <t>Remuneraciones Corresponde a Recursos Humanos</t>
  </si>
  <si>
    <t>PRESUPUESTO PENM POR METAS 2016-2020</t>
  </si>
  <si>
    <t>METAS</t>
  </si>
  <si>
    <t>META 8.  Alcanzar una tasa de incidencia de TB entre el 19 y el 15 x 100,000 hab. en al menos el 50% de municipios clasificados en pre-eliminación.</t>
  </si>
  <si>
    <t>PRESUPUESTO PENM TB POR FUENTE DE FINANCIAMIENTO 2016-2020</t>
  </si>
  <si>
    <t>FUENTE DE FINANCIAMIENTO</t>
  </si>
  <si>
    <t>TOTALES</t>
  </si>
  <si>
    <t>%</t>
  </si>
  <si>
    <t>PRESUPUESTO RESUMEN PENM TB POR FUENTE DE FINANCIAMIENTO 2016-2020</t>
  </si>
  <si>
    <t xml:space="preserve">ISSS </t>
  </si>
  <si>
    <t>FM,4</t>
  </si>
  <si>
    <t>UNIDAD</t>
  </si>
  <si>
    <t>MANTENIMIENTO GENERAL/PNTYER</t>
  </si>
  <si>
    <t>SALUD COMUNITARIA</t>
  </si>
  <si>
    <t>PRESUPUESTO PENMTB POR LINEAS ESTRATEGICAS SIN FINANCIAMIENTO DEL FONDO MUNDIAL 2016-2020</t>
  </si>
  <si>
    <t>PRESUPUESTO POR TECNICO PARA LOS 3 AÑOS</t>
  </si>
  <si>
    <t>TECNICO</t>
  </si>
  <si>
    <t>TOTAL 3 AÑO</t>
  </si>
  <si>
    <t>PORCENTAJE 5 AÑOS</t>
  </si>
  <si>
    <t>FINANCIAMIENTO</t>
  </si>
  <si>
    <t>LINEA1</t>
  </si>
  <si>
    <t>OVERHEAD/ISS</t>
  </si>
  <si>
    <t>Bolpros o desaduanaje PNUD</t>
  </si>
  <si>
    <t>Número de establecimientos dotados con tiras de muestreo de glucosa y lancetas/Total de establecimiento programados.</t>
  </si>
  <si>
    <t>Se dotara a las UCSF especializadas en las 5 regiones del pais de  electrocardiaf¡grafos para el fortalecimiento de  las capacidades institucionales en las enfermedades cronicas no transmisibles  en  el manejo de las comorbilidades e identificacion oportuna de las reacciones adversas a farmos antituberculosis. Ver  de insumoa en cuadro anexo.</t>
  </si>
  <si>
    <t>6,3</t>
  </si>
  <si>
    <t>Kit</t>
  </si>
  <si>
    <t>6.1.2.1 Ejecución de medidas de bioseguridad en la red de laboratorios clínicos que hacen diagnóstico de tuberculosis</t>
  </si>
  <si>
    <t>Numero de laboratorios que hacen diagnóstico de tuberculosis que ejecutan medidas de bioseguridad / total de laboratorios que hacen diagnóstico de tuberculosis</t>
  </si>
  <si>
    <t>BRECHA FINANCIERA</t>
  </si>
  <si>
    <t>Compra de Gabachas de tela para profesionales de laboratorio que realizan  baciloscopia</t>
  </si>
  <si>
    <t>1. la falta de implementación de Pruebas de segunda linea con métodos moleculares( Geno Type)....NO tengo idea del costo 
2. Microscopia de Fluorescencia LED para establecimientos con alta carga de BK, incluyendo LNR de TB...no tengo idea del costo
3. Identificación Rápida de M. tuberculosis a través de Inmunocromatografia Lateral (ICL)       Costo $ 1,350 set de 25 pruebas
4. Sistema de información en linea que permita visualizar los resultados y emitir un reporte mas oportuno</t>
  </si>
  <si>
    <t>6.1.2.1 Ejecución de actividades de mantenimiento, calibracion  de equipos utilizados en el diagnostico de tuberculosis. Incluye certificacion de RRHH</t>
  </si>
  <si>
    <t>Numero de equipos con mantenimiento/ numero de equipos con necesidad de mantenimiento</t>
  </si>
  <si>
    <t xml:space="preserve">compra de equipo para realizar mantenimiento con su calibracion anual a nivel nacional o internacional y la certificacion de RRHH biomedico </t>
  </si>
  <si>
    <t xml:space="preserve">Compra de bandejas inclinadas inclinadas de acero inoxidable, largo (34-44) cms; ancho (17-24) cms código 30502098
Precio U. $150.00
</t>
  </si>
  <si>
    <t>Compra de bandejas inclinadas para la colocacion de tubos cultivados para diagnostico, seguimeinto de tratamiento y vigialancia de la MDR</t>
  </si>
  <si>
    <t>El Pago de las incapacidades que proporciona el ISSSS, al incapacitarse un derechohabiemte cuando se le diagnostica Tb, este subsidio corresponde a la contapartida local del ISSS</t>
  </si>
  <si>
    <t xml:space="preserve">1.2.8 Proporcionar TAES a todas las personas con TB, todas las formas con medicamento de primera linea  </t>
  </si>
  <si>
    <t>2. Tasa de éxito de tratamiento (casos nuevos y recaídas tratados por TB) en mujeres y hombres,</t>
  </si>
  <si>
    <t>Numero de dosis administradas bajo la estrategia TAES/total de dosis primera linea programadas</t>
  </si>
  <si>
    <t>Administratación de dosis de tratamiento estrictamente supervisado a los casos de TB de todas las formas diagnosticados</t>
  </si>
  <si>
    <t>por dosis</t>
  </si>
  <si>
    <t xml:space="preserve">Brindar Tratamiento Estrictamente Supervisado al total de casos de TB todas las formas en los establecimientos del MINSAL, ISSS, Clinicas de Centros Penales, por otras instituciones proveedoras de servicios de salud y lideres previamente capacitados. (incluye el costo a diario por dosis administrada en boca al paciente en cialquiera de lkos 3 niveles de atención y de todas las instituciones Anexo 2. Estudio MEGATB pag. 75 </t>
  </si>
  <si>
    <t>1,4</t>
  </si>
  <si>
    <t>MINSAL EN COORDINACION CON TODAS LAS INSTITUCIONES PROVEEDORAS DE SALUD y medios de comunicación.</t>
  </si>
  <si>
    <t>Contratación de una empresa para Ejecución de actividades de promoción, educación a través de medios colectivos   Divulgación de mensajes educativos-informativos sobre TB</t>
  </si>
  <si>
    <t>1,5</t>
  </si>
  <si>
    <t>LIC. ROMERO</t>
  </si>
  <si>
    <t>INVERSIONES EN ACTIVOS FIJOS</t>
  </si>
  <si>
    <t>Compra de  Vehiculos , seguro y mantenimientos</t>
  </si>
  <si>
    <t>por unidad</t>
  </si>
  <si>
    <t>UNIDAD DE CONSERVACION Y MANTENIMIENTO</t>
  </si>
  <si>
    <t>1 año</t>
  </si>
  <si>
    <t>Compra de microscopios  para Red de laboratorios MINSAL</t>
  </si>
  <si>
    <t>OPS</t>
  </si>
  <si>
    <t>1.1.3.2 Implementación de la red de recolección y transporte de muestras de esputo para diagnóstico de TB dentro de las RIISS</t>
  </si>
  <si>
    <t>Numeros de hieleras  para trasportar muestras comprados/Numero de hieleras programados</t>
  </si>
  <si>
    <t>3  años</t>
  </si>
  <si>
    <t xml:space="preserve">Compra de hieleras con paquetes frios para transporte de muestras para el diagnostico precoz de TB  </t>
  </si>
  <si>
    <t>1.7.1.5 Ejecución de actividades de Información, educación y comunicación en TB, utilizando materiales impresos para apoyo educativo</t>
  </si>
  <si>
    <t>Número de materiales de apoyo eductivo inpresos/total de materiales de apoyo eductivo programados a imprimir</t>
  </si>
  <si>
    <t>MINSAL EN COORDINACION CON OTRAS INSTITUCIONES PROVEEDORAS DE SALUD</t>
  </si>
  <si>
    <t xml:space="preserve">Se imprimirán materiales informativos educativos con mensajes sobre prevención y control de la tuberculosis </t>
  </si>
  <si>
    <t>Impresiones</t>
  </si>
  <si>
    <t xml:space="preserve">Corresponde a pago de salarios del personal de los equipos multidisciplinarios con fondos FOSALUD, que realizan actividades de detecciòn y manejo a pacientes en los horarios de atención. El costo corresponde al valor de la atenciòn mèdica del sintomático respiratorio, según el estudio MEGATB. Anexo 2. Estudio MEGATB pag. </t>
  </si>
  <si>
    <t>1,2</t>
  </si>
  <si>
    <t xml:space="preserve">1.1.2 Ampliar y equipar la red de diagnóstico de tuberculosis, con acceso a cultivo,  microscopia y pruebas moleculares y pruebas moleculares </t>
  </si>
  <si>
    <t xml:space="preserve">  Porcentaje de casos detectados TB con pruebas moleculares / total de personas a las que se les realizo pruebas moleculares</t>
  </si>
  <si>
    <t xml:space="preserve">MINSAL </t>
  </si>
  <si>
    <t>LIC. GUEVARA</t>
  </si>
  <si>
    <t>MINSAL (VOLUNTAD DE PAGO)</t>
  </si>
  <si>
    <t>Compra de cartuchos para equipo Gene Xpert MTB/RIF (Principalmente para poblaciones de más alto riesgo como privados de libertad, Tb infantil, pacientes VIH, pacientes con diabetes, contactos, entre otros)</t>
  </si>
  <si>
    <t xml:space="preserve">Pago de calibración en linea de  equipos Gene Xpert </t>
  </si>
  <si>
    <t xml:space="preserve"> DIRECCION DE INFRAESTRUCTURA SANITARIA  MINSAL ( UNIDAD MEDICA CENTROS PENALES )</t>
  </si>
  <si>
    <t>Por unidad</t>
  </si>
  <si>
    <t xml:space="preserve">1.1.11 Realizar control de calidad de baciloscopías a laboratorio del SNS </t>
  </si>
  <si>
    <t xml:space="preserve"> Numero de laboratorios del SNS con control de calidad de baciloscopías /total de laboratorios de SNS existentes </t>
  </si>
  <si>
    <t xml:space="preserve">MINSAL /ISRI Y SANIDAD MILITAR </t>
  </si>
  <si>
    <t>MINSAL (CONTRAPARTIDA)</t>
  </si>
  <si>
    <t>REMUNERACION</t>
  </si>
  <si>
    <t>Control de calidad de baciloscopia mas monitoreo y supervision</t>
  </si>
  <si>
    <t xml:space="preserve">Corresponde a pago de salarios de 7 profesionales de laboratorios clinicos  regionales que realizan el control de calidad de 20,000 baciloscopias estimadas segun MEGAS a $ 0.50 centavos cada uno fondos GOES para realizar control de calidad al 10% de láminas negativas y al 100% de láminas positivas. Anexo 2. Estudio MEGATB pag.  </t>
  </si>
  <si>
    <t xml:space="preserve">1.1.12  Ampliar la detección  de los casos de tuberculosis a través de los equipos comunitarios de salud familiar, comités de salud municipales, ADESCOS y Líderes comunitarios, ONG, </t>
  </si>
  <si>
    <t> Numero de SR investigados por los ECOS, comités de salud municipales, ADESCOS, líderes comunitarios y ONG sobre el total de SR programados</t>
  </si>
  <si>
    <t>MINSAL,7</t>
  </si>
  <si>
    <t>Realizacion de baciloscopias para diagnóstico</t>
  </si>
  <si>
    <t xml:space="preserve">Corresponde a pago de salarios de 200 profesionales de laboratorio clinico y materiales e insumos de laboratorios,con fondos GOES para realizar el proceso de montaje, coloracion  y lectura de 83,579 laminas para diagnostico de tuberculosis de todos los sintomaticos respiratorios investigados cada año. Anexo 2. Estudio MEGATB pag. </t>
  </si>
  <si>
    <t>1.1.17                     Estudio de contactos  mayores y menores de 10 años de edad de casos de tuberculosis, todas las formas.</t>
  </si>
  <si>
    <t>Numero de contactos de casos de TB estudiados/ total de contactos identificados</t>
  </si>
  <si>
    <t>5 Años</t>
  </si>
  <si>
    <t xml:space="preserve">MINSAL, ISSS, CP, BM, SANIDAD MILITAR, Otros. </t>
  </si>
  <si>
    <t>Personal de salud dando seguimiento a contactos</t>
  </si>
  <si>
    <t>POR PERSONA</t>
  </si>
  <si>
    <t xml:space="preserve">Corresponde a pago de salarios del personal de los equipos multidisciplinarios de los ECOS y UCSF para realizar busqueda de 6185 contactos de pacientes TB en la comunidad  estimandose segun MEGA un costo unitario de $ 17.40 por visita, Anexo 2. Estudio MEGATB pag. </t>
  </si>
  <si>
    <t xml:space="preserve"> 1.12.3 Elaborar material educativo sobre control de infección de Tuberculosis, para las familias.</t>
  </si>
  <si>
    <t xml:space="preserve">Número de material educativo elaborado/total material educativo programado </t>
  </si>
  <si>
    <t xml:space="preserve">Impresión de material educativo (Imprimir rotafolios,broshures, cartilla de visita domiciliar, afiches </t>
  </si>
  <si>
    <t>7,3</t>
  </si>
  <si>
    <t xml:space="preserve">1.12.1 Detección y referencia del sintomático respiratorio y soporte emocional a personas en tratamiento de TB y sus  familiares </t>
  </si>
  <si>
    <t>Número de capacitaciones realizadas</t>
  </si>
  <si>
    <t>Sistema Nacional de Salud</t>
  </si>
  <si>
    <t>Recurso Humano institucional realizando labores de Deteccion de SR</t>
  </si>
  <si>
    <t xml:space="preserve">Corresponde a pago de salarios, con fondos GOES, del personal de los equipos multidisciplinarios que realizan actividades de detección de SR. Se ha retomado el costo de atención, segùn estudio MEGATB, se ha aumentado el 8% que corresponde al promedio de escalafon que se asigna al personal cada año. Anexo 2. Estudio MEGATB pag.  </t>
  </si>
  <si>
    <t>1.13.5 Descarte de TB en población inmigrante que ingresa por trabajos temporales al país.</t>
  </si>
  <si>
    <t>Número de inmigrantes diagnosticados con T B/Total de inmigrantes investigados</t>
  </si>
  <si>
    <t>PNTYER - OSI</t>
  </si>
  <si>
    <t>Profesionales de la  institución proporcionando atencion integral en TB en lugares de trabajo temporales (fincas,cañales y otros) para captación y manejos de casos de TB</t>
  </si>
  <si>
    <t xml:space="preserve">Realizar investigaciones operacionales  para los 65 municipios de brecha alta y 172 municpios de brecha moderada para  identificar la causa de las brechas de captación de SR y detección de casos y estudio sobre evidencia entre la asociación de TB y DM </t>
  </si>
  <si>
    <t>Estas investigaciones operativas (5 por año) serán realizadas por el personal de salud o por estudiantes a nivel universitario o participantes del diplomado de TB. El costo esta referido a gastos de papelería, impresiones, transporte y otros, en el que incurren los investigadores.</t>
  </si>
  <si>
    <t xml:space="preserve">1. Implementar estrategias diferenciadas en municipios priorizados de acuerdo a brechas (alta, moderada y baja) para la búsqueda de SR, detección de casos de TB, </t>
  </si>
  <si>
    <t>FM,1</t>
  </si>
  <si>
    <t xml:space="preserve">OPS/FEM </t>
  </si>
  <si>
    <t xml:space="preserve">LABORATORIO NACIONAL DE REFERENCIA </t>
  </si>
  <si>
    <t>META 3. Curar arriba del 93% de los casos de TB pulmonar bacteriología positiva</t>
  </si>
  <si>
    <t>1.2.1.1 Incrementar la búsqueda pasiva y activa de sintomáticos respiratorios y contactos para la detección de casos con los  establecimientos de salud de la RIISS, equipos de salud de las de las alcaldías municipales, otros proveedores de salud y actores relacionados con las determinantes sociales de la salud( trabajo, educación, organizaciones basadas en la fe, entre otros)</t>
  </si>
  <si>
    <t>Núm. de equipos locales dotados con insumos</t>
  </si>
  <si>
    <t>anual</t>
  </si>
  <si>
    <t>por Kits</t>
  </si>
  <si>
    <t>5:Disminución de la mortalidad por TB/HIV</t>
  </si>
  <si>
    <t>1.     Fortalecer las actividades  de colaboración TB/VIH, el manejo de  co-morbilidades y el control de infecciones.</t>
  </si>
  <si>
    <t>1.7.5 Intensificar en  la RIISS búsqueda activa y sistemática de casos de TB en personas con VIH  para proporcionar un tratamiento para la TB de forma oportuna</t>
  </si>
  <si>
    <t>Número de UCSF proporcionando atención integral e integrada de la coinfección TB/VIH/Total de UCSF</t>
  </si>
  <si>
    <t>MINSAL,5</t>
  </si>
  <si>
    <t>Impresión de 1000 bloques de hojas de reacciones adversas</t>
  </si>
  <si>
    <t>Se gestionara la impresion de las hojas de reacciones adversas a los medicamentos antifimico y TAR, a fin de que se realice un monitoreo de las dos enfermedades TB y VIH en una persona y la frecuencia de dichas reacciones. Se imprimirá 1000 bloques cada año a $ 1.00 c/u totalizando: $ 5,000. Esto se realizara como contrapartida del MINSAL en la imprenta nacional y se distribuira en la 10 UCSF con servicios integrados TB y VIH. Anexo 10. Costos materiales impresos</t>
  </si>
  <si>
    <t xml:space="preserve">Impresión de 1000 afiches </t>
  </si>
  <si>
    <t>Se gestionara la impresion de 1000 afiches sobre los servicios integrados de coinfeccion TB/VIH, a fin de que se socialice la integralidad de la atencion de los pacientes coinfetados TB/VIH. Se imprimirá 1000 ejemplares cada año a $ 1.00 c/u totalizando: $ 5,000. Esto se realizara como contrapartida del MINSAL en la imprenta nacional y se distribuira en la 10 UCSF con servicios integrados TB y VIH. Anexo 10. Costos materiales impresos</t>
  </si>
  <si>
    <t>Impresión de 1000 libros de registro cada dos años.</t>
  </si>
  <si>
    <t xml:space="preserve">Se gestionara la impresion de 1818 libros de registro para el descarte de tuberculosis en personas con VIH,  a fin de que mantener la fuente primaria de recolecion de datos e informar los indicadores de coinfeccion TBV/IH. Se imprimirá 1000 ejemplares cada año a $ 1.65 c/u totalizando: $5999.40. Esto se realizara como contrapartida del MINSAL en la imprenta nacional y se distribuira en la 10 UCSF con servicios integrados TB y VIH. </t>
  </si>
  <si>
    <t xml:space="preserve">2. Disminuir el porcentaje de fallecidos por la coinfección TB/VIH </t>
  </si>
  <si>
    <t>5,2</t>
  </si>
  <si>
    <t>1.7.6  Proporcionar laTPI y el TARV temprano con dosis fija de forma universal.</t>
  </si>
  <si>
    <t>Número de personas con VIH a los que se les proporciona TPI previo descarte de TB</t>
  </si>
  <si>
    <t>Cada 2 anos</t>
  </si>
  <si>
    <t>Programa Nacional de Tuberculosis y VIH</t>
  </si>
  <si>
    <t>Compra de Isoniacida para la TPI en los PVS (se estima 1200 casos año aprox.)</t>
  </si>
  <si>
    <t>Se gestionara con la Direccion de Medicamentos la compra de Isoniacida para la profilaxis con INH de 1200 personas con VIH. Se compraran 234 tabletas de INH (profilaxis dura 9 meses) por paciente cada año, con el objetivo de evitar que estos pacientes se enfermen de tuberculosis ya que es una poblacion vulnerable con mayor probabilidad de enfermarse. Cada tableta de INH cuesta 0.015 ctvs. Esto se comprara con el fondo rotativo de OPS al MINSAL como contrapartida, se realizará todos los años. Total: $ 105.300.00</t>
  </si>
  <si>
    <t>1.7.6  Proporcionar la prevención de la TB  con TPI y el TARV temprano con dosis fija de forma universal.</t>
  </si>
  <si>
    <t xml:space="preserve">Impresión de 5000 "Guia para el manejo de los pacientes con  terapia preventiva con isoniacida (TPI) previo descarte de TB" previo descarte de TB </t>
  </si>
  <si>
    <t>Impresión de 5000 ejemplares del documento "Guia para el manejo de los pacientes con  terapia preventiva con isoniacida (TPI) previo descarte de TB".  c/u a $ 1.50 total: 15,000 se realizara en los años 2016 y 2018. Tiene como objetivo que los profesionales de la salud desarrollen una atencion sistematizada y estandarizada hacia estos pacientes ya que es una poblacion vulnerable con mayor probabilidad de enfermarse. esto se gestionara con el MINSAL como contrapartida y la imprenta nacional. Anexo 10. Costos materiales impresos</t>
  </si>
  <si>
    <t>1.8.1  Impresión de material educativo para facilitar las intervenciones de prevención del VIH en los pacientes con diagnóstico presuntivo o confirmado de TB.</t>
  </si>
  <si>
    <t>Material educativo impreso/total de material educativo programado</t>
  </si>
  <si>
    <t>PNTYER y VIH MINSAL, ISSS, Centros penales, Hospitales Privados, ONG´s, etc.</t>
  </si>
  <si>
    <t>Imprimir 2,000 rotafolios, 1,000 brochures, 1,000 panfletos, 1,000 afiches, y 1,000 flujogramas.</t>
  </si>
  <si>
    <t>Se gestionara la impresion del material educativo para facilitar las intervenciones de prevención del VIH en los pacientes con diagnóstico presuntivo o confirmado de TB. Imprimendo 2,000 rotafolios c/u $4.60, total $9,200; 100000 brochures c/u $ .35, total $3,500;9000 folletos c/u $0.47, total $4230; 2,045 afiches de flojogramas y actividades colaborativas TB/VIH c/u $ 1,50, total $3067.50  total: en los años 2016, 2018 y 2020 como contrapartida del MINSAL en la imprenta nacional. Anexo 10. Costos materiales impresos</t>
  </si>
  <si>
    <t>1.8.2 Proporcionar TMP/SMX (TPC) a pacientes coinfectados TB/VIH.</t>
  </si>
  <si>
    <t xml:space="preserve">Porcentaje de pacientes coinfectados que reciben TMP-SMX durante el tratamiento para la TB/total de pacientes coinfectados TB/VIH      </t>
  </si>
  <si>
    <t>compra de TMP-SMX</t>
  </si>
  <si>
    <t>6,1</t>
  </si>
  <si>
    <t>DR. CASTILLO</t>
  </si>
  <si>
    <t>por servicios</t>
  </si>
  <si>
    <t>6.2.1.1  Fortalecer el diagnóstico clínico, epidemiológico (contacto), radiológico, anatomopatológico, microbiológico (baciloscopía y cultivo de esputo, aspirado gástrico y otras muestras).  aTraves de capacitacion y la socializacion de los instrumentos tecnicos y juridicos actualizados segun las ultimas recomendaciones de l aOMS (Guias, manuales, normas)</t>
  </si>
  <si>
    <t>Número de recursos capacitados en TB infantil /total de recursos programados a capacitar en TB infantil.</t>
  </si>
  <si>
    <t>DRA MELGAR</t>
  </si>
  <si>
    <t>Servicio de alimentacion con uso de instalaciones para la revision formacion y capacitacion de los recursos en los nuevos instrumentos tecnicos juridicos del programa</t>
  </si>
  <si>
    <t>DIRECCION DE HOSPITALES</t>
  </si>
  <si>
    <t>7: Fortalecimiento al Sistema de Salud</t>
  </si>
  <si>
    <t>META 7. Operativizar la Estrategia Fin a la TB en el 100% de los servicios del Sistema Nacional de Salud, CP y otras poblaciones de alto riesgo.</t>
  </si>
  <si>
    <t>7.    Diseñar e Implementar un sistema de información electrónico de TB innovador</t>
  </si>
  <si>
    <t>7,7</t>
  </si>
  <si>
    <t>1.  Tasa de incidencia  de casos notificados de tuberculosis todas las formas, confirmada bacteriológicamente y con diagnóstico clínico, (casos nuevos y recaídas) a nivel nacional Reportada por sexo y edad por 100 mil habitantes.</t>
  </si>
  <si>
    <t>Sistema de información de TB diseñado e integrado al SUIS</t>
  </si>
  <si>
    <t>2 años</t>
  </si>
  <si>
    <t>ING. ALEMAN</t>
  </si>
  <si>
    <t>FM,7</t>
  </si>
  <si>
    <t>Por persona</t>
  </si>
  <si>
    <t>DTIC</t>
  </si>
  <si>
    <t>Monitoreo y Evaluación</t>
  </si>
  <si>
    <t>META 1. Detectar por lo menos el 90% de los Sintomáticos Respiratorios priorizando los municipios que presentan mayor brecha de detección.</t>
  </si>
  <si>
    <t>10. Medir el impacto directo e indirectamente tanto en indicadores epidemiológicos y operativos de las actividades realizadas en el sector salud y otros actores involucrados en la lucha contra la tuberculosis.</t>
  </si>
  <si>
    <t>1,1</t>
  </si>
  <si>
    <t>8.1.10.1 Busqueda activa de SR en la comunidad.</t>
  </si>
  <si>
    <t>Número de reuniones realizadas con Red de enfermería, control de calidad, docencia/total de reuniones programadas</t>
  </si>
  <si>
    <t>3 año</t>
  </si>
  <si>
    <t>MINSAL, ISSS, CP, SM UNIVERSIDADES</t>
  </si>
  <si>
    <t>FM,M</t>
  </si>
  <si>
    <t>Jornadas de monitoreo y evaluacion con enfermeria y comité Nacional de docentes</t>
  </si>
  <si>
    <t>4. Evaluar los procesos e impactos planificados a través del Programa.</t>
  </si>
  <si>
    <t>7,6</t>
  </si>
  <si>
    <t xml:space="preserve">8.7.4.1 Monitorear Evaluar el cumplimento del plan anual operativo del MINSAL en coordinacion con otros proveedores de servicios de salud y organizaciones de la  sociedad civil (OSC).  1 evaluacion por region cada semestre </t>
  </si>
  <si>
    <t>Número de evaluaciones ejecutadas al semestre/Total de  evaluaciones planificadas x 100</t>
  </si>
  <si>
    <t>DR. SOTO</t>
  </si>
  <si>
    <t>Servicios de alimentacion  para la evaluación del cumplimiento de indicadores epidemiologicos y programaticos a nivel regional incluyendo actores y sectores ONG contratados por la Sociedad Civil</t>
  </si>
  <si>
    <t>1. Medir el impacto directo e indirectamente tanto en indicadores epidemiológicos y operativos de las actividades realizadas en el sector salud y otros actores involucrados en la lucha contra la tuberculosis.</t>
  </si>
  <si>
    <t>5,1</t>
  </si>
  <si>
    <t>5.   Disminuir el porcentaje de fallecidos por  la coinfección TB/VIH.</t>
  </si>
  <si>
    <t>1. Número de reuniones y jornadas realizadas/Total de reuniones y jornadas programadas</t>
  </si>
  <si>
    <t>Primer año</t>
  </si>
  <si>
    <t>Los Programas de TB e ITS/VIH (MINSAL), SNS, Ministerio de Justicia y Seguridad Pública (MJSP),  comunidad y sociedad civil.</t>
  </si>
  <si>
    <t>por servicio</t>
  </si>
  <si>
    <t>1000 ROTAFOLIOS A UN COSTO DE $ 4.60 CADA UNO CADA 2 AÑO MAS 20,000 BROSHURES  A UN COSTO DE $0.05 CTS CADA UNO cada año mas impresión de 1, 500  Guias para el diagnostico y manejo de TB infantil a un costo de $0.95 ctvs cada 2 años. Para ser distribuido entre los diferentes estableciemintos de salud del MINSAL y de otras instituciones.  Anexo 10. Costos materiales impresos</t>
  </si>
  <si>
    <t>4.1.4 Realización de investigaciones operativas a nivel de regiones de salud, incentivando Divulgación y/o Publicación de investigaciones realizadas con personal de salud capacitado</t>
  </si>
  <si>
    <t>Numero de investigaciones realizadas/número de investigaciones programadas</t>
  </si>
  <si>
    <t>Dos anuales por Región del 2016 al 2020</t>
  </si>
  <si>
    <t>Comité Científico/SNS e Instituciones Formadoras</t>
  </si>
  <si>
    <t>8.7.10.1 Conmemoración del día mundial de lucha contra la tuberculosis,  para presentar a Nivel Nacional los avances en el  control de la TB, resultados de estudios, intervenciones y estrategias realizadas a nivel local; asi como logros epidemiologicos y operativos; con la asistencia de la Cooperación externa.</t>
  </si>
  <si>
    <t>MINSAL EN COORDINACION CON TODAS LAS INSTITUCIONES PROVEEDORAS DE SALUD Y ORGANIZACIONES DE SOCIEDAD CIVIL</t>
  </si>
  <si>
    <t>LIC. RAMOS</t>
  </si>
  <si>
    <t>Servicios de Alimentación para Desarrollo de congreso nacional de tuberculosis</t>
  </si>
  <si>
    <t>porcentaje de personas con tuberculosis y cuyos hogares experimentan gastos catastroficos debido a la tuberculosis</t>
  </si>
  <si>
    <t>Informe de línea de base sobre gastos catastroficos en tuberculosis</t>
  </si>
  <si>
    <t xml:space="preserve"> Contratación de consultoria para realizar  levantamiento de línea de base: gastos catastróficos en personas diagnosticadas con tuberculosis en las 5 Regiones de Salud de El Salvador. Basados en el Pilar 2  de la estrategia Fin de la Tb, que se refiere a la "Protección social , reducción social y las acciones sobre otros determinantes sociales de la TB"</t>
  </si>
  <si>
    <t>LIC. BESSY VELIS</t>
  </si>
  <si>
    <t>Contratacion de una Institucion formadora de recursos para el desarrollo del Diplomado en Atencion Integral a la Tuberculosis</t>
  </si>
  <si>
    <t>DR CASTILLO</t>
  </si>
  <si>
    <t>Número de establecimientos dotados con glucómetros /Total de establecimiento programados x 100</t>
  </si>
  <si>
    <t>Compra de Glucometros portatiles, lancetas y tiras reactivas  para  verificar la glicemia de personas con TB y diagnosticar o descartar  DM en estos pacientes.</t>
  </si>
  <si>
    <t>Contratacion de Institucion formadora para el desarrollo de Diplomado de Investiagcion con enfasis en tuberculosis</t>
  </si>
  <si>
    <t>Se contratará una institución universitaria para realizar un diplomado en investigación operativa (uno por cada año)  con 40 personas, que incluya el componente de enseñanza sofware estadísticos de uso gratuito y el nuevo SIIS (Sistema de información innovador de salud en TB, además de análisis de datos.</t>
  </si>
  <si>
    <t>6.4.2.1       Diagnostico  de la TB en personas con enfermedades respiratorias crónicas  (Asma, EPOC, Neumonía, personas tabaquistas)  y viceversa en la RIISS.</t>
  </si>
  <si>
    <t>Número de personas con enfermedad respiratoria crónica diagnosticadas con TB/total de personas que presentan enfermedad respiratorias crónicas.</t>
  </si>
  <si>
    <t>Personal de salud detectando casos de TB en personas con enfermedades respiratorias crónicas</t>
  </si>
  <si>
    <t>por personas</t>
  </si>
  <si>
    <t xml:space="preserve">Descarte de TB a traves de los metodos diagnosticos Gene Xpert, cultivo y otros a los que ingresan a traves de la estrategia PAL, basado en los registros de las personas que consultan por Asma, EPOC y neumonia por primera vez en el año, a quienes se les hace intervenciones para descartar TB. Anexo 2. Estudio MEGATB pag. </t>
  </si>
  <si>
    <t>6.4.1.2       Diagnostico  de la TB en personas con enfermedades respiratorias crónicas  (Asma, EPOC, Neumonía, personas tabaquistas)  y viceversa en la RIISS.</t>
  </si>
  <si>
    <t>Recursos humanos ISSS para la deteccion y atencion a SRs (enfermeras, otros.)</t>
  </si>
  <si>
    <t>El pago de las incapacidades que hace el ISSS, al incapacitarse un derechohabiente cuando se le diagnostica TB ,este subsidio corresponde a la contapartida del ISSS</t>
  </si>
  <si>
    <t>Dar soporte a las familias con gastos catastroficos</t>
  </si>
  <si>
    <t>Informe de línea de base sobre caracterización de grandes ciudades.</t>
  </si>
  <si>
    <t>MINSAL Y OTRAS INSTITUCIONES</t>
  </si>
  <si>
    <t>Consultoría</t>
  </si>
  <si>
    <t>6.7.1.1 Capacitaciones sobre control de infecciones.</t>
  </si>
  <si>
    <t>Número de recursos humanos incorporados en control de infecciones en tuberculosis.</t>
  </si>
  <si>
    <t xml:space="preserve">30 recurso a capacitarse por profesionales de la salud . </t>
  </si>
  <si>
    <t>por persona</t>
  </si>
  <si>
    <t xml:space="preserve"> El curso nacional de control de infecciones con enfasis en TB y otras enfermedades respiratorias dirigido a personal multidisciplinario de salud, personal de mantenimiento, arquitectos e ingenieros y otros. con 30 personas c/u, el curso dura 3 dias,  Jornadas de 8 horas, el costo corresponde al valor de salario por dia recurso. </t>
  </si>
  <si>
    <t>6.7.1.2 diagnostico de la TB en trabajoderes del salud del MINSAL y otros prestadores de salud.</t>
  </si>
  <si>
    <t>Número de trabajadores de salud,  con sospecha de TB   diagnosticados/total de trabajadores de salud,  con sospecha de TB investigados a través de pruebas moleculares.</t>
  </si>
  <si>
    <t>PNTYER - OTROS prestadores de Servicios de Salud no PNT</t>
  </si>
  <si>
    <t>Atencion medica en trabajaadores de salud para diagnostico de TB</t>
  </si>
  <si>
    <t>Para todos los items donde el GOES asume pago de salarios de RRHH en cualquier categoria, nivel multidisciplinario se ha aumentado el 8% que corresponde al promedio de escalafon que se asigna cada año a RRHH</t>
  </si>
  <si>
    <t xml:space="preserve">6.7.1.3 Fortalecimiento a las actividades de detección de TB en bartolinas y en población infantil( ISNA (11 Centros de acogimiento a nivel nacional) </t>
  </si>
  <si>
    <t>Número de centros de acogimiento del  ISNA  y bartolinas que coordinan con establecimientos del MINSAL para realizar diagnóstico de TB./Total de centros del ISNA (11 ) y bartolinas</t>
  </si>
  <si>
    <t>PNTYER - ISNA</t>
  </si>
  <si>
    <t>LIC CASTRO</t>
  </si>
  <si>
    <t>Personal del MINSAL coordinando actividades para para diagnostico de  TB con personal del ISNA y bartolinas</t>
  </si>
  <si>
    <t>Atención de salud</t>
  </si>
  <si>
    <t>6.3.2.1 Diseñar e imprimir material educativo en Tb infantil dirigido al personal de salud.</t>
  </si>
  <si>
    <t>Número de cmateriales educativos sobre TB infantil impresos/ total de materiales educativos programados</t>
  </si>
  <si>
    <t>Diseño eImpresión de Material educativo de TB infantil.
1000 Rotafolios a $4.60 = $4,600
20,000 Brochure a $0.05 = $ 1,000
1,500 guías a $0.95 $1,425</t>
  </si>
  <si>
    <t>LINEAS ESTRATEGICAS</t>
  </si>
  <si>
    <t xml:space="preserve">META </t>
  </si>
  <si>
    <t>OBJETIVOS ESTRATEGICOS</t>
  </si>
  <si>
    <t>TIEMPOS DE EJECUCIÓN</t>
  </si>
  <si>
    <t>RESPONSABLES</t>
  </si>
  <si>
    <t>TECNICO RESPONSABLE/FM</t>
  </si>
  <si>
    <t>TECNICO RESPONSABLE</t>
  </si>
  <si>
    <t>FF/LE</t>
  </si>
  <si>
    <t>CODIGO</t>
  </si>
  <si>
    <t>RUBRO PRESUPUESTARIO</t>
  </si>
  <si>
    <t>CATEGORIA DE COSTO</t>
  </si>
  <si>
    <t>UNIDAD DE MEDIDA</t>
  </si>
  <si>
    <t>CANTIDAD</t>
  </si>
  <si>
    <t>COSTO UNITARIO</t>
  </si>
  <si>
    <t>COSTO TOTAL 
AÑO 1 (2019)</t>
  </si>
  <si>
    <t>COSTO TOTAL AÑO 2 (2020)</t>
  </si>
  <si>
    <t>COSTO TOTAL AÑO  2021</t>
  </si>
  <si>
    <t>TOTAL 3 AÑOS</t>
  </si>
  <si>
    <t>RESPONSABLE DE COMPRA
BIEN O SERVICIO</t>
  </si>
  <si>
    <t>2: Tratamiento de  casos TB de todas las formas</t>
  </si>
  <si>
    <t>META 2. Detectar por lo menos el 90% de los casos de Tuberculosis priorizando los municipios que presentan mayor brecha de detección.</t>
  </si>
  <si>
    <t>2. Curar los casos de TB pulmonar bacteriología positiva</t>
  </si>
  <si>
    <t>2,1</t>
  </si>
  <si>
    <t>2.   Tasa de éxito de tratamiento (casos nuevos y recaídas tratados por TB) en mujeres y hombres,</t>
  </si>
  <si>
    <t>Numeros de jornadas desarrolladas / total de jornadas programadas x 100</t>
  </si>
  <si>
    <t>5 años</t>
  </si>
  <si>
    <t>MINSAL</t>
  </si>
  <si>
    <t>LIC CHITA</t>
  </si>
  <si>
    <t>FM,2</t>
  </si>
  <si>
    <t>FONDO MUNDIAL</t>
  </si>
  <si>
    <t>ADQUISICIONES DE BIENES Y SERVICIOS</t>
  </si>
  <si>
    <t>17 Jornadas de capacitacion para actualizacion y retroalimentación de la estrategia TAES y estrategia Fin a la TB en cada uno de los SIBASIS</t>
  </si>
  <si>
    <t>ALIMENTACION</t>
  </si>
  <si>
    <t>POR SERVICIOS</t>
  </si>
  <si>
    <t xml:space="preserve">PNUD </t>
  </si>
  <si>
    <t>DIRECCION DE PRIMER NIVEL DE ATENCION</t>
  </si>
  <si>
    <t>2,3</t>
  </si>
  <si>
    <t>PNTYER</t>
  </si>
  <si>
    <t>DRA. CASTRO</t>
  </si>
  <si>
    <t xml:space="preserve">6: Atención integral a grupos de más alto riesgo </t>
  </si>
  <si>
    <t xml:space="preserve">META 6. Disminuir el porcentaje de fallecidos por la coinfección TB/VIH en 5 puntos porcentuales con relación al 2012 (19%).  </t>
  </si>
  <si>
    <t>2.     Operativizar la Estrategia Fin a la TB en el Sistema Nacional de Salud, CP y otras instituciones que atienden poblaciones de alto riesgo.</t>
  </si>
  <si>
    <t>6,2</t>
  </si>
  <si>
    <t>1.   Tasa de incidencia  de casos notificados de tuberculosis todas las formas, confirmada bacteriológicamente y con diagnóstico clínico, (casos nuevos y recaídas) a nivel nacional Reportada por sexo y edad por 100 mil habitantes.</t>
  </si>
  <si>
    <t>3 años</t>
  </si>
  <si>
    <t>LIC. CASTRO</t>
  </si>
  <si>
    <t>FM,6</t>
  </si>
  <si>
    <t xml:space="preserve">Desarrollo de jornadas sobre cambio de comportamiento con personal de salud con calidad y calidez, libre de prácticas y actitudes de estIgma y discriminación     Jornadas de actualización en TB con personal de centros penales, policia nacional civil (bartolinas), personal del ISNA </t>
  </si>
  <si>
    <t xml:space="preserve">servicios </t>
  </si>
  <si>
    <t>7,1</t>
  </si>
  <si>
    <t xml:space="preserve">6.7.2.1  Garantizar la continuacion de la implementacion del control de infecciones con enfasis en Tuberculosis en establecimientos de salud </t>
  </si>
  <si>
    <t>Año 1, 2 y 3</t>
  </si>
  <si>
    <t>por contrato</t>
  </si>
  <si>
    <t>META 4. Detectar al menos el 90% de los casos confirmados bacteriológicamente de tuberculosis farmacorresistente (tuberculosis resistente a la rifampicina y/o tuberculosis multirresistente) notificados al programa nacional de tuberculosis.</t>
  </si>
  <si>
    <t xml:space="preserve">1.1.1.2 Ampliar y equipar la red de diagnóstico de tuberculosis, con acceso a cultivo,  microscopia y pruebas moleculares </t>
  </si>
  <si>
    <t xml:space="preserve">1.1.1.4 Ampliar y equipar la red de diagnóstico de tuberculosis, con acceso a cultivo,  microscopia y pruebas moleculares </t>
  </si>
  <si>
    <t xml:space="preserve">1.1.1.6 Ampliar y equipar la red de diagnóstico de tuberculosis, con acceso a cultivo,  microscopia y pruebas moleculares </t>
  </si>
  <si>
    <t>3.4.2.1 Diagnostico de la Tuberculosis resistente utilizando Gene Xpert en poblaciones de riesgo con sospecha de MDR-TB.</t>
  </si>
  <si>
    <t xml:space="preserve">2.     Detectar casos de tuberculosis farmacorresistente, tuberculosis resistente a la rifampicina y/o tuberculosis multirresistente. 
</t>
  </si>
  <si>
    <t xml:space="preserve">
2. Detectar casos de Tuberculosis priorizando los municipios que presentan mayor brecha de detección y seguimiento de los contactos..</t>
  </si>
  <si>
    <t>Porcentaje de casos de tuberculosis confirmados bacteriológicamente con microscopía y  pruebas moleculares</t>
  </si>
  <si>
    <t>Detectar por lo menos el 90% de los casos de tuberculosis priorizando los municipios que presentan mayor brecha de detección.</t>
  </si>
  <si>
    <t>3. Lograr el compromiso de las comunidades, municipalidades, organizaciones de la sociedad civil y los proveedores de atención públicos y privados para la respuesta y el abordaje integral de la tuberculosis</t>
  </si>
  <si>
    <t>Se desarrollará un congreso nacional de TB, durante cada año, en el cual participe personal opertivo del SNS, ONG´s y otros proveedores de salud públicos y privados (280 personas). El propósito es actualizar al personal operativo en la temática de la TB, dar a conocer resultados de estudios realizados,promover la implementacion de nuevas estrategias y experiencias exitosas a nivel operativo, entre otros.</t>
  </si>
  <si>
    <t xml:space="preserve">1.7.2.2 Ejecución de actividades de promoción, educación a través de medios colectivos para difusion de mensajes sobre TB, incluyendo la promocion de derechos y deberes de las personas con TB, TB/VIH y reducción de estigma y discriminación. </t>
  </si>
  <si>
    <t>Campaña informativa-educativa a través de radio, desarrollada/Campaña informativa-educativa a trvés de radio, programada</t>
  </si>
  <si>
    <t>Se hace necesario desarrollar una campaña de informacion y educacion a traves de medios de comunicacion colectiva ( radio) con la finalidad de llevar mensajes de tuberculosis a la poblacion, principalmente a la que no demanda atencion en los establecimientos de salud y asi captar sintomaticos respiratorios para realizar diagnosticos precoz y tratamiento oportuno de casos</t>
  </si>
  <si>
    <t>Detectar por lo menos el 90% de los casos de tuberculosis priorizando los municipios que presentan mayor brecha de detección.</t>
  </si>
  <si>
    <t>Detectar casos de Tuberculosis priorizando los municipios que presentan mayor brecha de detección y seguimiento de los contactos.</t>
  </si>
  <si>
    <t>Se dotara a los SIBASIS de hieleras para equipar los vehiculos del transporte de muestras de esputo desde la comunidad hasta las UCSF y establecimientos de referencias para el procesamiento de cultivo y prueba de Gene Xpert; asi tambien se proporcionara a diferentes centros penitenciarios</t>
  </si>
  <si>
    <t>Se dotará a los SIBASI (17) de materiales gastables (cartulina, plumones, papel bond, fomi, papel corrugado, entre otros) para que sean distribuidos entre los establecimientos de salud, para que éstos elaboren murales con mensajes alusivos a la tuberculosis, dirigidos a la población demandante se servicios de salud y a la comunidd en general. Anexo cuadro. Costo de papelería, insumos de oficina y otros</t>
  </si>
  <si>
    <t xml:space="preserve">6. Supervisión, Monitoreo y Evaluación del PENMTB </t>
  </si>
  <si>
    <t xml:space="preserve"> META7. Operativizar la Estrategia Fin a la TB en el 100% de los servicios del Sistema Nacional de Salud, CP y otras poblaciones de alto riesgo.</t>
  </si>
  <si>
    <t>Mantener funcionando de manera optima y adecuada el equipo de accesorios adicional al equipo de rayos X para poder brindar la atencion en el momento que se requieran los servicios a las poblaciones vulnerables</t>
  </si>
  <si>
    <t>Numero de mantenimientos programados para el equipo accesorio de la Unidad movil de rayos X entre el numero de mantenimientos realizado.</t>
  </si>
  <si>
    <t xml:space="preserve">Se brindará consejeria (5 por paciente) en los niveles locales al total de pacientes diagnosticados como caso de TB (todas las formas) con el objetivo de que las personas con TB conozcan sobre su enfermedad y desarrollen habilidades y destrezas para que asi asuman su rol protagonico durante su tratamiento y asi tambien mejorar los canales de comunicación entre las personas con tuberculosis, su familia,  la comunidad y el equipo multidisciplinario de salud. Esto incluye la busqueda de sitios y mecanismos alternativos para administrar la TAES, para superar el riesgo generado por las maras a las personas que asisten a los establecimientos de salud.                       </t>
  </si>
  <si>
    <t>1.2.5 Apoyo social al derechohabiente del ISSS</t>
  </si>
  <si>
    <t># de derechohabientes diagnosticados con TB y reciben tratamiento/ el total de derechohabientes diagnosticados con TB</t>
  </si>
  <si>
    <t>Dr, Garay</t>
  </si>
  <si>
    <t>Pacientes, tratamiento y pago de incapacidad por el ISSS</t>
  </si>
  <si>
    <t>Compra de materiales para proporcionar a los participantes del congreso (maletines, memorias USB, bolígrafos)</t>
  </si>
  <si>
    <t>8.7.10.3 Monitoreo, supervision y evaluación de la aplicación  del plan de control de infecciones de la tuberculosis.                                                        Fortalecer el monitoreo, supervisión y evaluación conjunta de la aplicacion de los planes de control de infecciones con enfasis en tuberculosis de los establecimientos de salud</t>
  </si>
  <si>
    <t>Numero de establecimientos  supervisados cumpliendo el plan de control de infecciones /total de establecimientos programados</t>
  </si>
  <si>
    <t>A</t>
  </si>
  <si>
    <t xml:space="preserve">1: Detección precoz  de casos de tuberculosis </t>
  </si>
  <si>
    <t>1. Implementar  estrategias diferenciadas en municipios priorizados de acuerdo a brechas (alta, moderada y baja) para la búsqueda de SR, detección de casos de TB, en función de cobertura de servicios de salud, pobreza y densidad poblacional.</t>
  </si>
  <si>
    <t>1.1.1 .1 Busqueda activa de SR en la comunidad.</t>
  </si>
  <si>
    <t xml:space="preserve">  Porcentaje de casos detectados TB con pruebas bacteriologicas / total de personas a las que se les realizo pruebas bactreriologicas</t>
  </si>
  <si>
    <t>MINSAL (Dr. Ayala)</t>
  </si>
  <si>
    <t>DR. AYALA</t>
  </si>
  <si>
    <t>MINSAL,1</t>
  </si>
  <si>
    <t>MINSAL (CONTRAPARTIDA)COMUNITARIA</t>
  </si>
  <si>
    <t>1.1.1.1.1 Transporte para desplazamiento del Equipos comunitarios de salud para la busqueda de  Sintomaticos Respiratorios en las comunidades</t>
  </si>
  <si>
    <t>1.1.1.1 Busqueda activa de SR en la comunidad.</t>
  </si>
  <si>
    <t>FS,1</t>
  </si>
  <si>
    <t>FOSALUD</t>
  </si>
  <si>
    <t>1.1.1.1.2 Costo de las Atenciones Medicas anuales por Sintomaticos Respiratorios</t>
  </si>
  <si>
    <t>Se fortaleceran las actividades de deteccion en poblacion infantil atendida por el ISNA, la identificacion la realizara el personal que atiende a la poblacion del ISNA, quienes coordinaran con el establecimiento del MINSAL que les corresponde de acuerdo a la micro red, para realizar las pruebas diagnosticas correspondientes y confirmar o descartar el diagnostico de enfermedad tuberculosa, en esta poblacion infantil.  La poblacion infantil en estos 11 centros asciende a 800 , y por Ley reciben al menos 1 consulta por año.</t>
  </si>
  <si>
    <t>6.7.2.2 Realizar actividades de control de TB en zonas fronterizas para la captación, tratamiento y o referencia  de casos, en coordinación con las oficinas Sanitarias internacional de FOSALUD.</t>
  </si>
  <si>
    <t xml:space="preserve"> Número de casos de TB. captados en zonas fronterizas /total de consultas</t>
  </si>
  <si>
    <t>PNTYER- OSI</t>
  </si>
  <si>
    <t>Profesionales de la  institución en zona fronterizas para captación y manejos de casos de TB</t>
  </si>
  <si>
    <t>Salario horas / persona de Recursos Humanos para captar un promedio de 50 casos anuales de TB en personas en zonas fronteriza. Para todo personal multidisciplinario que realiza actividades, se le incrementa en 8% anual, que corresponde al promedio de escalafon que se asigna cada año.</t>
  </si>
  <si>
    <t>1.7.1.7 Diagnostico precoz de la TB en personas en personas afectadas por determinantes sociales</t>
  </si>
  <si>
    <t>4 años</t>
  </si>
  <si>
    <t xml:space="preserve">Kits </t>
  </si>
  <si>
    <t xml:space="preserve">6.7.2.3 Diagnostico precoz de la TB en personas con diabetes, HTA y otras enfermedades cronicas y descate de diabetes en pacientes con TB </t>
  </si>
  <si>
    <t>Número de personas con diabetes diagnosticados con TB/Total de personas con diabetes investigados.</t>
  </si>
  <si>
    <t xml:space="preserve">PNTYER, ASADI </t>
  </si>
  <si>
    <t>Profesionales de la  salud proporcionando atencion integral para buscar personas con diabetes en TB  y  TB en personas con diabetes , asi como la busqueda de TB en otras patologias cronicas como la HTA y otras inmunosupresoras como IRC, neoplasias, colagenopatias, etc.</t>
  </si>
  <si>
    <t>atenciones</t>
  </si>
  <si>
    <t>2.7.2.1  Proporcionar soporte nutricional a los  pacientes afectados por TB  con desnutrición</t>
  </si>
  <si>
    <t>Número de casos de tuberculosis todas las formas que reciben canasta básica o suplemento Nutricional/ Total de casos diagnosticados todas las formas, con desnutrición.</t>
  </si>
  <si>
    <t>MINSAL, ISSS, Centros Penales, Sanidad Militar, Bienestar Magisterial y otros proveedores NO PNT.</t>
  </si>
  <si>
    <t xml:space="preserve">Compras de suplemento nutricional para pacientes con TB, (4 latas por paciente) </t>
  </si>
  <si>
    <t>UNIDAD DE NUTRICION</t>
  </si>
  <si>
    <t>1. Proporcionar tratamiento oportuno a todas las personas con TB</t>
  </si>
  <si>
    <t>7,8</t>
  </si>
  <si>
    <t>2.7.1.1 Diseño y ejecución de diplomado en el año, con personal multidisciplinarios, para la atención integral de la tuberculosis</t>
  </si>
  <si>
    <t>Numero de recursos humanos  formados y conocimiento en la estrategia fin a la TB/ Numero de recursos planificados x 100</t>
  </si>
  <si>
    <t>Numero de diplomados ejecutados/ numero de diplomados planificados x 100</t>
  </si>
  <si>
    <t>Anual</t>
  </si>
  <si>
    <t>MINSAL/PNTYER</t>
  </si>
  <si>
    <t xml:space="preserve"> Desarrollo de un diplomado al año, para la actualizaciòn y formaciòn de cuadros para el manejo clinico y programatico de laTB (estrategias de captación, detección, seguimiento y tratamiento) para los responsables de Programa de TB en niveles operativos del sector salud e instituciones formadoras de recursos.</t>
  </si>
  <si>
    <t>7,9</t>
  </si>
  <si>
    <t>2.7.2.2 Asistencia a reuniones Regionales  Internacionales, cursos seminarios congresos delegaciones por parte de tecnicos multidiciplinarios para la presentaciòn de trabajo en diversos foros que trabajen en la respuesta Nacional lucha cotra la TB en la temetica de TB, TB VIH TB MDR, TB derechos Humanos TB Genero, investigacion y otros como curso internacional de epidemiologia y control de la tuberculosis por la UNION, relacionados al cumplimiento de metas y objetivos del plan TB ya sean tecnicos administrativos o financieros. incluye congresos Nacionales y capacitacion especializadas en paquetes informaticos.</t>
  </si>
  <si>
    <t>Numeros de personas que asistieron a eventos/numeros de personas programadas a participar</t>
  </si>
  <si>
    <t>Compra de boletos inscripciones pago de cursos y io capacitaciones,  viaticos y otros para la participacion de los profesionales ya sea a nivel Nacional o Internacional</t>
  </si>
  <si>
    <t>Compra de Boletos aereos para asitencia de al menos 4 tecnicos por año del PNTB para sistir a las reuniones regionales de TB, TB/VIH, Penales, Reuniones de Jefes de Programa en la Region y asistencia a la Conferencia Mundial de La UNION,Incluye los viaticos para las Ciudades y paises donde se hacen las reuniones y  otros como curso internacional de epidemiologia y control de la tuberculosis por la UNION.</t>
  </si>
  <si>
    <t>2.7.3.1 Conmemoración del día mundial de lucha contra la tuberculosis,  para presentar a Nivel Nacional los avances en el  control de la TB, resultados de estudios, intervenciones y estrategias realizadas a nivel local; asi como logros epidemiologicos y operativos; con la asistencia de la Cooperación externa.</t>
  </si>
  <si>
    <t>Kits de Materiales para elaboración de murales y otros materiales educativos, para los 17 SIBASIS</t>
  </si>
  <si>
    <t xml:space="preserve">2.     Detectar casos de tuberculosis farmacorresistente, tuberculosis resistente a la rifampicina y/o tuberculosis multirresistente. </t>
  </si>
  <si>
    <t>3,2</t>
  </si>
  <si>
    <t>3.4.2.1 Diagnostico de la Tuberculosis resistente utilizando Gene Xper en poblaciones de riesgo con sospecha de MDR-TB.</t>
  </si>
  <si>
    <t>FM,3</t>
  </si>
  <si>
    <t>Adquisición  de 2 equipo de Gene Xpert MTBRIF de 16 módulos para pruebas moleculares  y sus respectivos consumibles con UPS</t>
  </si>
  <si>
    <t xml:space="preserve">Adquisición  de  Set de calibración xpertcheck-CE-5 </t>
  </si>
  <si>
    <t>Adquisición de modulos de repuesto de  equipos GeneXpert</t>
  </si>
  <si>
    <t>FM,5</t>
  </si>
  <si>
    <t>7,2</t>
  </si>
  <si>
    <t>6.4.2.2    Impresión de lineamientos de estrategia PAL para la busqueda de casos de tuberculosis.</t>
  </si>
  <si>
    <t>Número lineamientos de PAL impresos.</t>
  </si>
  <si>
    <t>Impresión de 1,500 lineamientos de PAL</t>
  </si>
  <si>
    <t xml:space="preserve">Se estima que alrededor de 1000 recursos de salud atienden a trabajadores temporales (fincas,cañales y otros) y le descartan tuberculosis. El calculo ha sido basado en salarios de RRHH en cualquier categoria, nivel multidisciplinario se ha aumentado el 8% que corresponde al promedio de escalafon que se asigna cada año a RRHH Anexo 2. Estudio MEGATB pag.  </t>
  </si>
  <si>
    <t>2. Lograr el compromiso de las comunidades, municipalidades, organizaciones de la sociedad civil y los proveedores de atención públicos y privados para la respuesta y el abordaje integral de la tuberculosis</t>
  </si>
  <si>
    <t>7,5</t>
  </si>
  <si>
    <t xml:space="preserve">1.1.1.1 Ampliar y equipar la red de diagnóstico de tuberculosis, con acceso a cultivo,  microscopia y pruebas moleculares </t>
  </si>
  <si>
    <t>2.   Tasa de éxito de tratamiento (casos nuevos y recaídas tratados por TB) en mujeres y hombres.</t>
  </si>
  <si>
    <t>Contratacion de Servicios de Alimentación con uso de instalaciones para reuniones con los Comités de coinfección TB/VIH y para jornadas de capacitación para formacion de facilitadores, actualización de conocimientos, evaluación de objetivos y metas de la coinfeccion TB/VIH, incluye MINSAL, ISSS, ONG, Sociedad Civil y otros proveedores.                                                                                              Dos reuniones cada año para cada una de las cinco Regiones del pais, siendo 20 personas por Region.  Dos reuniones cada año para cada uno de los comités intrahospitalario de los veinte hospitales con clinica TAR con 15 personas por Hospital. Durante los tres años. A $ 24.00 por persona.</t>
  </si>
  <si>
    <t>Servicio de alimentacion con usos de instalaciones para realizar 3 Jornadas de evaluaciones con 12 personas                                                                3 reuniones cada año con 12 puntos focales de coinfeccion TB/VIH y epidemiologos del pais a $24.00 por persona durante los tres años del proyecto.</t>
  </si>
  <si>
    <t>1. Proporcionar tratamiento oportuno a todas las personas con TB</t>
  </si>
  <si>
    <t>2.3.1..1 Gestionar el abastecimiento  de medicamentos de primera línea para todas las personas diagnosticados con TB de todas las formas</t>
  </si>
  <si>
    <t xml:space="preserve">Número de personas  tratadas con  TB todas las formas con TAES /total de casos diagnosticados todas las formas                                                                      </t>
  </si>
  <si>
    <t xml:space="preserve">MINSAL e ISSS   </t>
  </si>
  <si>
    <t>MINSAL,2</t>
  </si>
  <si>
    <t>Casos de TB recibiendo TAES</t>
  </si>
  <si>
    <t>numero de tratamientos administrados</t>
  </si>
  <si>
    <t>2.3.1.2 Gestionar el abastecimiento  de medicamentos de primera línea para todas las personas diagnosticados con TB de todas las formas</t>
  </si>
  <si>
    <t xml:space="preserve">Número de personas  tratadas por el ISSS con  TB todas las formas con TAES / el total de casos diagnosticados todas las formas                                                                      </t>
  </si>
  <si>
    <t>ISSS,2</t>
  </si>
  <si>
    <t>ISSS (CONTRAPARTIDA)</t>
  </si>
  <si>
    <t>Este costo corresponde a compra de medicamentos de primera línea. Se ha incrementado por inflacion en compras el 10% (flete mas envio) para los tratamientos comprados por año</t>
  </si>
  <si>
    <t>2.3.1.3 Dar tratamiento estandarizado  estrictamente supervisado a todas las personas diagnosticadas con tuberculosis con calidad y calidez libre de prácticas y actitudes de discriminación.</t>
  </si>
  <si>
    <t xml:space="preserve">Número casos  con éxito del tratamiento / total de casos diagnosticados  todas las formas                                                                      </t>
  </si>
  <si>
    <t>Administración del TAES al 100%  de  casos TB de todas las formas</t>
  </si>
  <si>
    <t>Esta actividad incluye horas recurso en la gestión de medicamento y administratación del tratamiento, a un costo de $4.16 por dosis administrada y cada paciente recibe 100 dosis de tratamiento, haciendo un total de $416.00 por la administración de tratamiento completo , estan incluidos los costos y sallarios directos e indirectros de todos los recursos humanos que intervienen en el proceso desde diagnositico hasta final del tratamiento de casos nuevos  y multirresistentes. Anexo 2. Estudio MEGATB pag. 75 y 78</t>
  </si>
  <si>
    <t>2,2</t>
  </si>
  <si>
    <t>2.3.2.1 Monitoreo clínico, microbiológico,  imágenes u otro método diagnostico aprobado por el MINSAL, según norma de la evolución de la enfermedad</t>
  </si>
  <si>
    <t>Número de personas en tratamiento por TB que se les realizó el monitoreo/ total de casos de tuberculosis en tratamiento</t>
  </si>
  <si>
    <t>numero de personas diagnosticadas con tuberculosis a quienes se les realiza control clínico, (tres controles durante el tratamiento)</t>
  </si>
  <si>
    <t>Atenciones</t>
  </si>
  <si>
    <t>2.3.2.2 Monitoreo clínico, microbiológico, y por imágenes según norma de la evolución de la enfermedad</t>
  </si>
  <si>
    <t>Número de personas en tratamiento por TB que se les realizó el monitoreo/el total de casos en tratamiento</t>
  </si>
  <si>
    <t>numero de personas diagnosticadas con tuberculosis a quienes se les realizo visita domiciliar (tres visitas durante el tratamiento)</t>
  </si>
  <si>
    <t>numero de visitas realizadas</t>
  </si>
  <si>
    <t xml:space="preserve">Corresponde a pago de salarios del personal (enfermera, medico o promotor de slaud) con fondos GOES, que realiza visita domiciliar para visita de paciente y contactos con los que convive.  </t>
  </si>
  <si>
    <t>3. Implementar estrategias de abogacía, comunicación y movilización social para el cambio de comportamiento en la población y la participación social, fomento al respeto de los DDHH  y disminución del estigma y la discriminación.</t>
  </si>
  <si>
    <t>2.3.3.1 Brindar a los pacientes y la familia soporte emocional para continuar el tratamiento</t>
  </si>
  <si>
    <t>Numero de consejerias realizadas/numero de consejerias programadas.</t>
  </si>
  <si>
    <t>LICDA. CHITA</t>
  </si>
  <si>
    <t>Consejeria a pacientes por personal de enfermeria</t>
  </si>
  <si>
    <t>Consejería</t>
  </si>
  <si>
    <t xml:space="preserve">Se gestionara con la Direccion de Medicamentos del MINSAL la compra de cotrimozaxol para el manejo de la TB/VIH, se gestionará la compra de 200 blister por año con el objetivo de evitar que estos pacientes se enfermen de neumonia por neumocystis jirovecci ya que es una poblacion vulnerable con mayor probabilidad de enfermarse. Va como contrapartida MINSAL. </t>
  </si>
  <si>
    <t>1.9.1 Proporcionar TARV a pacientes coinfectados TB/VIH</t>
  </si>
  <si>
    <t xml:space="preserve">Porcentaje de pacientes  coinfectados TB/VIH que inician o continúan tomando el  TAR durante el tratamiento con TB/total de pacientes coinfectados TB/VIH </t>
  </si>
  <si>
    <t>Compra de antirretrovirales para los pacientes coinfectados TB/VIH un frasco por mes para 6 meses (200 personas coinfectadas por año aproximadamente)</t>
  </si>
  <si>
    <t>Frascos</t>
  </si>
  <si>
    <t xml:space="preserve">Se gestionara con el Programa Nacional de ITS/VIH/sida y la Direccion de Medicamentos del MINSAL la compra de antiretrovirales para el manejo de la coinfeccion TB/VIH, se gestionará la compra de un frasco por mes, por paciente para 6 meses  para 200 pacientes por año (1,200 frascos) con el objetivo de potenciar la accion terapeutica de estos pacientes. Va como contrapartida MINSAL. A $ 82.80 total $82.800.00 se realizara todos los años. </t>
  </si>
  <si>
    <t xml:space="preserve">1.13.7  Implementar la detección, control,  tratamiento de TB y  Coinfección TB/VIH a la población que solicita atención en las clínicas VICITS  </t>
  </si>
  <si>
    <t>Número de personas de clínicas VICITS informadas acerca de la TB/Total de  personas de clínicas VICITS</t>
  </si>
  <si>
    <t>5 AÑOS</t>
  </si>
  <si>
    <t>PNT/ PNVIH-SIDA - Clínicas  VICITS</t>
  </si>
  <si>
    <t xml:space="preserve">Imprimir 200 rotafolios, 100,000 brochures, 1,000 afiches, 1,000 cuadernos, y 5,000  hojas volantes </t>
  </si>
  <si>
    <t>500 rotafolios sobre el prevencion y control de la coinfeccion TB/VIH a $ 4.60 c/u total: $2.300; 100,000 broshures sobre disminuir el estigma y discriminacion c/u a 0.035 ctvs total: $3.500; 1000 afiches sobre coinfeccion TB/VIH c/u a $1.50 total: $1.500. 2851 cuadernos alusivos a la prueba VIH y descarte de TB $1.28 c/u total: $10.949.28. Anexo 10. Costos materiales impresos</t>
  </si>
  <si>
    <t>6.1.1.1 Compra de cajas de peliculas para toma  de rayos X a grupos vulnerables (personas privadas de libertad y personas con riesgo social que tras ser identificados como SR tambien padescan enfermedades como diabetes, EPOC, IRC, HTA, asma, tabaquismo  entre otros).</t>
  </si>
  <si>
    <t> Número de contactos de casos de TB evaluadas con rayos X sobre el total de contactos de casos de TB. investigados</t>
  </si>
  <si>
    <t> 5 años</t>
  </si>
  <si>
    <t>LIC. SANCHEZ</t>
  </si>
  <si>
    <t>MINSAL,6</t>
  </si>
  <si>
    <t>Compra de  placas para radiografias a personas contactos de casos de TB sospechosos de TB por año</t>
  </si>
  <si>
    <t>por caja</t>
  </si>
  <si>
    <t>6.1.1.2 Compra de cajas de peliculas para toma  de rayos X a grupos vulnerables (personas privadas de libertad y personas con riesgo social que tras ser identificados como SR tambien padescan enfermedades como diabetes, EPOC, IRC, HTA, asma, tabaquismo  entre otros).</t>
  </si>
  <si>
    <t> Número de personas evaluadas con rayos X en privados de libertad y comorbilidades sobre el total de privados de libertad sugestivo de TB más comorbilidades</t>
  </si>
  <si>
    <t>Mantenimiento para unidad movil</t>
  </si>
  <si>
    <t xml:space="preserve">Se ha programado mantenimiento preventivo (cada 6 meses) y correctivo de la unidad movil. </t>
  </si>
  <si>
    <t>6.1.1.3 Compra de cajas de peliculas para toma  de rayos X a grupos vulnerables (personas privadas de libertad y personas con riesgo social que tras ser identificados como SR tambien padescan enfermedades como diabetes, EPOC, IRC, HTA, asma, tabaquismo  entre otros).</t>
  </si>
  <si>
    <t>Mantenimiento a Equipo de rayos X para unidad movil</t>
  </si>
  <si>
    <t>6.2.1.2  Fortalecer el diagnóstico clínico, epidemiológico (contacto), tuberculina (PPD), en poblacion infantil.</t>
  </si>
  <si>
    <t>Número de casos de TB infantil  diagnosticasdos como tb que reciben tratamiento de TB/  total de casos de TB infantil  x 100</t>
  </si>
  <si>
    <t>Compra de PPD</t>
  </si>
  <si>
    <t>por frasco</t>
  </si>
  <si>
    <t>Adquisición de PPD  (solicitando dos entregas al proveedor)como apoyo al diagnostico de la Tb infantil, la cual será distribuida en las regiones de salud y estos lo distribuyen a los establecimientos de salud que cumplen con la cadena de frío. Anexo 29. Costo PPD</t>
  </si>
  <si>
    <t>1.1.1.8 Dotación de  insumos de oficina y equipos informáticos para los centros de referencia de control de calidad de baciloscopías y cultivos</t>
  </si>
  <si>
    <t>Número de centros de control de calidad de Bk fortalecidos/ total de centros de control de calidad existentes</t>
  </si>
  <si>
    <t>6.2.1.3  Fortalecer el diagnóstico clínico, epidemiológico (contacto), radiológico, anatomopatológico, microbiológico (baciloscopía y cultivo de esputo, aspirado gástrico y otras muestras).</t>
  </si>
  <si>
    <t>Número de recursos  ejecutamdo pasantías por Hospital Bloom/  total de recursos programados para ejecutar pasantía</t>
  </si>
  <si>
    <t>Pasantia de RR. HH de personal multidisciplinario de segundo nivele de atención por el Hospital de Tercer Nivel de Pedriatia para la actualizacion de conocimientos en el diagnostico y tratamiento de la TB infantil inciando despues de tener elaborada la guia de atencion de TB/VIH pediatrica.</t>
  </si>
  <si>
    <t>6 pasantias por el Hospital Nacional de Niños Benjamin Bloom de 5 personas cada una por año con una duracion de 2 semanas para que el personal de segundo nivel que diagnostican TB infantil adquieran conocimientos y habilidades para el uso de los metodos diagnosticos en TB infantil. GOES asume pago de salarios de RRHH en cualquier categoria, nivel multidisciplinario . Esto se hara a partir del segundo año cuando ya esten elaboradas las guias que se aplicaran.</t>
  </si>
  <si>
    <t>6.2.1.4  Mantener la cobertura de vacunación con BCG por arriba del 90% hasta no tener una nueva vacuna.</t>
  </si>
  <si>
    <t>Número de ninos vacunados con BCG /total de niños recien nacidos</t>
  </si>
  <si>
    <t xml:space="preserve">Adquisicion de Vacunacion con BCG para prevenccion de la formas graves TB en la edad peditrica. </t>
  </si>
  <si>
    <t>Como contrapartida se gestionara con el Programa de Vacunacion e inmunizaciones del Ministerio de Salud la adquisicion de 93,480 vacunas de BCG, cada año, a fin de mantener y aumentar las coberturas de vacunacion con BCG del pais, para evitar las formas graves de tuberculosis en la poblacion. Se realizara los tres años (2016, 2017 y 2018).</t>
  </si>
  <si>
    <t>6.3.1.1  Mantener la cobertura de vacunación con BCG por arriba del 90% hasta no tener una nueva vacuna.</t>
  </si>
  <si>
    <t>ISSS,6</t>
  </si>
  <si>
    <t>Número de personas capacitadas en el abordaje de conmorbilidades asociadas a TB ( Cronicas no transmisibles, respiratorias cronicas ) Diabetes, TB, PAL / total de recursos planificados que requieren formacion en dicha estrategia x 100</t>
  </si>
  <si>
    <t xml:space="preserve">Contratación de servicios de Alimentación para Jornadas de Capacitación para actualización de conocimientos, evaluación de objetivos y metas atraves de la estrategia PAL, Tb/ diabetes que incluye MINSAL, ISSS, ONG, Sociedad Civil y otros proveedores.  Reuniones de trabajo y capacitaciones a responsables del Programa de Tb de Regiones de Salud, SIBASIS y otras Instituciones </t>
  </si>
  <si>
    <t>Se imprimirá diverso material informativo educativo con contenidos sobre la tuberculosis, para ser distribuido entre los establecimientos de salud del MINSAL, a otras instituciones proveedoras de servicios y a líderes y voluntarios comunitarios; también se imprimirán documentos de apoyo a las capcitaciones a realizar con personal operativo y comunitario. Anexo Cuadro de  Costo de materiales impresos</t>
  </si>
  <si>
    <t>Porcentaje de casos detectados de TB con cultivo BAAR/ tootal de personas que se les realizo cultivo BAAR</t>
  </si>
  <si>
    <t>Compra de 6 centrifugas refrigeradas</t>
  </si>
  <si>
    <t xml:space="preserve">3: Detección de  casos TB/MDR </t>
  </si>
  <si>
    <t>1.  Acceso universal a pruebas de sensibilidad; tamizaje sistemático de los contactos y grupos de alto riesgo para el diagnostico precoz de la TB/MDR</t>
  </si>
  <si>
    <t>3,1</t>
  </si>
  <si>
    <t>1.1.8 Adquisición de equipos, suministros e insumos necesarios para el diagnóstico de la tuberculosis, TB/VIH y TB-MDR.</t>
  </si>
  <si>
    <t xml:space="preserve">3.   Número y porcentaje de casos confirmados de TB-RR y TB-MDR que reciben tratamiento según las directrices internacionales. en mujeres y hombres </t>
  </si>
  <si>
    <t>Cantidad de reactivos comprados/Cantidad de reactivos programados  a ser comprados</t>
  </si>
  <si>
    <t>5 año</t>
  </si>
  <si>
    <t>MINSAL,3</t>
  </si>
  <si>
    <t>Compra Kit de reactivo para Realizacion de cultivos LJ</t>
  </si>
  <si>
    <t>por kits</t>
  </si>
  <si>
    <t>El costo incluye todas las sales e insumos utilizadas para la realizacion del cultivos. El 80%  de los cultivos del pais los realiza el MINSAL a un costo de $ 12.43. Anexo 2. Estudio MEGATB pag. 71</t>
  </si>
  <si>
    <t>Numero de reactivos comprados/numero de reactivos programados  a ser comprados</t>
  </si>
  <si>
    <t>ISSS</t>
  </si>
  <si>
    <t>ISSS,3</t>
  </si>
  <si>
    <t>ISSS centraliza preparación de medios de cultivo en un solo lugar para 4 Laboratorios, se ha incrementado un 10% por el factor inflación en la compra de bienes y servicios</t>
  </si>
  <si>
    <t>Compra de reactivos para: ADA, sales para tipificacion sencibilidad y resistencia y control de calidad de drogas Red de laboartorios MINSAL</t>
  </si>
  <si>
    <t xml:space="preserve">MINSAL con fondos GOES adquirira  reactivos, sales e insumos  para ADA, tipificacion, sencibilidad, resistencia y control de calidad de drogas, para uso de la  Red de laboratorios. </t>
  </si>
  <si>
    <t>Numeros de insumos comprados/Numero de insumos programados</t>
  </si>
  <si>
    <t>Decartables para realizacion de pruebas BAAR (Laminas, palillos entre otros)</t>
  </si>
  <si>
    <t>El MINSAL adquirirá la cantidad de 175,000  Kits de descartables para realización de baciloscopias que  incluye el costo de frascos ($0.22), aplicadores ($0.03) y laminas ($0.25). Fondos GOES</t>
  </si>
  <si>
    <t>Decartables para realizacion de pruebas BAAR (Láminas, palillos entre otros)</t>
  </si>
  <si>
    <t>El ISSS adquirirá la cantidad de 25,000  Kits de descartables para realización de baciloscopias que  incluye el costo de frascos ($0.22), aplicadores ($0.03) y laminas ($0.25). Fondos GOES</t>
  </si>
  <si>
    <t>META 5. Lograr un éxito de tratamiento del 100% de los casos de TB farmacorresistente.</t>
  </si>
  <si>
    <t>1.3.1 Mantener la vigilancia de la MDR en las 5 Regiones de Salud en coordinación con las instituciones proveedoras de salud.</t>
  </si>
  <si>
    <t>Número de casos TB fármacoresistentes que reciben tratamiento con drogas de segunda linea/ Total de casos farmacoresistentes diagnosticados en el periodo a evaluar</t>
  </si>
  <si>
    <t>Reunión de trabajo con establecimientos de salud que presentan casos de TB resistente.</t>
  </si>
  <si>
    <t>El costo de la alimentación es proporcionado por cada uno de los participantes en la reunión.</t>
  </si>
  <si>
    <t>Número de talleres realizados/ Numero de talleres programados x 100</t>
  </si>
  <si>
    <t>Reunión de trabajo con unidades médicas que presentan casos de TB resistente.</t>
  </si>
  <si>
    <t>El ISSS proporciona alimentación a los participantes de la reunión</t>
  </si>
  <si>
    <t>4:Tratamiento de casos TB/MDR</t>
  </si>
  <si>
    <t>1. Tratar exitosamente todos los casos de TB farmacorresistente</t>
  </si>
  <si>
    <t>4,1</t>
  </si>
  <si>
    <t>1.3.2 Gestionar la compra de medicamentos de segunda línea.</t>
  </si>
  <si>
    <t>4.   Tasa de éxito en el tratamiento de los casos confirmados de TB-RR y TB-MDR en mujeres y hombres.</t>
  </si>
  <si>
    <t>Como contrapartida se gestionará con el Instituto del Seguro Social la adquisicion de 29,520 vacunas de BCG, cada año a fin de mantener y aumentar las coberturas de vacunacion con BCG en la edad pediatrica de la poblacion economicamente activa del pais, para evitar las formas graves de tuberculosis en esta poblacion. Se realizara los tres años (2016, 2017 y 2018).</t>
  </si>
  <si>
    <t>Actualización de directrices del manejo clínico programático de la coinfección TB VIH. Y TB MDR</t>
  </si>
  <si>
    <t>Reuniones bimensuales del comité acesor del TB/VIH Y COMITÉ DE TB MDR</t>
  </si>
  <si>
    <t>Reuniones bimensuales del comité TB/VIH de 30 personas cada una para la elaboracion de documentos de coinfeccion, revision de casos clinicos, asesoria al PNTYER en aspectos clinicos.Reuniones Bimensulaes del comité TB MDR de 15 personas para el seguimiento de casos de TB DR, elaboracion de documentos TB DR, toma de desiciones en TD DR.</t>
  </si>
  <si>
    <t>Numero de casos farmacoresistentes curados o que finalizan su tratamiento/Total de casos farmacoresistentes diagnosticados X 100</t>
  </si>
  <si>
    <t>MINSAL,4</t>
  </si>
  <si>
    <t>Compra anual de medicamento de segunda linea, mas manejo integral por caso MDR</t>
  </si>
  <si>
    <t>cada una</t>
  </si>
  <si>
    <t>ISSS,4</t>
  </si>
  <si>
    <t>PRESUPUESTO PENMTB POR LINEAS ESTRATEGICAS 2019-2021</t>
  </si>
  <si>
    <t>PRESUPUESTO PENMTB POR LINEAS ESTRATEGICAS FONDO MUNDIAL 2019-2021</t>
  </si>
  <si>
    <t>PRESUPUESTO RESUMEN PENM TB POR FUENTE DE FINANCIAMIENTO 2019-2021</t>
  </si>
  <si>
    <t xml:space="preserve">LOS MODULOS DE LOS QEUIPOS SE DAÑAN CON EL TIEMPO DE USO Y ES NECESARIO EL CAMBIO DE ELLOS . CON LOS EQUIPOS ACTUALES EN FUNCIONAMIENTO HAY MODULOS DAÑADOS Y POR NO TENER REPUESTO SE HA DEJADO DE HACER CIERTA CANTIDAD DE PRUEBAS . LO QUE SE QUIERE EVITAR ES SUSPENDER EL SERVICIO O DISMINUIR LA OFERTA DE SERVICO SEGUN DEMANDA  por lo que se  compraran modulos de repuestos ya que con la experiencia de pais los modulos se dañan con el tiempo debido al uso </t>
  </si>
  <si>
    <t>CADA AÑO EL NUMERO DE CULTIVOS SE INCREMENTA Y ESTAS SON NECESARIAS PARA PODER PONER LOS MEDIOS DE CULTIVO EN EL GRADO DE INCLINACION NESARIA esta se compraran  para nivel nacional para los laboratorios que hacen cultivo BAAR Para la RED de cultivos de nivel nacional de MINSAL</t>
  </si>
  <si>
    <t>Se gestionara la contratacion de servicios de alimentacion con usos de instalaciones para realizar 3 Jornadas de evaluaciones con 12 personas del personal multidisciplinario de las Regiones u Hospitales a fin de evaluar el cumplimiento del plan de control de infecciones con enfasis en TB. c/u $ 24,00 por persona.  Monitoreo, supervision y evaluación de la aplicación  del plan de control de infecciones de la tuberculosis.</t>
  </si>
  <si>
    <t>1.7.1.6 Diagnostico precoz de la TB en personas afectadas por determinantes sociales</t>
  </si>
  <si>
    <t>Compra de equipo de chequeo, reactivos e insumos y otros materiales para  medicion, calibaracion verificacion y reparacion del estado del equipo biomedico. en la Red Nacional de hospitales y laboratorios incluye el LNR ( La mano de obra y la capacitacion de esta lo dara el estado.lo realizara personal biomedico de mantenimiento de nivel) Ver Anexo</t>
  </si>
  <si>
    <t>Se compraran equipos con sus accesorios para todos los tecnicos del PNT conciderando que los actuales ya cumplieron la vida util. Incluye la compra de sofwar privativos para aquellas que las requieran.</t>
  </si>
  <si>
    <t>Se desarrollaran 5 jornadas de 28 personas cada año para actualizar y capacitar yo socializar sitemas de informacion en linea de TB para la vigilancia de la   la farmacoresistencia.</t>
  </si>
  <si>
    <t>Pago directamente a la OMS, para el comité de luz verde quien realiza la evaluacion del manejo clinico y programatico de la farmoco resistencia de TB en el pais.</t>
  </si>
  <si>
    <t>Pagos de servicios  de desaduanaje por la compra de bienes e insumos adquiridos a traves de OPS , no incluye impuestos</t>
  </si>
  <si>
    <t>pago de servicios de corredor de bolsa para la adquicision de bienes muebles</t>
  </si>
  <si>
    <t>Pago de overhead , para la adquisicion de bienes y servicios atraves del Gestor de compra.</t>
  </si>
  <si>
    <t>Pago de gastos directos, para la adquisicion de bienes y servicios atraves del Gestor de compra.</t>
  </si>
  <si>
    <t>ACTIVIDADES</t>
  </si>
  <si>
    <t>INDICADORES DEL PENM</t>
  </si>
  <si>
    <t xml:space="preserve">INDICADORES </t>
  </si>
  <si>
    <t xml:space="preserve">ENTIDAD FINANCIADORA </t>
  </si>
  <si>
    <t xml:space="preserve">TAREAS </t>
  </si>
  <si>
    <t xml:space="preserve">OBSERVACIONES 
QUE? CUANTO?, DONDE? PARA QUE? COMO? PARA QUIEN? 
</t>
  </si>
  <si>
    <t>Compra de cartuchos para equipo Gene Xpert MTB/RIF (Principalmente para poblaciones de más alto riesgo como privados de libertad, sospechosos de TB/MDR o TB/RR, personas con diabetes, entre otros)</t>
  </si>
  <si>
    <t>es neceria la bioseguridad en los laboratorios lo que logra con equipos como las cabinas de seguridad biologica, algunas de ellas ya tienen 8 a 10 años funcionando y estan dando problemas constantentemente por lo que es necesario cambiarlas y tener un ambiente seguro y que permita proteger al operador, muestra y ambiente por lo que es necesario equipará la red de diagnóstico de tuberculosis, con acceso a cultivo,  microscopia y pruebas moleculares. Se instalaran cámaras de flujo laminar en Hospital Nacional de Santa Ana y Rosales. Lugares de procesamiento de muestras de alta  carga de enfermedad que provienen de poblaciones con alta sospecha de farmacorresistencia a medicamentos antifímicos y a la exposición aerógena por infraestructura inadecuada. Anexo 14. Costo de cámara de flujo laminar</t>
  </si>
  <si>
    <t>Para que el quipo pueda funcionar se necesita calibracion anual, caso contrario se desactivan y ya no se pueden procesar las muestras</t>
  </si>
  <si>
    <t xml:space="preserve">1.   Tasa de incidencia de casos notificados de tuberculosis todas las formas, confirmada bacteriológicamente y con diagnóstico clínico, (casos nuevos y recaídas) a nivel nacional Reportada en los trabajadores de Salud por sexo y edad por 100 mil habitantes. </t>
  </si>
  <si>
    <t xml:space="preserve">8.6.10.1  Fortalecer el funcionamiento de los comités multisectoriales de coinfección TB/VIH y  Formación de facilitadores, actualización de conocimientos sobre los lineamientos de coinfección TB/VIH y monitoreo y supervicion sobre TB/VIH incluye MINSAL, ISSS, ONG, Sociedad Civil y otros proveedores. Fortalecer y dar seguimiento al trabajo multisectorial de los equipos de coinfección TB/VIH en las Regiones de Salud, Hospitales, equipos de base comunitaria y Nacional. </t>
  </si>
  <si>
    <t xml:space="preserve">
2. Detectar casos de Tuberculosis priorizando los municipios que presentan mayor brecha de detección y seguimiento de los contactos.</t>
  </si>
  <si>
    <t xml:space="preserve">
Porcentaje de casos de tuberculosis confirmados bacteriológicamente con microscopía y  pruebas moleculares</t>
  </si>
  <si>
    <r>
      <t xml:space="preserve">  Porcentaje de casos detectados TB con pruebas moleculares / total de personas a las que se les realizó</t>
    </r>
    <r>
      <rPr>
        <strike/>
        <sz val="10"/>
        <rFont val="Arial"/>
        <family val="2"/>
      </rPr>
      <t xml:space="preserve">ara </t>
    </r>
    <r>
      <rPr>
        <sz val="10"/>
        <rFont val="Arial"/>
        <family val="2"/>
      </rPr>
      <t>pruebas moleculares</t>
    </r>
  </si>
  <si>
    <t xml:space="preserve">
Número de establecimientos fortalecidos con microscopios/total de establecimientos programados a fortalecer con microscopios</t>
  </si>
  <si>
    <t>1.   Tasa de incidencia  de casos notificados de tuberculosis todas las formas, confirmada bacteriológicamente y con diagnóstico clínico, (casos nuevos y recaídas) a nivel nacional Reportada por sexo y edad por 100 mil habitantes.
Porcentaje de casos de tuberculosis confirmados bacteriológicamente con microscopía y  pruebas moleculares</t>
  </si>
  <si>
    <t xml:space="preserve">
Número y porcentaje de casos detectados y confirmados bacteriológicamente de TB-RR y TB-MDR notificados al programa nacional de tuberculosis.</t>
  </si>
  <si>
    <t xml:space="preserve">8.7.5.2 Actualización e impresión de libros de registro de TB y de actividades colaborativas TB/VIH.  </t>
  </si>
  <si>
    <t>PORCENTAJE</t>
  </si>
  <si>
    <t>PRESUPUESTO PENM POR RUBROS DEL SISTEMA SAFI2019-2021</t>
  </si>
  <si>
    <t>GASTOS FINANCIEROS Y OTROS</t>
  </si>
  <si>
    <t xml:space="preserve">Compra de equipo informatico para el fortalecimiento del componente de grandes ciudades. </t>
  </si>
  <si>
    <t xml:space="preserve"> Adquisición de computadora laptop y cañon multimedia para  que los diferentes equipos de los SIBASIS que trabajen en la iniciativa lo utilicen en capacitaciones , reuniones de seguimiento y monitoreo con los diferentes sectores </t>
  </si>
  <si>
    <t xml:space="preserve">  Pago de consultoria para elaboración e impresión de documento de abogacía para la incorporación de los enfermos de tuberculosis en programas de protección social (arte y diseño) y  diseño de material educativo (broshure, rolab )  y de promocionales  ( boletines, camisas  chalecos, lapices, lapiceros, libretas, mochilas, cangureras), para la promocíon y conocimiento de todos los sectores  de la iniciativa tuberculosis en grandes ciudades, para ser distribuido en todos los sectores que trabajen en la iniciativa de grandes ciudades, reuniones de seguimiento y monitoreo con los diferentes sectores además de 1689 servicios de alimentacion, para los 3 años, los cuales serán utilizados para las diferentes reuniones y capacitaciónes intersectoriales. </t>
  </si>
  <si>
    <t xml:space="preserve">Diseño de material educativo y compra de promocionales  y servicio de alimentacion para el fortalecimiento del componente de grandes ciudades. </t>
  </si>
  <si>
    <t>PRESUPUESTO PENMTB POR FUENTE DE FINANCIAMIENTO 2017-2021</t>
  </si>
  <si>
    <t>compra de Insumos (libretas para registros de información, boligrafos, engrapadores, marcadores, lapices, folder)</t>
  </si>
  <si>
    <t>Adquisicion de servicios telefonicos, materiales e insumos para el desarrollo de las diferentes actividades  (VER DETALLE  EN SIGUIENTES HOJAS DE CALCULO de Gastos admon (PNTYER Y UNIDADES DE APOYO (UACI / UFI / UCP)) Papeleria/Insumos informaticos/Eq Informatico/Material de liempieza). Anexo . Costos de papelería, insumos de oficina y otros</t>
  </si>
  <si>
    <t>PNTYER: Compra de servicios telefonicos años 1,2 y 3. PNTYER, UCP y UFE: compra de insumos y equipo de oficina, papeleria, insumos de limpieza, insumos alimenticios de alimentacion, adquisicion de insumos para el funcionamiento de la gerencial.</t>
  </si>
  <si>
    <t xml:space="preserve">Las gabachas son dadas a personal de laboratorio del MINSAL de los diferentes niveles como medidad de control de infecciones y bioseguridad con buenas practicas </t>
  </si>
  <si>
    <t xml:space="preserve">Numero de comisiones de afectados formadas y activas/Total de SIBASIs que incluyan centros penitenciarios </t>
  </si>
  <si>
    <t>6.6.2.1 Formación de comisiones  de afectados por TB, actualización en la normativa de TB, y uso de nuevos metodos diagnosticos para personal multidisciplinario de  17 SIBASIs y que incluya lCentros Penitenciarios</t>
  </si>
  <si>
    <t xml:space="preserve">  MINSAL PNTYER  DGCP, DGCI</t>
  </si>
  <si>
    <t xml:space="preserve">Se continuara la  formacion de comites de afectados por TB en SIBASIs que incluyen Centros penitenciarios con funciones de apoyar actividades de busqueda y deteccion de casos, asi como el apoyo en la adherencia al TAES, busqueda y estudio de contactos y con capacitacion con personal de la PNC en las diferentes bartolinas del pais.  Durante los 3 años. Se realizaran 44 jornadas de 20 personas y 2 jornadas de 26 en los 17 SIBSIs, que incluyen Centros  Penales. </t>
  </si>
  <si>
    <t>6.4.1.1 Formación de recursos humano en salud en los diferentes niveles del sector salud  en el abordaje de co-morbilidades asociadas a TB (enfermedades   Cronicas no transmisibles, respiratorias cronicas ECNT ) Diabetes/TB, PAL/ TB entre otras</t>
  </si>
  <si>
    <t>Se realizara capacitaciones de recursos por regiones en un total de 1000 personas para la actualizacion en normas y protocolos  para el uso de metodos diagnosticos Servicio de alimentacion con uso de instalaciones para la revision formacion y capacitacion de los recursos en los nuevos instrumentos tecnicos juridicos del programa. se realizan 4 reuniones de 50 personas por region  (5 regiones)</t>
  </si>
  <si>
    <t xml:space="preserve">SE INCLUYEN EN ESTOS SERVICIOS TODAS LAS ACTIVIDADES DE MONITOREO Y EVALUACION DE INDICADORES DE CAPTACION, DIAGNOSTICO, CONTROL DE CALIDAD, TASA DE ÉXITO CON EQUIPOS MULTIDISCIPLINARIOS ENFERMERIA, PROFESIONALES DE LABORATORIO, Y ACTIVIDADES CON IES FORMADORAS DE RECURSOS HUMANOS EN SALUD.  SE DESARROLLARAN  PARA AÑO 1 : 3 JORNADAS DE CONTROL DE CALIDAD CON UNA PARTICIPACION DE 15 PERSONAS, DE  RED NACIONAL ENFERMERIA 5 ACTIVIDADES DE 16 PERSONAS, del comite de doscencia 4 actividades de 30 personas  mas 200 personas del congreso de doscencia y preevaluaciones de Centros Penales 275 personas.  Y para el año 2 y tres  se incluiran  2 reuniones de 37 , personas para enfermeras de primer nivel de atencion , 2 reuniones de 30  para enfermeras de hospitales y 1 reunion de 16 para comite MDR, </t>
  </si>
  <si>
    <t>Se realizarán 10 evaluaciones (5 por cada semestre del año) en cada una de las Regiones de Salud del MINSAL, en la cual participan los proveedores de salud como el ISSS, Centros Penales y ONG´S, en la cual se evaluan los indicadores epidemiologicos y otros contractuales del Fondo Mundial. se realizaran: RSO 2 jornadas de capacitacio de 65 personas cada uno, RSC 2 jornadas de 50 personas cada una, RSM 2 jornadas de 75 personas cada una, RSP 2 jornadass de 70 personas cada una, RSOT 2 jirnadas de 70 personas cada una</t>
  </si>
  <si>
    <t>Contratacion de servicios de alimentación para reuniones y jornadas de capacitación y/o reuniones de evaluacion que lleva como objetivo sistematizar el monitoreo y evaluacion de la coinfeccion TB/VIH y sus actividades colaborativas con la participacion de la multisectorialidad, incluye MINSAL, ISSS, ONG, Sociedad Civil y otros proveedores con la finalidad de detectar los casos de TB y VIH oportunamente. Dos reuniones cada año para cada una de las cinco Regiones del pais, siendo 20 personas por Region.  Dos reuniones cada año para cada uno de los comités intrahospitalario de los veinte hospitales con clinica TAR con 15 personas por Hospital. Durante los tres años. A $ 24.00 por personas</t>
  </si>
  <si>
    <t xml:space="preserve">Se desarrollará un congreso nacional de TB, durante cada año, en el cual participe personal opertivo del SNS, ONG´s y otros proveedores de salud públicos y privados . El propósito es actualizar al personal operativo en la temática de la TB, dar a conocer resultados de estudios realizados, monitoreo a la implementacion de nuevas estrategias (iniciativa de grandes ciudades y estrategia comunitaria) y experiencias exitosas a nivel operativo, entre otros. Poar lo que se adquirira un Kit que incluye mochila, memoria USB, y boligrafo, par los participantes y el personal logistico. </t>
  </si>
  <si>
    <t>14-15</t>
  </si>
  <si>
    <t>24-27</t>
  </si>
  <si>
    <t xml:space="preserve">Para el apoyo del soporte nutricional de los pacientes afectados por TB  con desnutrición, se comprará suplemento nutricional,  con el proposito de ayudar a restaurar su nutricion y facilitar la absorcion de los medicamentos antifimicos por lo que se distribuiran en los primeros 2 meses de tratamiento, siendo el precio unitario de cada lata de $7.00, beneficiando a 7,524 pacientes en 3 años. </t>
  </si>
  <si>
    <t>Meta 5:Lograr un éxito de tratamiento del 90% de los casos de TB farmacorresistente.</t>
  </si>
  <si>
    <t>Tratar exitosamente todos los casos de TB farmacorresistente.</t>
  </si>
  <si>
    <t>Número y porcentaje de casos confirmados bacteriológicamente de tuberculosis farmacorresistente (TB-RR y TB-MDR) tratados por el  programa nacional de tuberculosis</t>
  </si>
  <si>
    <t>Numero de audiometros, electrocardiografos y glucometros solicitados/numero de audiometro, electrocardiografo y glucometro comprados</t>
  </si>
  <si>
    <t>compra de equipos medicos para deteccion de reacciones adversas del tratamiento de tuberculosis resiostente a farmacos</t>
  </si>
  <si>
    <t>La compra de cartucho permite complir normativa, recomendaciones internacionales como estrategia fin de la TB, permite identificacion temprana de casos y principalmente la vigilancia de la MDR que es prioridad nacional para dar respuesta a indicadores contractuales  Que seran utilizados en los hospitales de la RED a nivel Nacional</t>
  </si>
  <si>
    <t>la renovacion de equipo de diagnostico como los microscopios permite mantener una red de laboartorio con alto grado de rendimiento, calidad diagnostica, es menos tiempo que se utiliza por lamina examinada lo que ayuda a maximixar los timpos de respuesta . Estos microscopios sera distribuidos en los laboratorios ubicados en las 5 regiones de salud</t>
  </si>
  <si>
    <t>las centrifuagas refrigeradas permiten que la viabilidad del bacilo sea mayor ya que la velocidad a la que trabaja este equipo debe ser en centrifuga refrigerada para evitar el calentamiento, ademas los equipos existentes tienen vida util por lo que se necesita estarlos renovando : Estos seran utilizados en la RED a Nivel Nacional de hospitales que realizan cultivos de BAAR</t>
  </si>
  <si>
    <t>2.2.2.1 Jornada de capacitacion  y promocion para la salud  en el marco de la estrategia fin a la TB y grandes Ciudades</t>
  </si>
  <si>
    <t>Se realizaran 17 jornadas de 21 personas anualmente (una por cada SIBASI) del MINSAL para actualizar y retroalimentar sobre la ESTRATEGIA FIN A LA TB sus componentes y enfoque en derechos humanos inckuye la formacion de voluntario en nivel comunitario. Y una actividad de promocion de la  salud (feria) con 179 servicios de alimentacion.</t>
  </si>
  <si>
    <t>Compra de 3 audiometros a un costo unitario de $ 9,800,00 , 5 electrocardiografos  a $ 1,200,00 cada uno, 20 lancetas a $ 36,09 cada uno, 20 tiras a $ 33,00 cada uno ,10  glucometros a $ 48,50 cada uno, 10 tensiometros a $ 47,65 cada uno  y 10 estetoscopios a un costo de $ 44,38 cada uno para ser usados en pacientes con tratamiento antituberculosis de segunda linea en pacientes con TB farmacorresistente en el Hospital Saldaña, Hospiral Rosales, Hospital de Santa Ana.</t>
  </si>
  <si>
    <t>Compra de audiometros, electrocardiografos y,glucometros , tensiometros,  estetoscopios, tiras y lancetas  para detectar reacciones adversas a farmacos de segunda linea de pacientes tratados por tuberculosis resstente, especialmente a aquellos con esquemas acortados  que pueden causar sordera, alteraciones  electrocardiograficas e hiperglusemias.</t>
  </si>
  <si>
    <t>45-56</t>
  </si>
  <si>
    <t>N/A</t>
  </si>
  <si>
    <t>Compra de  341 glucometro a un costo de $ 48,50, 341 lancetas a un costo de $ 36,09, y 341 tiras reactivas a un costo de $ 33,00  para proporcionarles a los  establecimiento de salud  (USCF) y ECOS . y a los Centros Penales                      
ESTA PRUEBA SE HARA COMO UN RASTREO PRELIMINAR  DE LA DM EN PERSONAS CON TB TODAS LAS FORMAS. ANEXO COTIZACION</t>
  </si>
  <si>
    <t xml:space="preserve">Contratación de servicios de Alimentación para  10 Jornadas de Capacitación  5 de  32 participantes y de 5 de 33 participoantes cada año  a un costo de $ 24 dolares para actualización de conocimientos, evaluación de objetivos y metas atraves de la estrategia PAL, Tb/ diabetes que incluye MINSAL, ISSS, ONG, Sociedad Civil y otros proveedores.  Reuniones de trabajo y capacitaciones a responsables del Programa de Tb de Regiones de Salud, SIBASIS y otras Instituciones </t>
  </si>
  <si>
    <t>Adecuacion de areas de aislamiento respiratorio con control de infecciones con enfasis en Tuberculosis en seis Hospitales del pais a traves de la contratacion  de una empresa para diseñar y readecuar dichas areas</t>
  </si>
  <si>
    <t>Numeros de casos de TB de todas las formas en el personal de salud y contactos /total de casos de TB todas las formas.</t>
  </si>
  <si>
    <t>Se fortalecera el desarollo de las actividades de las Redes Integrales e Intregadas de Salud (RIISS), para el seguimiento de las actividades en conjuntos de los prestadores de servicios de salud, por lo que se dotará de materiales e insumos de oficina básicos compra de Insumos ( bolígrafos,resmas de papel, folder), para apoyar las reuniones de RIIISS. Se dotara a 67 RIISS. Un Kit llevara  153 Boligrafos negros, 153 rojos y 153 azules; 54 resmas de papel; 115 folder.</t>
  </si>
  <si>
    <t>Se dotara de insumos y material de oficina  básicos y promocionales a las áreas TAES de la  UCSF B, UCSF I, UCSF E. ; a regiones y SIBASI y a Dependencias de Nivel central que apoyan al PNTYER  Se  comprará resmas de papel bond tamaño carta y oficio; engrapador metalico de tira larga; grapas tamaño estandar; desengrapador y mochilas promocionales.</t>
  </si>
  <si>
    <t>Compra de equipo de oficina equipo medico</t>
  </si>
  <si>
    <t>38 y 31</t>
  </si>
  <si>
    <t>Dotar a las Areas TAES del primer nivel de atencion de  insumos de oficinas y promocionales</t>
  </si>
  <si>
    <t>48 y 57</t>
  </si>
  <si>
    <t xml:space="preserve">META 1. Supervisar y Monitorear  por lo menos el 90% de los lugares programados en la PAO de cada año </t>
  </si>
  <si>
    <t xml:space="preserve"> Supervisar y Monitorear  y Evaluar la aplicascion de las estrategias del programa en los distintos niveles de atencion</t>
  </si>
  <si>
    <t>1.1.3.1 Implementación de  un programa continuo de monitoreo del programa de TB. dentro a las RIISS</t>
  </si>
  <si>
    <t>Numeros de equipos para trasportar personal multidisciplinario y/o bienes e insumos adquiridos para supoervisar monitorear//Numero de equipos (vehiculos) programados a comprar programados</t>
  </si>
  <si>
    <t>Compras de 3 vehiculos para  Supervisar y Monitorear  y Evaluar en las distintas RISS de nivel  Nacional, la aplicación de estrategia de lucha contra la TB. Cumplimiento de normas, metas y objetivos que an sido propuestos en el paln de trabajo, asi como la asistenciaa a reuniones intersectoriales e intrasectoriales en la aplicascion de las estrategias del programa en los distintos niveles de atencion. ya que la flota acual tiene su vidad util y necesita sustitucion.</t>
  </si>
  <si>
    <t xml:space="preserve">Con Fondos GOES se contrata el servicio para la calibración que se hace de forma anual para cada equipo, ubicado uno por región. Para el año 2019 AL 2021 se realizará la calibracion de los equipos, Nota: Los montos presupuestados son una proyeccion de la inversion que el estado haria en los proximos años como incremento al cofinanciameiento del PENMTB, con fondos domesticos ( Nacionales),  como incremento  a la inversion para la sostenibilidad y transicion, sin embargo estos pueden ser modificados depedientes de la economias global del pais y cambios de politicos sustanciales y nuevas leyes que podran ser aprobadas.  Los costos de productos incluyen gastos de desaduanaje seguros y otros. </t>
  </si>
  <si>
    <t xml:space="preserve">Corresponde al pago de salarios de recursos humanos con fondos GOES a personal multidisciplinario de MINSAL que trabaja en la lucha con la tuberculosis en los diferentes niveles. Nota: Los montos presupuestados son una proyeccion de la inversion que el estado haria en los proximos años como incremento al cofinanciameiento del PENMTB, con fondos domesticos ( Nacionales),  como incremento  a la inversion para la sostenibilidad y transicion, sin embargo estos pueden ser modificados depedientes de la economias global del pais y cambios de politicos sustanciales y nuevas leyes que podran ser aprobadas.  Los costos de productos incluyen gastos de desaduanaje seguros y otros. </t>
  </si>
  <si>
    <t xml:space="preserve">Supervisiones, moritoreos en niveles locales, SIBASI y Regiones, incluyendo participaciòn en actividades de Programa a ser ejectutadas por los diferentes niveles de atenciòn.
El monitoreo será realizado por un equipo multidisciplinario (médico, enfermería, motorista); además se incluye vehículo, combustible) Nota: Los montos presupuestados son una proyeccion de la inversion que el estado haria en los proximos años como incremento al cofinanciameiento del PENMTB, con fondos domesticos ( Nacionales),  como incremento  a la inversion para la sostenibilidad y transicion, sin embargo estos pueden ser modificados depedientes de la economias global del pais y cambios de politicos sustanciales y nuevas leyes que podran ser aprobadas.  Los costos de productos incluyen gastos de desaduanaje seguros y otros. </t>
  </si>
  <si>
    <t xml:space="preserve">Adquisición oportuna de de los medicamentos de primera y segunda linea para el tratamiento estandearizados de los casos a nivel Nacional conciderando que los precios de estos varias año con año y con base a la situacion epideomeloogiaca y opertiva del año 2016 , fueron estimados los costos.  Nota: Los montos presupuestados son una proyeccion de la inversion que el estado haria en los proximos años como incremento al cofinanciameiento del PENMTB, con fondos domesticos ( Nacionales),  como incremento  a la inversion para la sostenibilidad y transicion, sin embargo estos pueden ser modificados depedientes de la economias global del pais y cambios de politicos sustanciales y nuevas leyes que podran ser aprobadas.  Los costos de productos incluyen gastos de desaduanaje seguros y otros. </t>
  </si>
  <si>
    <t>Compra de Computadors, ups, impresores y muebles</t>
  </si>
  <si>
    <t>es necesaria la renovacion de los equipos de computo en los centros de referencia de control de calidad de Bk lo que permite que el 100 % de recursos tengan equipo en buenas condiciones y puedan dar respuesta a los informes de control de calidad en cada una de las regiones  por lo que se dotara de computadoras y sus accesorios a los centros de referencia de control de calidad de baciloscopia de nivel nacional. La unica dotación que se les ha hecho fue en el año 2016 para un recurso, sin embargo se complementara los  2 recursos por centro de referencia con esta nuevva compra para  fortalecer en un 100% la compra sera de la siguiente manera comra de 7 computadoras a $ 580,00 haciendo un total de $ 4,060,00, 7 UPS a $ 50,00 haciendo un monto total de $ 350,00, 7 impresores a $ 611,00 haciendo un costo total de $ 4,277.00, 7 escritorios a $ 119.00 haciendo un total de $ 833,00, y 7 sillas a $ 140,00 haciendo un total de $ 980,00</t>
  </si>
  <si>
    <t>22 y 58</t>
  </si>
  <si>
    <t>Prevencion y atencion de TB</t>
  </si>
  <si>
    <t>Paquete para Tuberculosis MDR</t>
  </si>
  <si>
    <t>TB/VIH</t>
  </si>
  <si>
    <t>Sistema de Informacion sobre la Gestion Sanitaria y Seguimiento y Evaluacion</t>
  </si>
  <si>
    <t>Costo de combustible y mantenimiento utilizado por la flota de vehiculos de MINSAL para los 1,200 desplazamiento por año, de los equipos comunitarios multidisciplinarios que atienden las comunidades de dificil acceso para busqueda activa de SR y para realizar actividades educativas.</t>
  </si>
  <si>
    <t xml:space="preserve">Con Fondo del MINSAL se adquiriran para el año 2019 al 21  28,440  cartuchos  para ser utilizados enquipos existentes y en los nuevos que se adquiriran con las nueva subvension ( 2019-2021). Para el año 2019 al año 2021   se estima comprar los  cartuchos segun el presupuesto asignado para ser utilizados en los equipo y asi  poder  atender a la poblacion de mas riesgos y vulnerabilidad y en pacientes sospecho de farmacos resistencia. Estos seran ubicados en los establecimineto de salud que rindan mejor costos beneficios o donde existan mayor  poblacion de riesgo o carga de enfermendadnd  ( todas las regiones del pais , ya que ahi existen privados de libertasd a los que se deben atendder de forma precos).  Nota: Los montos presupuestados son una proyeccion de la inversion que el estado haria en los proximos años como incremento al cofinanciameiento del PENMTB, con fondos domesticos ( Nacionales),  como incremento  a la inversion para la sostenibilidad y transicion, sin embargo estos pueden ser modificados depedientes de la economias global del pais y cambios de politicos sustanciales y nuevas leyes que podran ser aprobadas.  Los costos de productos incluyen gastos de desaduanaje seguros y otros. </t>
  </si>
  <si>
    <t xml:space="preserve"> Elaborar material educativo sobre control de infección de Tuberculosis, etiqueta de la tos etc. dirigido a las familias de los pacientes y al personal de salud. Se gestionara la contratacion de una empresa para la impresion de material educativo: 1500 rotafolios a $ 4.60 c/u total: $6.900; 100,000 broshures c/u a 0.035 ctvs total: $3.500; , 20,000 cartilla de visita domiciliar c/u a 0.34 ctvs. total: $6.800 y 5200 afiches c/u a $1.50 total: $7.800. por año $25.000 total $75.000. Con la finalidad de educar a la poblacion en la etiqueta de la tos, mensajes de mejorar la tencion y los flujos de los pacientes para promover el autocuido y la eviar o disminuir los contagios en sus hogares y familias. Este material se distribuira en la cinco regiones y hospitales. Esta actividad se realizará cada dos años. </t>
  </si>
  <si>
    <t>Compra anual  de medicamentos antituberculosos de primera linea para el tratamiento de 2322  casos 2829 para el 2019 y 2971 para el año 2020 y 2971 para el 2021. Anexo 22. Costo medicamento de primera línea</t>
  </si>
  <si>
    <t>Porcentaje FM</t>
  </si>
  <si>
    <t>Porcentaje Gobierno</t>
  </si>
  <si>
    <t>8-Sostenibilidad y Transicion</t>
  </si>
  <si>
    <t>% SOSTENIBILIDAD</t>
  </si>
  <si>
    <t>% CONTRAPARTIDA</t>
  </si>
  <si>
    <t>CONTRAPARTIDA(PRESUPUESTO REGULAR)</t>
  </si>
  <si>
    <t xml:space="preserve">INVERSION ADICIONAL (TRANSICION Y SOSTENIBILIDAD PARA LOS 3 AÑOS) </t>
  </si>
  <si>
    <t>Total porcentaje</t>
  </si>
  <si>
    <t>GOBIERNO</t>
  </si>
  <si>
    <t>MONTO TOTAL PENMTB</t>
  </si>
  <si>
    <t>Linea Estrategia</t>
  </si>
  <si>
    <t>PRESUPUESTO PENMTB POR LINEAS ESTRATEGICAS BRECHA 2019-2021</t>
  </si>
  <si>
    <t>B,6</t>
  </si>
  <si>
    <t>B,M</t>
  </si>
  <si>
    <t>LINEA</t>
  </si>
  <si>
    <t>Porcentaje Brecha</t>
  </si>
  <si>
    <t>BRECHA NO CUBIERTA%</t>
  </si>
  <si>
    <t xml:space="preserve">BRECHA CUBIERTA POR FM % </t>
  </si>
  <si>
    <t>TOTAL LINEA ESTRATEGICA SEGÚN PENMTB</t>
  </si>
  <si>
    <t>GOBIERNO (RECURSOS NACIONALES)%</t>
  </si>
  <si>
    <t>BRECHA NO CUBIERTA</t>
  </si>
  <si>
    <t>Adecuacion de areas de aislamiento respiratorio con control de infecciones con enfasis en Tuberculosis en seis Hospitales del pais  a traves de la contratacion  de una empresa para diseñar y readecuar dichas areas, para garantizar la proteccion del personal de salud, visita y familiares de los pacientes con problemas respiratorios espcificamente con Tuberculosis, debido a que son una poblacion vulnerable. los hospitales que se adecuaran son : Saldaña, San Bartolo, Soyapango, Chalatenango, Son Sonate, zacatecoluca . Se readecuara 4 hospitales para el año 1 y 2 hospitales para el año 2.</t>
  </si>
  <si>
    <t xml:space="preserve">Equipamiento (mobiliario y equipo de oficina, Equipo sanitario) para las  areas de aislamiento respiratorio con control de infecciones con enfasis en Tuberculosis en seis Hospitales del pais  para garantizar la proteccion del personal de salud, visita y familiares de los pacientes con problemas respiratorios espcificamente con Tuberculosis, debido a que son una poblacion vulnerable. los hospitales que se equiparan son : Saldaña, San Bartolo, Soyapango, Chalatenango, Son Sonate, zacatecoluca . Se equipara 4 hospitales para el  año 1 y 2 hospitales para el año 2.. Se equipara de la siguiente manera : equipo sanitario $ 10,000,00 en mobiliario y equipo de oficina y $ 10,000,00 de mobiliario sanitario. haciendo un total de $ 20,000 por hospital, </t>
  </si>
  <si>
    <t>3,2,5</t>
  </si>
  <si>
    <t>PORCENTAJE DE COFINANCIAMIENTO  FONDO MUNDIAL Y GOES PENMTB 2019-2021</t>
  </si>
  <si>
    <t>PORCENTAJE DE COBERTURA POR FINANCIADOR</t>
  </si>
  <si>
    <r>
      <t>1.</t>
    </r>
    <r>
      <rPr>
        <b/>
        <sz val="10"/>
        <rFont val="Arial"/>
        <family val="2"/>
      </rPr>
      <t xml:space="preserve">     </t>
    </r>
    <r>
      <rPr>
        <sz val="10"/>
        <rFont val="Arial"/>
        <family val="2"/>
      </rPr>
      <t>Proporcionar atención integral para las personas en alto riesgo y grupos vulnerables</t>
    </r>
  </si>
  <si>
    <r>
      <t xml:space="preserve">
</t>
    </r>
    <r>
      <rPr>
        <sz val="10"/>
        <rFont val="Arial"/>
        <family val="2"/>
      </rPr>
      <t>Congreso de TB desarrollado</t>
    </r>
  </si>
  <si>
    <r>
      <t xml:space="preserve">Todos los casos diagnosticados con ltuberculosis se les realiza al menos tres controles con baciloscopía, con el objetivo de brindarle  seguimiento durante la administración de su tratamiento. </t>
    </r>
    <r>
      <rPr>
        <b/>
        <sz val="10"/>
        <color indexed="8"/>
        <rFont val="Arial"/>
        <family val="2"/>
      </rPr>
      <t>Anexo 2. Estudio MEGATB pag. 75</t>
    </r>
  </si>
  <si>
    <r>
      <t xml:space="preserve">Adquisición oportuna de tratamientos para el manejo de los casos con TB farmacoresistente. El costo difiere en relación al MINSA, por la cantidad de medicaemnto adquirido. </t>
    </r>
    <r>
      <rPr>
        <b/>
        <sz val="10"/>
        <color indexed="8"/>
        <rFont val="Arial"/>
        <family val="2"/>
      </rPr>
      <t>Anexo 24. Costo de medicamentos de segunda línea</t>
    </r>
  </si>
  <si>
    <r>
      <t>1.</t>
    </r>
    <r>
      <rPr>
        <b/>
        <sz val="10"/>
        <color indexed="8"/>
        <rFont val="Arial"/>
        <family val="2"/>
      </rPr>
      <t xml:space="preserve">     </t>
    </r>
    <r>
      <rPr>
        <sz val="10"/>
        <color indexed="8"/>
        <rFont val="Arial"/>
        <family val="2"/>
      </rPr>
      <t>Proporcionar atención integral para las personas en alto riesgo y grupos vulnerables</t>
    </r>
  </si>
  <si>
    <r>
      <t xml:space="preserve">Compra de placas de rayos X para el estudio de contactos de casos de TB. atendidos en los 30 hospitales a nivel nacional. </t>
    </r>
    <r>
      <rPr>
        <b/>
        <sz val="10"/>
        <color indexed="8"/>
        <rFont val="Arial"/>
        <family val="2"/>
      </rPr>
      <t>Anexo 27. Costo placa de rayos X</t>
    </r>
  </si>
  <si>
    <r>
      <t xml:space="preserve">Se ha programado mantenimiento preventivo y correctivo (cada 4 meses). 
Este costo incluye el mantenimiento de dos equipos de rayos X. </t>
    </r>
    <r>
      <rPr>
        <b/>
        <sz val="10"/>
        <color indexed="8"/>
        <rFont val="Arial"/>
        <family val="2"/>
      </rPr>
      <t>Anexo 28. presupuesto de mantenimiento rayos x</t>
    </r>
  </si>
  <si>
    <t xml:space="preserve">             Contratación de consultoría estudio "gastos catastroficos"</t>
  </si>
  <si>
    <t xml:space="preserve"> Compra electrocardiografos de tres canales</t>
  </si>
  <si>
    <r>
      <t xml:space="preserve">
</t>
    </r>
    <r>
      <rPr>
        <sz val="10"/>
        <rFont val="Arial"/>
        <family val="2"/>
      </rPr>
      <t>No. de SIBASI dotados con Kit de materiales/total de SIBASI</t>
    </r>
  </si>
  <si>
    <r>
      <t xml:space="preserve">Algunos de los equipos utilizados estan funcionando desde el 2013, por lo que se necesita Comprar 2 Equipos GeneXpert de 16 Modulos para ser utilizados en el Hospital de San Miguel y LNR. </t>
    </r>
    <r>
      <rPr>
        <b/>
        <sz val="10"/>
        <rFont val="Arial"/>
        <family val="2"/>
      </rPr>
      <t xml:space="preserve"> Costo equipo Gene Xpert de 16 módulos</t>
    </r>
  </si>
  <si>
    <r>
      <t xml:space="preserve">Impresión de 1,500 lineamientos PAL para el año 1 y 5 para establecimientos de MINSAL e ISSS. </t>
    </r>
    <r>
      <rPr>
        <b/>
        <sz val="10"/>
        <color indexed="8"/>
        <rFont val="Arial"/>
        <family val="2"/>
      </rPr>
      <t>Anexo 10. Costos materiales impresos</t>
    </r>
  </si>
  <si>
    <t xml:space="preserve"> Número de personas con VIH a los que se les proporciona TPI previo descarte de TB</t>
  </si>
  <si>
    <r>
      <t xml:space="preserve">Se compraran gabachas para uso diario de los laboratoristas de los diferentes establecimientos a nivel nacional, para evitar el contagio de TB cumpliendo con las medidas de bioseguridad que exige el control de infecciones. </t>
    </r>
    <r>
      <rPr>
        <b/>
        <sz val="10"/>
        <color indexed="8"/>
        <rFont val="Arial"/>
        <family val="2"/>
      </rPr>
      <t>Anexo 31. Costo gabachas de tela</t>
    </r>
  </si>
  <si>
    <t>1.   Fortalecer las actividades de colaboración TB/VIH, el manejo de co-morbilidades y el control de infecciones y la TB MDR</t>
  </si>
  <si>
    <r>
      <t xml:space="preserve">Se coordinara con el Ministerio de Educacion para que se integren en las curriculas de nivel basico la tematica de tuberculosis por lo que se haran talleres de trabajo durante el tiempo de planificacion. </t>
    </r>
    <r>
      <rPr>
        <b/>
        <sz val="10"/>
        <color indexed="8"/>
        <rFont val="Arial"/>
        <family val="2"/>
      </rPr>
      <t>Anexo 16. Costo Alimentación</t>
    </r>
  </si>
  <si>
    <r>
      <t xml:space="preserve">Se realizará el proceso de selección y publicación en revistas nacionales o boletines institucionales. </t>
    </r>
    <r>
      <rPr>
        <b/>
        <sz val="10"/>
        <color indexed="8"/>
        <rFont val="Arial"/>
        <family val="2"/>
      </rPr>
      <t>Anexo 10. Costos materiales impresos</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</si>
</sst>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 \-??_);_(@_)"/>
    <numFmt numFmtId="181" formatCode="#.##0"/>
    <numFmt numFmtId="182" formatCode="_([$$-240A]\ * #,##0.00_);_([$$-240A]\ * \(#,##0.00\);_([$$-240A]\ * \-??_);_(@_)"/>
    <numFmt numFmtId="183" formatCode="_ [$$-240A]\ * #,##0.00_ ;_ [$$-240A]\ * \-#,##0.00_ ;_ [$$-240A]\ * \-??_ ;_ @_ "/>
    <numFmt numFmtId="184" formatCode="#.###"/>
    <numFmt numFmtId="185" formatCode="&quot; $&quot;* #,##0.00\ ;&quot; $&quot;* \(#,##0.00\);&quot; $&quot;* \-#\ ;@\ "/>
    <numFmt numFmtId="186" formatCode="_([$$-240A]\ * #,##0_);_([$$-240A]\ * \(#,##0\);_([$$-240A]\ * \-_);_(@_)"/>
    <numFmt numFmtId="187" formatCode="000E+00"/>
    <numFmt numFmtId="188" formatCode="dd/mm/yyyy"/>
    <numFmt numFmtId="189" formatCode="[$$-240A]\ * #,##0.00\ ;[$$-240A]\ * \(#,##0.00\);[$$-240A]\ * \-#\ ;@\ "/>
    <numFmt numFmtId="190" formatCode="[$$-240A]\ * #,##0\ ;[$$-240A]\ * \(#,##0\);[$$-240A]\ * &quot;- &quot;;@\ "/>
    <numFmt numFmtId="191" formatCode="dd/mmm"/>
    <numFmt numFmtId="192" formatCode="[$$-240A]\ * #,##0.00\ ;[$$-240A]\ * \-#,##0.00\ ;[$$-240A]\ * \-#\ ;@\ "/>
    <numFmt numFmtId="193" formatCode="_(\$* #,##0.0_);_(\$* \(#,##0.0\);_(\$* \-?_);_(@_)"/>
    <numFmt numFmtId="194" formatCode="#,##0.0000000000"/>
    <numFmt numFmtId="195" formatCode="_-[$$-540A]* #,##0.00_ ;_-[$$-540A]* \-#,##0.00\ ;_-[$$-540A]* \-??_ ;_-@_ "/>
    <numFmt numFmtId="196" formatCode="_(* #,##0.00_);_(* \(#,##0.00\);_(* \-??_);_(@_)"/>
    <numFmt numFmtId="197" formatCode="000%"/>
    <numFmt numFmtId="198" formatCode="_(\$* #,##0.0000000000_);_(\$* \(#,##0.0000000000\);_(\$* \-??????????_);_(@_)"/>
    <numFmt numFmtId="199" formatCode="0.0%"/>
    <numFmt numFmtId="200" formatCode="_([$$-540A]* #,##0.00_);_([$$-540A]* \(#,##0.00\);_([$$-540A]* \-??_);_(@_)"/>
    <numFmt numFmtId="201" formatCode="_-* #,##0.00\ _€_-;\-* #,##0.00\ _€_-;_-* \-??\ _€_-;_-@_-"/>
    <numFmt numFmtId="202" formatCode="_-[$$-440A]* #,##0.00_ ;_-[$$-440A]* \-#,##0.00\ ;_-[$$-440A]* \-??_ ;_-@_ "/>
    <numFmt numFmtId="203" formatCode="_ [$$-240A]\ * #,##0.00_ ;_ [$$-240A]\ * \-#,##0.00_ ;_ [$$-240A]\ * &quot;-&quot;??_ ;_ @_ "/>
    <numFmt numFmtId="204" formatCode="_ [$$-240A]\ * #,##0.0000_ ;_ [$$-240A]\ * \-#,##0.0000_ ;_ [$$-240A]\ * &quot;-&quot;????_ ;_ @_ "/>
    <numFmt numFmtId="205" formatCode="_-[$$-240A]\ * #,##0.00_-;\-[$$-240A]\ * #,##0.00_-;_-[$$-240A]\ * &quot;-&quot;??_-;_-@_-"/>
    <numFmt numFmtId="206" formatCode="[$-C0A]dddd\,\ d&quot; de &quot;mmmm&quot; de &quot;yyyy"/>
    <numFmt numFmtId="207" formatCode="#,##0.0"/>
    <numFmt numFmtId="208" formatCode="_-[$$-240A]* #,##0.00_-;\-[$$-240A]* #,##0.00_-;_-[$$-240A]* &quot;-&quot;??_-;_-@_-"/>
    <numFmt numFmtId="209" formatCode="_([$$-240A]\ * #,##0.00_);_([$$-240A]\ * \(#,##0.00\);_([$$-240A]\ * &quot;-&quot;??_);_(@_)"/>
    <numFmt numFmtId="210" formatCode="_-* #,##0.0\ _€_-;\-* #,##0.0\ _€_-;_-* &quot;-&quot;?\ _€_-;_-@_-"/>
    <numFmt numFmtId="211" formatCode="_-[$$-2C0A]\ * #,##0.00_-;\-[$$-2C0A]\ * #,##0.00_-;_-[$$-2C0A]\ * &quot;-&quot;??_-;_-@_-"/>
  </numFmts>
  <fonts count="70">
    <font>
      <sz val="11"/>
      <color indexed="8"/>
      <name val="Calibri"/>
      <family val="2"/>
    </font>
    <font>
      <sz val="10"/>
      <name val="Arial"/>
      <family val="0"/>
    </font>
    <font>
      <sz val="10"/>
      <color indexed="8"/>
      <name val="Arial"/>
      <family val="2"/>
    </font>
    <font>
      <b/>
      <sz val="10"/>
      <name val="Arial"/>
      <family val="2"/>
    </font>
    <font>
      <b/>
      <sz val="11"/>
      <color indexed="8"/>
      <name val="Calibri"/>
      <family val="2"/>
    </font>
    <font>
      <strike/>
      <sz val="10"/>
      <name val="Arial"/>
      <family val="2"/>
    </font>
    <font>
      <sz val="10"/>
      <color indexed="10"/>
      <name val="Arial"/>
      <family val="2"/>
    </font>
    <font>
      <b/>
      <sz val="10"/>
      <color indexed="8"/>
      <name val="Arial"/>
      <family val="2"/>
    </font>
    <font>
      <b/>
      <sz val="9"/>
      <color indexed="8"/>
      <name val="Tahoma"/>
      <family val="2"/>
    </font>
    <font>
      <sz val="9"/>
      <color indexed="8"/>
      <name val="Tahoma"/>
      <family val="2"/>
    </font>
    <font>
      <b/>
      <sz val="8"/>
      <name val="Tahoma"/>
      <family val="2"/>
    </font>
    <font>
      <b/>
      <sz val="9"/>
      <color indexed="18"/>
      <name val="Tahoma"/>
      <family val="2"/>
    </font>
    <font>
      <sz val="9"/>
      <color indexed="18"/>
      <name val="Tahoma"/>
      <family val="2"/>
    </font>
    <font>
      <sz val="8"/>
      <name val="Tahoma"/>
      <family val="2"/>
    </font>
    <font>
      <b/>
      <sz val="10"/>
      <color indexed="18"/>
      <name val="Tahoma"/>
      <family val="2"/>
    </font>
    <font>
      <b/>
      <sz val="10"/>
      <color indexed="8"/>
      <name val="Calibri"/>
      <family val="2"/>
    </font>
    <font>
      <b/>
      <sz val="8"/>
      <color indexed="8"/>
      <name val="Calibri"/>
      <family val="2"/>
    </font>
    <font>
      <b/>
      <sz val="8"/>
      <name val="Arial"/>
      <family val="2"/>
    </font>
    <font>
      <sz val="9"/>
      <color indexed="8"/>
      <name val="Calibri"/>
      <family val="2"/>
    </font>
    <font>
      <u val="single"/>
      <sz val="10"/>
      <color indexed="12"/>
      <name val="Arial"/>
      <family val="2"/>
    </font>
    <font>
      <sz val="8"/>
      <name val="Calibri"/>
      <family val="2"/>
    </font>
    <font>
      <sz val="11"/>
      <name val="Calibri"/>
      <family val="2"/>
    </font>
    <font>
      <b/>
      <sz val="12"/>
      <color indexed="8"/>
      <name val="Calibri"/>
      <family val="2"/>
    </font>
    <font>
      <sz val="18"/>
      <name val="Calibri"/>
      <family val="2"/>
    </font>
    <font>
      <sz val="10"/>
      <color indexed="8"/>
      <name val="Calibri"/>
      <family val="2"/>
    </font>
    <font>
      <sz val="9"/>
      <color indexed="63"/>
      <name val="Arial Black"/>
      <family val="2"/>
    </font>
    <font>
      <sz val="9"/>
      <color indexed="63"/>
      <name val="Calibri"/>
      <family val="2"/>
    </font>
    <font>
      <b/>
      <sz val="9"/>
      <color indexed="63"/>
      <name val="Calibri"/>
      <family val="2"/>
    </font>
    <font>
      <sz val="7"/>
      <color indexed="8"/>
      <name val="Calibri"/>
      <family val="2"/>
    </font>
    <font>
      <sz val="12"/>
      <color indexed="8"/>
      <name val="Calibri"/>
      <family val="2"/>
    </font>
    <font>
      <b/>
      <sz val="14"/>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48"/>
      <name val="Calibri"/>
      <family val="2"/>
    </font>
    <font>
      <sz val="11"/>
      <color indexed="54"/>
      <name val="Calibri"/>
      <family val="2"/>
    </font>
    <font>
      <u val="single"/>
      <sz val="11"/>
      <color indexed="20"/>
      <name val="Calibri"/>
      <family val="2"/>
    </font>
    <font>
      <sz val="11"/>
      <color indexed="20"/>
      <name val="Calibri"/>
      <family val="2"/>
    </font>
    <font>
      <sz val="11"/>
      <color indexed="52"/>
      <name val="Calibri"/>
      <family val="2"/>
    </font>
    <font>
      <b/>
      <sz val="11"/>
      <color indexed="63"/>
      <name val="Calibri"/>
      <family val="2"/>
    </font>
    <font>
      <sz val="11"/>
      <color indexed="10"/>
      <name val="Calibri"/>
      <family val="2"/>
    </font>
    <font>
      <i/>
      <sz val="11"/>
      <color indexed="23"/>
      <name val="Calibri"/>
      <family val="2"/>
    </font>
    <font>
      <b/>
      <sz val="18"/>
      <color indexed="48"/>
      <name val="Cambria"/>
      <family val="2"/>
    </font>
    <font>
      <b/>
      <sz val="15"/>
      <color indexed="48"/>
      <name val="Calibri"/>
      <family val="2"/>
    </font>
    <font>
      <b/>
      <sz val="13"/>
      <color indexed="48"/>
      <name val="Calibri"/>
      <family val="2"/>
    </font>
    <font>
      <sz val="8"/>
      <name val="Segoe UI"/>
      <family val="2"/>
    </font>
    <font>
      <sz val="14"/>
      <color indexed="63"/>
      <name val="Arial Black"/>
      <family val="2"/>
    </font>
    <font>
      <b/>
      <sz val="18"/>
      <color indexed="8"/>
      <name val="Calibri"/>
      <family val="2"/>
    </font>
    <font>
      <b/>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8"/>
      </left>
      <right style="thin">
        <color indexed="18"/>
      </right>
      <top style="thin">
        <color indexed="18"/>
      </top>
      <bottom style="thin">
        <color indexed="18"/>
      </bottom>
    </border>
    <border>
      <left style="thin">
        <color indexed="18"/>
      </left>
      <right style="thin">
        <color indexed="18"/>
      </right>
      <top style="thin">
        <color indexed="18"/>
      </top>
      <bottom>
        <color indexed="63"/>
      </bottom>
    </border>
    <border>
      <left style="thin">
        <color indexed="58"/>
      </left>
      <right style="thin">
        <color indexed="58"/>
      </right>
      <top style="thin">
        <color indexed="58"/>
      </top>
      <bottom style="thin">
        <color indexed="58"/>
      </bottom>
    </border>
    <border>
      <left style="medium">
        <color indexed="58"/>
      </left>
      <right style="thin">
        <color indexed="58"/>
      </right>
      <top style="medium">
        <color indexed="58"/>
      </top>
      <bottom style="thin">
        <color indexed="58"/>
      </bottom>
    </border>
    <border>
      <left style="thin">
        <color indexed="58"/>
      </left>
      <right style="thin">
        <color indexed="58"/>
      </right>
      <top style="medium">
        <color indexed="58"/>
      </top>
      <bottom style="thin">
        <color indexed="58"/>
      </bottom>
    </border>
    <border>
      <left style="thin">
        <color indexed="58"/>
      </left>
      <right style="medium">
        <color indexed="58"/>
      </right>
      <top style="medium">
        <color indexed="58"/>
      </top>
      <bottom style="thin">
        <color indexed="58"/>
      </bottom>
    </border>
    <border>
      <left style="medium">
        <color indexed="58"/>
      </left>
      <right style="thin">
        <color indexed="58"/>
      </right>
      <top style="thin">
        <color indexed="58"/>
      </top>
      <bottom style="thin">
        <color indexed="58"/>
      </bottom>
    </border>
    <border>
      <left style="thin">
        <color indexed="58"/>
      </left>
      <right style="medium">
        <color indexed="58"/>
      </right>
      <top style="thin">
        <color indexed="58"/>
      </top>
      <bottom style="thin">
        <color indexed="58"/>
      </bottom>
    </border>
    <border>
      <left style="medium">
        <color indexed="58"/>
      </left>
      <right style="thin">
        <color indexed="58"/>
      </right>
      <top style="thin">
        <color indexed="58"/>
      </top>
      <bottom style="medium">
        <color indexed="58"/>
      </bottom>
    </border>
    <border>
      <left style="thin">
        <color indexed="58"/>
      </left>
      <right style="thin">
        <color indexed="58"/>
      </right>
      <top style="thin">
        <color indexed="58"/>
      </top>
      <bottom style="medium">
        <color indexed="58"/>
      </bottom>
    </border>
    <border>
      <left style="thin">
        <color indexed="58"/>
      </left>
      <right style="medium">
        <color indexed="58"/>
      </right>
      <top style="thin">
        <color indexed="58"/>
      </top>
      <bottom style="medium">
        <color indexed="58"/>
      </bottom>
    </border>
    <border>
      <left style="thin">
        <color indexed="18"/>
      </left>
      <right>
        <color indexed="63"/>
      </right>
      <top style="thin">
        <color indexed="18"/>
      </top>
      <bottom style="thin">
        <color indexed="18"/>
      </bottom>
    </border>
    <border>
      <left style="thin"/>
      <right style="thin"/>
      <top style="thin"/>
      <bottom style="thin"/>
    </border>
    <border>
      <left>
        <color indexed="63"/>
      </left>
      <right style="thin">
        <color indexed="18"/>
      </right>
      <top style="thin">
        <color indexed="18"/>
      </top>
      <bottom>
        <color indexed="63"/>
      </bottom>
    </border>
    <border>
      <left>
        <color indexed="63"/>
      </left>
      <right style="thin">
        <color indexed="58"/>
      </right>
      <top style="thin">
        <color indexed="58"/>
      </top>
      <bottom style="thin">
        <color indexed="58"/>
      </bottom>
    </border>
    <border>
      <left>
        <color indexed="63"/>
      </left>
      <right style="thin"/>
      <top style="thin"/>
      <bottom style="thin"/>
    </border>
    <border>
      <left>
        <color indexed="63"/>
      </left>
      <right style="thin">
        <color indexed="18"/>
      </right>
      <top style="thin">
        <color indexed="18"/>
      </top>
      <bottom style="thin">
        <color indexed="18"/>
      </bottom>
    </border>
    <border>
      <left style="thin">
        <color indexed="18"/>
      </left>
      <right style="thin">
        <color indexed="18"/>
      </right>
      <top>
        <color indexed="63"/>
      </top>
      <bottom style="thin">
        <color indexed="1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ashed">
        <color indexed="18"/>
      </left>
      <right style="thin">
        <color indexed="18"/>
      </right>
      <top style="dashed">
        <color indexed="18"/>
      </top>
      <bottom style="dashed">
        <color indexed="18"/>
      </bottom>
    </border>
    <border>
      <left style="thin">
        <color indexed="18"/>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color indexed="63"/>
      </bottom>
    </border>
    <border>
      <left style="medium">
        <color indexed="18"/>
      </left>
      <right style="medium">
        <color indexed="18"/>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color indexed="63"/>
      </left>
      <right>
        <color indexed="63"/>
      </right>
      <top style="thin">
        <color indexed="18"/>
      </top>
      <bottom style="thin">
        <color indexed="18"/>
      </bottom>
    </border>
    <border>
      <left>
        <color indexed="63"/>
      </left>
      <right style="medium">
        <color indexed="18"/>
      </right>
      <top style="thin">
        <color indexed="18"/>
      </top>
      <bottom style="thin">
        <color indexed="18"/>
      </bottom>
    </border>
    <border>
      <left style="medium">
        <color indexed="18"/>
      </left>
      <right style="medium">
        <color indexed="18"/>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color indexed="18"/>
      </left>
      <right>
        <color indexed="63"/>
      </right>
      <top style="medium">
        <color indexed="18"/>
      </top>
      <bottom style="medium">
        <color indexed="18"/>
      </bottom>
    </border>
    <border>
      <left style="medium">
        <color indexed="18"/>
      </left>
      <right style="medium">
        <color indexed="18"/>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color indexed="63"/>
      </right>
      <top style="thin">
        <color indexed="18"/>
      </top>
      <bottom style="thin">
        <color indexed="18"/>
      </bottom>
    </border>
    <border>
      <left style="medium">
        <color indexed="18"/>
      </left>
      <right>
        <color indexed="63"/>
      </right>
      <top>
        <color indexed="63"/>
      </top>
      <bottom style="medium">
        <color indexed="18"/>
      </bottom>
    </border>
    <border>
      <left style="thin">
        <color indexed="8"/>
      </left>
      <right style="thin">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180" fontId="0" fillId="0" borderId="0" applyFill="0" applyBorder="0" applyAlignment="0" applyProtection="0"/>
    <xf numFmtId="0" fontId="6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325">
    <xf numFmtId="0" fontId="0" fillId="0" borderId="0" xfId="0" applyAlignment="1">
      <alignment/>
    </xf>
    <xf numFmtId="0" fontId="0" fillId="0" borderId="0" xfId="0" applyAlignment="1">
      <alignment wrapText="1"/>
    </xf>
    <xf numFmtId="0" fontId="15" fillId="33" borderId="0" xfId="0" applyFont="1" applyFill="1" applyAlignment="1">
      <alignment/>
    </xf>
    <xf numFmtId="0" fontId="15" fillId="33" borderId="0" xfId="0" applyFont="1" applyFill="1" applyBorder="1" applyAlignment="1">
      <alignment/>
    </xf>
    <xf numFmtId="0" fontId="0" fillId="0" borderId="10" xfId="0" applyBorder="1" applyAlignment="1">
      <alignment wrapText="1"/>
    </xf>
    <xf numFmtId="0" fontId="0" fillId="0" borderId="10" xfId="0" applyBorder="1" applyAlignment="1">
      <alignment/>
    </xf>
    <xf numFmtId="0" fontId="0" fillId="0" borderId="11" xfId="0" applyBorder="1" applyAlignment="1">
      <alignment/>
    </xf>
    <xf numFmtId="180" fontId="0" fillId="0" borderId="10" xfId="0" applyNumberFormat="1" applyBorder="1" applyAlignment="1">
      <alignment/>
    </xf>
    <xf numFmtId="199" fontId="0" fillId="0" borderId="10" xfId="0" applyNumberFormat="1" applyBorder="1" applyAlignment="1">
      <alignment/>
    </xf>
    <xf numFmtId="180" fontId="0" fillId="0" borderId="12" xfId="0" applyNumberFormat="1" applyBorder="1" applyAlignment="1">
      <alignment/>
    </xf>
    <xf numFmtId="180" fontId="0" fillId="0" borderId="0" xfId="0" applyNumberFormat="1" applyAlignment="1">
      <alignment/>
    </xf>
    <xf numFmtId="0" fontId="0" fillId="0" borderId="10" xfId="0" applyBorder="1" applyAlignment="1">
      <alignment horizontal="center"/>
    </xf>
    <xf numFmtId="0" fontId="0" fillId="0" borderId="0" xfId="0" applyFont="1" applyAlignment="1">
      <alignment/>
    </xf>
    <xf numFmtId="0" fontId="16" fillId="0" borderId="13" xfId="0" applyFont="1" applyBorder="1" applyAlignment="1">
      <alignment/>
    </xf>
    <xf numFmtId="0" fontId="16" fillId="0" borderId="14" xfId="0" applyFont="1" applyBorder="1" applyAlignment="1">
      <alignment/>
    </xf>
    <xf numFmtId="0" fontId="16" fillId="0" borderId="15" xfId="0" applyFont="1" applyBorder="1" applyAlignment="1">
      <alignment horizontal="center" wrapText="1"/>
    </xf>
    <xf numFmtId="0" fontId="17" fillId="0" borderId="16" xfId="0" applyFont="1" applyFill="1" applyBorder="1" applyAlignment="1">
      <alignment vertical="center" wrapText="1"/>
    </xf>
    <xf numFmtId="180" fontId="16" fillId="0" borderId="12" xfId="0" applyNumberFormat="1" applyFont="1" applyBorder="1" applyAlignment="1">
      <alignment/>
    </xf>
    <xf numFmtId="197" fontId="16" fillId="0" borderId="17" xfId="0" applyNumberFormat="1" applyFont="1" applyBorder="1" applyAlignment="1">
      <alignment/>
    </xf>
    <xf numFmtId="0" fontId="17" fillId="0" borderId="18" xfId="0" applyFont="1" applyFill="1" applyBorder="1" applyAlignment="1">
      <alignment vertical="center" wrapText="1"/>
    </xf>
    <xf numFmtId="180" fontId="16" fillId="0" borderId="19" xfId="0" applyNumberFormat="1" applyFont="1" applyBorder="1" applyAlignment="1">
      <alignment/>
    </xf>
    <xf numFmtId="197" fontId="16" fillId="0" borderId="20" xfId="0" applyNumberFormat="1" applyFont="1" applyBorder="1" applyAlignment="1">
      <alignment/>
    </xf>
    <xf numFmtId="197" fontId="16" fillId="33" borderId="0" xfId="0" applyNumberFormat="1" applyFont="1" applyFill="1" applyBorder="1" applyAlignment="1">
      <alignment/>
    </xf>
    <xf numFmtId="180" fontId="16" fillId="33" borderId="0" xfId="0" applyNumberFormat="1" applyFont="1" applyFill="1" applyBorder="1" applyAlignment="1">
      <alignment/>
    </xf>
    <xf numFmtId="0" fontId="0" fillId="33" borderId="0" xfId="0" applyFont="1" applyFill="1" applyAlignment="1">
      <alignment/>
    </xf>
    <xf numFmtId="183" fontId="16" fillId="33" borderId="0" xfId="0" applyNumberFormat="1" applyFont="1" applyFill="1" applyBorder="1" applyAlignment="1">
      <alignment/>
    </xf>
    <xf numFmtId="0" fontId="17" fillId="0" borderId="0" xfId="0" applyFont="1" applyFill="1" applyBorder="1" applyAlignment="1">
      <alignment vertical="center" wrapText="1"/>
    </xf>
    <xf numFmtId="9" fontId="16" fillId="0" borderId="0" xfId="0" applyNumberFormat="1" applyFont="1" applyBorder="1" applyAlignment="1">
      <alignment/>
    </xf>
    <xf numFmtId="180" fontId="16" fillId="0" borderId="0" xfId="0" applyNumberFormat="1" applyFont="1" applyBorder="1" applyAlignment="1">
      <alignment/>
    </xf>
    <xf numFmtId="197" fontId="16" fillId="0" borderId="0" xfId="0" applyNumberFormat="1" applyFont="1" applyBorder="1" applyAlignment="1">
      <alignment/>
    </xf>
    <xf numFmtId="0" fontId="0" fillId="0" borderId="12" xfId="0" applyFont="1" applyBorder="1" applyAlignment="1">
      <alignment/>
    </xf>
    <xf numFmtId="182" fontId="1" fillId="0" borderId="12" xfId="0" applyNumberFormat="1" applyFont="1" applyFill="1" applyBorder="1" applyAlignment="1">
      <alignment horizontal="left" vertical="center" wrapText="1"/>
    </xf>
    <xf numFmtId="180" fontId="0" fillId="0" borderId="12" xfId="0" applyNumberFormat="1" applyFont="1" applyBorder="1" applyAlignment="1">
      <alignment/>
    </xf>
    <xf numFmtId="197" fontId="0" fillId="0" borderId="0" xfId="0" applyNumberFormat="1" applyFont="1" applyAlignment="1">
      <alignment/>
    </xf>
    <xf numFmtId="0" fontId="15" fillId="33" borderId="0" xfId="60" applyFont="1" applyFill="1" applyBorder="1" applyAlignment="1">
      <alignment/>
      <protection/>
    </xf>
    <xf numFmtId="201" fontId="0" fillId="0" borderId="0" xfId="0" applyNumberFormat="1" applyAlignment="1">
      <alignment/>
    </xf>
    <xf numFmtId="180" fontId="0" fillId="0" borderId="0" xfId="0" applyNumberFormat="1" applyFont="1" applyAlignment="1">
      <alignment/>
    </xf>
    <xf numFmtId="197" fontId="16" fillId="0" borderId="17" xfId="0" applyNumberFormat="1" applyFont="1" applyFill="1" applyBorder="1" applyAlignment="1">
      <alignment/>
    </xf>
    <xf numFmtId="180" fontId="0" fillId="0" borderId="0" xfId="0" applyNumberFormat="1" applyFont="1" applyFill="1" applyAlignment="1">
      <alignment/>
    </xf>
    <xf numFmtId="0" fontId="0" fillId="0" borderId="21" xfId="0" applyBorder="1" applyAlignment="1">
      <alignment/>
    </xf>
    <xf numFmtId="180" fontId="0" fillId="0" borderId="21" xfId="0" applyNumberFormat="1" applyBorder="1" applyAlignment="1">
      <alignment/>
    </xf>
    <xf numFmtId="0" fontId="0" fillId="0" borderId="22" xfId="0" applyBorder="1" applyAlignment="1">
      <alignment/>
    </xf>
    <xf numFmtId="180" fontId="0" fillId="0" borderId="22" xfId="0" applyNumberFormat="1" applyBorder="1" applyAlignment="1">
      <alignment/>
    </xf>
    <xf numFmtId="0" fontId="0" fillId="0" borderId="0" xfId="0" applyFont="1" applyBorder="1" applyAlignment="1">
      <alignment/>
    </xf>
    <xf numFmtId="0" fontId="0" fillId="0" borderId="0" xfId="60" applyFont="1" applyBorder="1">
      <alignment/>
      <protection/>
    </xf>
    <xf numFmtId="0" fontId="18" fillId="0" borderId="0" xfId="60" applyFont="1" applyBorder="1" applyAlignment="1">
      <alignment wrapText="1"/>
      <protection/>
    </xf>
    <xf numFmtId="0" fontId="18" fillId="0" borderId="0" xfId="60" applyFont="1" applyBorder="1">
      <alignment/>
      <protection/>
    </xf>
    <xf numFmtId="180" fontId="18" fillId="0" borderId="0" xfId="60" applyNumberFormat="1" applyFont="1" applyBorder="1">
      <alignment/>
      <protection/>
    </xf>
    <xf numFmtId="199" fontId="18" fillId="0" borderId="0" xfId="60" applyNumberFormat="1" applyFont="1" applyBorder="1">
      <alignment/>
      <protection/>
    </xf>
    <xf numFmtId="0" fontId="15" fillId="33" borderId="0" xfId="0" applyFont="1" applyFill="1" applyBorder="1" applyAlignment="1">
      <alignment horizontal="center" wrapText="1"/>
    </xf>
    <xf numFmtId="0" fontId="0" fillId="0" borderId="23" xfId="0" applyBorder="1" applyAlignment="1">
      <alignment/>
    </xf>
    <xf numFmtId="180" fontId="0" fillId="0" borderId="24" xfId="0" applyNumberFormat="1" applyBorder="1" applyAlignment="1">
      <alignment/>
    </xf>
    <xf numFmtId="0" fontId="0" fillId="0" borderId="22" xfId="0" applyBorder="1" applyAlignment="1">
      <alignment wrapText="1"/>
    </xf>
    <xf numFmtId="199" fontId="0" fillId="0" borderId="22" xfId="0" applyNumberFormat="1" applyBorder="1" applyAlignment="1">
      <alignment wrapText="1"/>
    </xf>
    <xf numFmtId="10" fontId="0" fillId="0" borderId="12" xfId="0" applyNumberFormat="1" applyBorder="1" applyAlignment="1">
      <alignment/>
    </xf>
    <xf numFmtId="180" fontId="0" fillId="34" borderId="10" xfId="0" applyNumberFormat="1" applyFill="1" applyBorder="1" applyAlignment="1">
      <alignment/>
    </xf>
    <xf numFmtId="180" fontId="0" fillId="35" borderId="10" xfId="0" applyNumberFormat="1" applyFill="1" applyBorder="1" applyAlignment="1">
      <alignment/>
    </xf>
    <xf numFmtId="0" fontId="0" fillId="0" borderId="0" xfId="0" applyBorder="1" applyAlignment="1">
      <alignment/>
    </xf>
    <xf numFmtId="0" fontId="0" fillId="0" borderId="0" xfId="0" applyBorder="1" applyAlignment="1">
      <alignment wrapText="1"/>
    </xf>
    <xf numFmtId="180" fontId="0" fillId="0" borderId="0" xfId="0" applyNumberFormat="1" applyBorder="1" applyAlignment="1">
      <alignment/>
    </xf>
    <xf numFmtId="10" fontId="0" fillId="0" borderId="10" xfId="0" applyNumberFormat="1" applyBorder="1" applyAlignment="1">
      <alignment/>
    </xf>
    <xf numFmtId="10" fontId="0" fillId="0" borderId="22" xfId="0" applyNumberFormat="1" applyBorder="1" applyAlignment="1">
      <alignment/>
    </xf>
    <xf numFmtId="180" fontId="0" fillId="0" borderId="10" xfId="0" applyNumberFormat="1" applyBorder="1" applyAlignment="1">
      <alignment wrapText="1"/>
    </xf>
    <xf numFmtId="10" fontId="0" fillId="0" borderId="0" xfId="0" applyNumberFormat="1" applyBorder="1" applyAlignment="1">
      <alignment/>
    </xf>
    <xf numFmtId="199" fontId="0" fillId="0" borderId="0" xfId="0" applyNumberFormat="1" applyBorder="1" applyAlignment="1">
      <alignment wrapText="1"/>
    </xf>
    <xf numFmtId="171" fontId="0" fillId="0" borderId="0" xfId="0" applyNumberFormat="1" applyAlignment="1">
      <alignment/>
    </xf>
    <xf numFmtId="0" fontId="1" fillId="0" borderId="0" xfId="0" applyFont="1" applyFill="1" applyBorder="1" applyAlignment="1">
      <alignment/>
    </xf>
    <xf numFmtId="0" fontId="15" fillId="33" borderId="0" xfId="0" applyFont="1" applyFill="1" applyBorder="1" applyAlignment="1">
      <alignment horizontal="center"/>
    </xf>
    <xf numFmtId="0" fontId="0" fillId="36" borderId="11" xfId="0" applyFill="1" applyBorder="1" applyAlignment="1">
      <alignment/>
    </xf>
    <xf numFmtId="180" fontId="0" fillId="36" borderId="12" xfId="0" applyNumberFormat="1" applyFill="1" applyBorder="1" applyAlignment="1">
      <alignment/>
    </xf>
    <xf numFmtId="0" fontId="0" fillId="36" borderId="0" xfId="0" applyFill="1" applyAlignment="1">
      <alignment/>
    </xf>
    <xf numFmtId="10" fontId="0" fillId="0" borderId="0" xfId="0" applyNumberFormat="1" applyAlignment="1">
      <alignment/>
    </xf>
    <xf numFmtId="205" fontId="0" fillId="0" borderId="0" xfId="0" applyNumberFormat="1" applyBorder="1" applyAlignment="1">
      <alignment/>
    </xf>
    <xf numFmtId="0" fontId="0" fillId="0" borderId="22" xfId="0" applyFill="1" applyBorder="1" applyAlignment="1">
      <alignment/>
    </xf>
    <xf numFmtId="0" fontId="0" fillId="0" borderId="22" xfId="0" applyFill="1" applyBorder="1" applyAlignment="1">
      <alignment wrapText="1"/>
    </xf>
    <xf numFmtId="10" fontId="0" fillId="0" borderId="25" xfId="0" applyNumberFormat="1" applyBorder="1" applyAlignment="1">
      <alignment/>
    </xf>
    <xf numFmtId="211" fontId="0" fillId="0" borderId="22" xfId="0" applyNumberFormat="1" applyBorder="1" applyAlignment="1">
      <alignment/>
    </xf>
    <xf numFmtId="180" fontId="0" fillId="0" borderId="21" xfId="0" applyNumberFormat="1" applyBorder="1" applyAlignment="1">
      <alignment wrapText="1"/>
    </xf>
    <xf numFmtId="10" fontId="0" fillId="0" borderId="22" xfId="0" applyNumberFormat="1" applyBorder="1" applyAlignment="1">
      <alignment wrapText="1"/>
    </xf>
    <xf numFmtId="10" fontId="0" fillId="0" borderId="0" xfId="0" applyNumberFormat="1" applyBorder="1" applyAlignment="1">
      <alignment wrapText="1"/>
    </xf>
    <xf numFmtId="0" fontId="0" fillId="0" borderId="25" xfId="0" applyBorder="1" applyAlignment="1">
      <alignment horizontal="center" wrapText="1"/>
    </xf>
    <xf numFmtId="0" fontId="0" fillId="0" borderId="22" xfId="0" applyBorder="1" applyAlignment="1">
      <alignment horizontal="center"/>
    </xf>
    <xf numFmtId="180" fontId="23" fillId="36" borderId="0" xfId="0" applyNumberFormat="1" applyFont="1" applyFill="1" applyAlignment="1">
      <alignment/>
    </xf>
    <xf numFmtId="171" fontId="21" fillId="36" borderId="0" xfId="0" applyNumberFormat="1" applyFont="1" applyFill="1" applyAlignment="1">
      <alignment/>
    </xf>
    <xf numFmtId="171" fontId="0" fillId="36" borderId="0" xfId="0" applyNumberFormat="1" applyFill="1" applyAlignment="1">
      <alignment/>
    </xf>
    <xf numFmtId="0" fontId="0" fillId="0" borderId="26" xfId="0" applyBorder="1" applyAlignment="1">
      <alignment/>
    </xf>
    <xf numFmtId="0" fontId="0" fillId="0" borderId="27" xfId="0" applyBorder="1" applyAlignment="1">
      <alignment wrapText="1"/>
    </xf>
    <xf numFmtId="180" fontId="0" fillId="36" borderId="0" xfId="0" applyNumberFormat="1" applyFill="1" applyBorder="1" applyAlignment="1">
      <alignment/>
    </xf>
    <xf numFmtId="0" fontId="0" fillId="36" borderId="10" xfId="0" applyFill="1" applyBorder="1" applyAlignment="1">
      <alignment/>
    </xf>
    <xf numFmtId="180" fontId="0" fillId="36" borderId="10" xfId="0" applyNumberFormat="1" applyFill="1" applyBorder="1" applyAlignment="1">
      <alignment/>
    </xf>
    <xf numFmtId="0" fontId="0" fillId="36" borderId="0" xfId="0" applyFill="1" applyBorder="1" applyAlignment="1">
      <alignment/>
    </xf>
    <xf numFmtId="199" fontId="0" fillId="36" borderId="0" xfId="0" applyNumberFormat="1" applyFill="1" applyBorder="1" applyAlignment="1">
      <alignment/>
    </xf>
    <xf numFmtId="180" fontId="0" fillId="36" borderId="0" xfId="0" applyNumberFormat="1" applyFill="1" applyAlignment="1">
      <alignment/>
    </xf>
    <xf numFmtId="0" fontId="0" fillId="36" borderId="22" xfId="0" applyFill="1" applyBorder="1" applyAlignment="1">
      <alignment/>
    </xf>
    <xf numFmtId="0" fontId="15" fillId="33" borderId="0" xfId="0" applyFont="1" applyFill="1" applyBorder="1" applyAlignment="1">
      <alignment horizontal="center"/>
    </xf>
    <xf numFmtId="0" fontId="7" fillId="33" borderId="0" xfId="0" applyFont="1" applyFill="1" applyBorder="1" applyAlignment="1">
      <alignment horizontal="center"/>
    </xf>
    <xf numFmtId="0" fontId="4" fillId="0" borderId="0" xfId="0" applyFont="1" applyBorder="1" applyAlignment="1">
      <alignment horizontal="center"/>
    </xf>
    <xf numFmtId="0" fontId="15" fillId="33" borderId="0" xfId="60" applyFont="1" applyFill="1" applyBorder="1" applyAlignment="1">
      <alignment horizontal="center"/>
      <protection/>
    </xf>
    <xf numFmtId="10" fontId="0" fillId="0" borderId="28" xfId="0" applyNumberFormat="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2" fillId="0" borderId="0" xfId="0" applyFont="1" applyAlignment="1">
      <alignment horizontal="center"/>
    </xf>
    <xf numFmtId="205" fontId="0" fillId="0" borderId="28" xfId="0" applyNumberFormat="1" applyBorder="1" applyAlignment="1">
      <alignment horizontal="center"/>
    </xf>
    <xf numFmtId="205" fontId="0" fillId="0" borderId="29" xfId="0" applyNumberFormat="1" applyBorder="1" applyAlignment="1">
      <alignment horizontal="center"/>
    </xf>
    <xf numFmtId="205" fontId="0" fillId="0" borderId="30" xfId="0" applyNumberFormat="1"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1"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0" xfId="0" applyFont="1" applyFill="1" applyBorder="1" applyAlignment="1">
      <alignment/>
    </xf>
    <xf numFmtId="0" fontId="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182" fontId="1" fillId="0" borderId="10" xfId="0" applyNumberFormat="1" applyFont="1" applyFill="1" applyBorder="1" applyAlignment="1">
      <alignment horizontal="left" vertical="center" wrapText="1"/>
    </xf>
    <xf numFmtId="182" fontId="1" fillId="0" borderId="10" xfId="0" applyNumberFormat="1" applyFont="1" applyFill="1" applyBorder="1" applyAlignment="1">
      <alignment horizontal="center" vertical="center"/>
    </xf>
    <xf numFmtId="183" fontId="1" fillId="0" borderId="10" xfId="0" applyNumberFormat="1" applyFont="1" applyFill="1" applyBorder="1" applyAlignment="1">
      <alignment horizontal="center" vertical="center"/>
    </xf>
    <xf numFmtId="0" fontId="1" fillId="0" borderId="0" xfId="0" applyFont="1" applyFill="1" applyBorder="1" applyAlignment="1">
      <alignment wrapText="1"/>
    </xf>
    <xf numFmtId="182" fontId="1" fillId="0" borderId="12" xfId="0" applyNumberFormat="1" applyFont="1" applyFill="1" applyBorder="1" applyAlignment="1">
      <alignment horizontal="center" vertical="center"/>
    </xf>
    <xf numFmtId="0" fontId="1" fillId="0" borderId="21" xfId="0" applyFont="1" applyFill="1" applyBorder="1" applyAlignment="1">
      <alignment vertical="center" wrapText="1"/>
    </xf>
    <xf numFmtId="0" fontId="1" fillId="0" borderId="1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6" fillId="0" borderId="0" xfId="0" applyFont="1" applyFill="1" applyBorder="1" applyAlignment="1">
      <alignment/>
    </xf>
    <xf numFmtId="0" fontId="1" fillId="0" borderId="21"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10" xfId="58" applyFont="1" applyFill="1" applyBorder="1" applyAlignment="1" applyProtection="1">
      <alignment horizontal="justify" vertical="top" wrapText="1"/>
      <protection locked="0"/>
    </xf>
    <xf numFmtId="183"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xf>
    <xf numFmtId="0" fontId="3" fillId="0" borderId="10" xfId="0" applyFont="1" applyFill="1" applyBorder="1" applyAlignment="1">
      <alignment vertical="center" wrapText="1"/>
    </xf>
    <xf numFmtId="0" fontId="1" fillId="0" borderId="10" xfId="0" applyFont="1" applyFill="1" applyBorder="1" applyAlignment="1">
      <alignment/>
    </xf>
    <xf numFmtId="0" fontId="1" fillId="0" borderId="10" xfId="0" applyFont="1" applyFill="1" applyBorder="1" applyAlignment="1">
      <alignment vertical="top" wrapText="1"/>
    </xf>
    <xf numFmtId="193" fontId="1" fillId="0" borderId="10" xfId="0" applyNumberFormat="1" applyFont="1" applyFill="1" applyBorder="1" applyAlignment="1" applyProtection="1">
      <alignment horizontal="center" vertical="center" wrapText="1"/>
      <protection locked="0"/>
    </xf>
    <xf numFmtId="193" fontId="3" fillId="0" borderId="10"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left" vertical="center"/>
    </xf>
    <xf numFmtId="3"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193" fontId="1" fillId="0" borderId="0" xfId="0" applyNumberFormat="1" applyFont="1" applyFill="1" applyBorder="1" applyAlignment="1" applyProtection="1">
      <alignment horizontal="center" vertical="center" wrapText="1"/>
      <protection locked="0"/>
    </xf>
    <xf numFmtId="210" fontId="1" fillId="0" borderId="0" xfId="0" applyNumberFormat="1" applyFont="1" applyFill="1" applyBorder="1" applyAlignment="1">
      <alignment horizontal="center" vertical="center"/>
    </xf>
    <xf numFmtId="182" fontId="1" fillId="0" borderId="0" xfId="0" applyNumberFormat="1" applyFont="1" applyFill="1" applyBorder="1" applyAlignment="1">
      <alignment horizontal="center" vertical="center"/>
    </xf>
    <xf numFmtId="182" fontId="1" fillId="0" borderId="0" xfId="0" applyNumberFormat="1" applyFont="1" applyFill="1" applyBorder="1" applyAlignment="1" applyProtection="1">
      <alignment horizontal="center" vertical="center" wrapText="1"/>
      <protection locked="0"/>
    </xf>
    <xf numFmtId="193" fontId="3" fillId="0" borderId="0" xfId="0" applyNumberFormat="1" applyFont="1" applyFill="1" applyBorder="1" applyAlignment="1" applyProtection="1">
      <alignment horizontal="center" vertical="center" wrapText="1"/>
      <protection locked="0"/>
    </xf>
    <xf numFmtId="193" fontId="1" fillId="0" borderId="0" xfId="0" applyNumberFormat="1" applyFont="1" applyFill="1" applyBorder="1" applyAlignment="1" applyProtection="1">
      <alignment horizontal="left" vertical="center" wrapText="1"/>
      <protection locked="0"/>
    </xf>
    <xf numFmtId="193"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182" fontId="3" fillId="0" borderId="12" xfId="0" applyNumberFormat="1" applyFont="1" applyFill="1" applyBorder="1" applyAlignment="1" applyProtection="1">
      <alignment horizontal="center" vertical="center" wrapText="1"/>
      <protection locked="0"/>
    </xf>
    <xf numFmtId="183" fontId="1" fillId="0" borderId="0" xfId="0" applyNumberFormat="1" applyFont="1" applyFill="1" applyBorder="1" applyAlignment="1">
      <alignment/>
    </xf>
    <xf numFmtId="183" fontId="1" fillId="0" borderId="11" xfId="0" applyNumberFormat="1" applyFont="1" applyFill="1" applyBorder="1" applyAlignment="1">
      <alignment horizontal="center" vertical="center"/>
    </xf>
    <xf numFmtId="183" fontId="1" fillId="0" borderId="10" xfId="0" applyNumberFormat="1" applyFont="1" applyFill="1" applyBorder="1" applyAlignment="1">
      <alignment horizontal="center"/>
    </xf>
    <xf numFmtId="205" fontId="1" fillId="0" borderId="0" xfId="0" applyNumberFormat="1" applyFont="1" applyFill="1" applyBorder="1" applyAlignment="1">
      <alignment/>
    </xf>
    <xf numFmtId="0" fontId="1" fillId="0" borderId="0" xfId="0" applyNumberFormat="1" applyFont="1" applyFill="1" applyAlignment="1">
      <alignment/>
    </xf>
    <xf numFmtId="183" fontId="1" fillId="0" borderId="0" xfId="0" applyNumberFormat="1" applyFont="1" applyFill="1" applyBorder="1" applyAlignment="1">
      <alignment wrapText="1"/>
    </xf>
    <xf numFmtId="0" fontId="1" fillId="0" borderId="10" xfId="0" applyFont="1" applyFill="1" applyBorder="1" applyAlignment="1">
      <alignment wrapText="1"/>
    </xf>
    <xf numFmtId="181"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lignment/>
    </xf>
    <xf numFmtId="180" fontId="3" fillId="0" borderId="21" xfId="0" applyNumberFormat="1" applyFont="1" applyFill="1" applyBorder="1" applyAlignment="1">
      <alignment/>
    </xf>
    <xf numFmtId="183" fontId="1" fillId="0" borderId="32" xfId="0" applyNumberFormat="1" applyFont="1" applyFill="1" applyBorder="1" applyAlignment="1" applyProtection="1">
      <alignment horizontal="right" vertical="center"/>
      <protection/>
    </xf>
    <xf numFmtId="183" fontId="1" fillId="0" borderId="0" xfId="0" applyNumberFormat="1" applyFont="1" applyFill="1" applyBorder="1" applyAlignment="1" applyProtection="1">
      <alignment horizontal="right" vertical="center"/>
      <protection/>
    </xf>
    <xf numFmtId="0" fontId="1" fillId="0" borderId="0" xfId="0" applyFont="1" applyFill="1" applyAlignment="1">
      <alignment/>
    </xf>
    <xf numFmtId="181" fontId="1" fillId="0" borderId="0" xfId="0" applyNumberFormat="1" applyFont="1" applyFill="1" applyBorder="1" applyAlignment="1" applyProtection="1">
      <alignment horizontal="right" vertical="center"/>
      <protection/>
    </xf>
    <xf numFmtId="0" fontId="3" fillId="0" borderId="0" xfId="0" applyFont="1" applyFill="1" applyAlignment="1">
      <alignment/>
    </xf>
    <xf numFmtId="182" fontId="1" fillId="0" borderId="0" xfId="0" applyNumberFormat="1" applyFont="1" applyFill="1" applyBorder="1" applyAlignment="1">
      <alignment horizontal="center"/>
    </xf>
    <xf numFmtId="182" fontId="1" fillId="0" borderId="0" xfId="0" applyNumberFormat="1" applyFont="1" applyFill="1" applyAlignment="1">
      <alignment/>
    </xf>
    <xf numFmtId="198" fontId="1" fillId="0" borderId="0" xfId="0" applyNumberFormat="1" applyFont="1" applyFill="1" applyAlignment="1">
      <alignment/>
    </xf>
    <xf numFmtId="183" fontId="1" fillId="0" borderId="0" xfId="0" applyNumberFormat="1" applyFont="1" applyFill="1" applyAlignment="1">
      <alignment/>
    </xf>
    <xf numFmtId="0" fontId="1" fillId="0" borderId="21" xfId="0" applyFont="1" applyFill="1" applyBorder="1" applyAlignment="1">
      <alignment/>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1" xfId="0" applyNumberFormat="1" applyFont="1" applyFill="1" applyBorder="1" applyAlignment="1">
      <alignment horizontal="center"/>
    </xf>
    <xf numFmtId="182" fontId="1" fillId="0" borderId="21" xfId="0" applyNumberFormat="1" applyFont="1" applyFill="1" applyBorder="1" applyAlignment="1">
      <alignment/>
    </xf>
    <xf numFmtId="0" fontId="1" fillId="0" borderId="0" xfId="0" applyNumberFormat="1" applyFont="1" applyFill="1" applyBorder="1" applyAlignment="1">
      <alignment/>
    </xf>
    <xf numFmtId="182" fontId="1" fillId="0" borderId="0" xfId="0" applyNumberFormat="1" applyFont="1" applyFill="1" applyBorder="1" applyAlignment="1">
      <alignment/>
    </xf>
    <xf numFmtId="181" fontId="1" fillId="0" borderId="0" xfId="0" applyNumberFormat="1" applyFont="1" applyFill="1" applyAlignment="1">
      <alignment/>
    </xf>
    <xf numFmtId="183" fontId="1" fillId="0" borderId="27" xfId="0" applyNumberFormat="1" applyFont="1" applyFill="1" applyBorder="1" applyAlignment="1">
      <alignment horizontal="center"/>
    </xf>
    <xf numFmtId="183" fontId="1" fillId="0" borderId="10" xfId="0" applyNumberFormat="1" applyFont="1" applyFill="1" applyBorder="1" applyAlignment="1">
      <alignment/>
    </xf>
    <xf numFmtId="183" fontId="1" fillId="0" borderId="33" xfId="0" applyNumberFormat="1" applyFont="1" applyFill="1" applyBorder="1" applyAlignment="1">
      <alignment/>
    </xf>
    <xf numFmtId="197" fontId="1" fillId="0" borderId="0" xfId="0" applyNumberFormat="1" applyFont="1" applyFill="1" applyBorder="1" applyAlignment="1">
      <alignment/>
    </xf>
    <xf numFmtId="183" fontId="1" fillId="0" borderId="12" xfId="0" applyNumberFormat="1" applyFont="1" applyFill="1" applyBorder="1" applyAlignment="1">
      <alignment horizontal="center"/>
    </xf>
    <xf numFmtId="183" fontId="1" fillId="0" borderId="34" xfId="0" applyNumberFormat="1" applyFont="1" applyFill="1" applyBorder="1" applyAlignment="1">
      <alignment horizontal="center"/>
    </xf>
    <xf numFmtId="182" fontId="1" fillId="0" borderId="10" xfId="0" applyNumberFormat="1" applyFont="1" applyFill="1" applyBorder="1" applyAlignment="1">
      <alignment horizontal="center"/>
    </xf>
    <xf numFmtId="0" fontId="1" fillId="0" borderId="0" xfId="0" applyNumberFormat="1" applyFont="1" applyFill="1" applyBorder="1" applyAlignment="1">
      <alignment horizontal="center"/>
    </xf>
    <xf numFmtId="183" fontId="1" fillId="0" borderId="0" xfId="0" applyNumberFormat="1" applyFont="1" applyFill="1" applyBorder="1" applyAlignment="1">
      <alignment horizontal="center"/>
    </xf>
    <xf numFmtId="203" fontId="1" fillId="0" borderId="0" xfId="0" applyNumberFormat="1" applyFont="1" applyFill="1" applyAlignment="1">
      <alignment/>
    </xf>
    <xf numFmtId="0" fontId="1" fillId="0" borderId="10" xfId="0" applyNumberFormat="1" applyFont="1" applyFill="1" applyBorder="1" applyAlignment="1">
      <alignment horizontal="center" wrapText="1"/>
    </xf>
    <xf numFmtId="182"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35" xfId="0" applyFont="1" applyFill="1" applyBorder="1" applyAlignment="1">
      <alignment vertical="center" wrapText="1"/>
    </xf>
    <xf numFmtId="180" fontId="1" fillId="0" borderId="10" xfId="0" applyNumberFormat="1" applyFont="1" applyFill="1" applyBorder="1" applyAlignment="1">
      <alignment/>
    </xf>
    <xf numFmtId="182" fontId="1" fillId="0" borderId="10" xfId="0" applyNumberFormat="1" applyFont="1" applyFill="1" applyBorder="1" applyAlignment="1">
      <alignment/>
    </xf>
    <xf numFmtId="0" fontId="1" fillId="0" borderId="0" xfId="0" applyFont="1" applyFill="1" applyBorder="1" applyAlignment="1">
      <alignment horizontal="left" vertical="center" wrapText="1"/>
    </xf>
    <xf numFmtId="182" fontId="3" fillId="0" borderId="10" xfId="0" applyNumberFormat="1" applyFont="1" applyFill="1" applyBorder="1" applyAlignment="1">
      <alignment/>
    </xf>
    <xf numFmtId="0" fontId="3" fillId="0" borderId="10" xfId="0" applyNumberFormat="1" applyFont="1" applyFill="1" applyBorder="1" applyAlignment="1">
      <alignment/>
    </xf>
    <xf numFmtId="182" fontId="3" fillId="0" borderId="0" xfId="0" applyNumberFormat="1" applyFont="1" applyFill="1" applyAlignment="1">
      <alignment/>
    </xf>
    <xf numFmtId="0" fontId="3" fillId="0" borderId="0" xfId="0" applyNumberFormat="1" applyFont="1" applyFill="1" applyAlignment="1">
      <alignment/>
    </xf>
    <xf numFmtId="182" fontId="1" fillId="0" borderId="0" xfId="0" applyNumberFormat="1" applyFont="1" applyFill="1" applyBorder="1" applyAlignment="1">
      <alignment horizontal="left" vertical="center" wrapText="1"/>
    </xf>
    <xf numFmtId="197" fontId="1" fillId="0" borderId="10" xfId="0" applyNumberFormat="1" applyFont="1" applyFill="1" applyBorder="1" applyAlignment="1">
      <alignment/>
    </xf>
    <xf numFmtId="0" fontId="1" fillId="0" borderId="10" xfId="0" applyFont="1" applyFill="1" applyBorder="1" applyAlignment="1">
      <alignment horizontal="justify" vertical="center" wrapText="1"/>
    </xf>
    <xf numFmtId="9" fontId="1" fillId="0" borderId="10" xfId="63" applyFont="1" applyFill="1" applyBorder="1" applyAlignment="1" applyProtection="1">
      <alignment horizontal="center"/>
      <protection/>
    </xf>
    <xf numFmtId="0" fontId="3" fillId="0" borderId="0" xfId="0" applyFont="1" applyFill="1" applyBorder="1" applyAlignment="1">
      <alignment horizontal="center"/>
    </xf>
    <xf numFmtId="0" fontId="3" fillId="0" borderId="0" xfId="0" applyNumberFormat="1" applyFont="1" applyFill="1" applyBorder="1" applyAlignment="1">
      <alignment horizontal="center"/>
    </xf>
    <xf numFmtId="0" fontId="3" fillId="0" borderId="0" xfId="0" applyFont="1" applyFill="1" applyAlignment="1">
      <alignment horizontal="center"/>
    </xf>
    <xf numFmtId="0" fontId="3" fillId="0" borderId="0" xfId="0" applyNumberFormat="1" applyFont="1" applyFill="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xf>
    <xf numFmtId="0" fontId="3" fillId="0" borderId="10" xfId="0" applyNumberFormat="1" applyFont="1" applyFill="1" applyBorder="1" applyAlignment="1">
      <alignment horizontal="center"/>
    </xf>
    <xf numFmtId="197" fontId="3" fillId="0" borderId="0" xfId="0" applyNumberFormat="1" applyFont="1" applyFill="1" applyAlignment="1">
      <alignment horizontal="center"/>
    </xf>
    <xf numFmtId="183" fontId="3" fillId="0" borderId="0" xfId="0" applyNumberFormat="1" applyFont="1" applyFill="1" applyAlignment="1">
      <alignment horizontal="center"/>
    </xf>
    <xf numFmtId="182" fontId="3" fillId="0" borderId="0" xfId="0" applyNumberFormat="1" applyFont="1" applyFill="1" applyAlignment="1">
      <alignment horizontal="center"/>
    </xf>
    <xf numFmtId="0" fontId="3" fillId="0" borderId="10" xfId="0" applyFont="1" applyFill="1" applyBorder="1" applyAlignment="1">
      <alignment/>
    </xf>
    <xf numFmtId="180" fontId="3" fillId="0" borderId="10" xfId="0" applyNumberFormat="1" applyFont="1" applyFill="1" applyBorder="1" applyAlignment="1">
      <alignment/>
    </xf>
    <xf numFmtId="197" fontId="3" fillId="0" borderId="10" xfId="0" applyNumberFormat="1" applyFont="1" applyFill="1" applyBorder="1" applyAlignment="1">
      <alignment/>
    </xf>
    <xf numFmtId="0" fontId="3" fillId="0" borderId="10" xfId="0" applyFont="1" applyFill="1" applyBorder="1" applyAlignment="1">
      <alignment horizontal="right"/>
    </xf>
    <xf numFmtId="9" fontId="3" fillId="0" borderId="10" xfId="63" applyFont="1" applyFill="1" applyBorder="1" applyAlignment="1" applyProtection="1">
      <alignment/>
      <protection/>
    </xf>
    <xf numFmtId="0" fontId="3" fillId="0" borderId="10" xfId="63" applyNumberFormat="1" applyFont="1" applyFill="1" applyBorder="1" applyAlignment="1" applyProtection="1">
      <alignment/>
      <protection/>
    </xf>
    <xf numFmtId="180" fontId="1" fillId="0" borderId="0" xfId="0" applyNumberFormat="1" applyFont="1" applyFill="1" applyAlignment="1">
      <alignment/>
    </xf>
    <xf numFmtId="0" fontId="3" fillId="0" borderId="21" xfId="0" applyFont="1" applyFill="1" applyBorder="1" applyAlignment="1">
      <alignment horizontal="center" wrapText="1"/>
    </xf>
    <xf numFmtId="0" fontId="3" fillId="0" borderId="12" xfId="0" applyFont="1" applyFill="1" applyBorder="1" applyAlignment="1">
      <alignment horizontal="center"/>
    </xf>
    <xf numFmtId="0" fontId="3" fillId="0" borderId="12" xfId="0" applyNumberFormat="1" applyFont="1" applyFill="1" applyBorder="1" applyAlignment="1">
      <alignment horizontal="center"/>
    </xf>
    <xf numFmtId="0" fontId="3" fillId="0" borderId="26" xfId="0" applyFont="1" applyFill="1" applyBorder="1" applyAlignment="1">
      <alignment horizontal="center"/>
    </xf>
    <xf numFmtId="0" fontId="1" fillId="0" borderId="21" xfId="0" applyFont="1" applyFill="1" applyBorder="1" applyAlignment="1">
      <alignment horizontal="center" vertical="center" wrapText="1"/>
    </xf>
    <xf numFmtId="0" fontId="1" fillId="0" borderId="12" xfId="0" applyNumberFormat="1" applyFont="1" applyFill="1" applyBorder="1" applyAlignment="1">
      <alignment horizontal="center"/>
    </xf>
    <xf numFmtId="180" fontId="1" fillId="0" borderId="12" xfId="0" applyNumberFormat="1" applyFont="1" applyFill="1" applyBorder="1" applyAlignment="1">
      <alignment/>
    </xf>
    <xf numFmtId="183" fontId="3" fillId="0" borderId="36" xfId="0" applyNumberFormat="1" applyFont="1" applyFill="1" applyBorder="1" applyAlignment="1">
      <alignment horizontal="center"/>
    </xf>
    <xf numFmtId="0" fontId="3" fillId="0" borderId="37" xfId="0" applyNumberFormat="1" applyFont="1" applyFill="1" applyBorder="1" applyAlignment="1">
      <alignment horizontal="center"/>
    </xf>
    <xf numFmtId="180" fontId="3" fillId="0" borderId="38" xfId="0" applyNumberFormat="1" applyFont="1" applyFill="1" applyBorder="1" applyAlignment="1">
      <alignment/>
    </xf>
    <xf numFmtId="183" fontId="3" fillId="0" borderId="39" xfId="0" applyNumberFormat="1" applyFont="1" applyFill="1" applyBorder="1" applyAlignment="1">
      <alignment horizontal="center"/>
    </xf>
    <xf numFmtId="0" fontId="3" fillId="0" borderId="40" xfId="0" applyNumberFormat="1" applyFont="1" applyFill="1" applyBorder="1" applyAlignment="1">
      <alignment horizontal="center"/>
    </xf>
    <xf numFmtId="180" fontId="3" fillId="0" borderId="41" xfId="0" applyNumberFormat="1" applyFont="1" applyFill="1" applyBorder="1" applyAlignment="1">
      <alignment/>
    </xf>
    <xf numFmtId="180" fontId="3" fillId="0" borderId="42" xfId="0" applyNumberFormat="1" applyFont="1" applyFill="1" applyBorder="1" applyAlignment="1">
      <alignment/>
    </xf>
    <xf numFmtId="0" fontId="3" fillId="0" borderId="43" xfId="0" applyNumberFormat="1" applyFont="1" applyFill="1" applyBorder="1" applyAlignment="1">
      <alignment/>
    </xf>
    <xf numFmtId="180" fontId="3" fillId="0" borderId="44" xfId="0" applyNumberFormat="1" applyFont="1" applyFill="1" applyBorder="1" applyAlignment="1">
      <alignment/>
    </xf>
    <xf numFmtId="0" fontId="1" fillId="0" borderId="26" xfId="0" applyFont="1" applyFill="1" applyBorder="1" applyAlignment="1">
      <alignment horizontal="left" vertical="center" wrapText="1"/>
    </xf>
    <xf numFmtId="0" fontId="1" fillId="0" borderId="26" xfId="0" applyFont="1" applyFill="1" applyBorder="1" applyAlignment="1">
      <alignment horizontal="left" vertical="center"/>
    </xf>
    <xf numFmtId="183" fontId="1" fillId="0" borderId="10" xfId="0" applyNumberFormat="1" applyFont="1" applyFill="1" applyBorder="1" applyAlignment="1">
      <alignment vertical="center" wrapText="1"/>
    </xf>
    <xf numFmtId="0" fontId="7" fillId="0" borderId="0" xfId="0" applyFont="1" applyFill="1" applyBorder="1" applyAlignment="1">
      <alignment/>
    </xf>
    <xf numFmtId="0" fontId="7" fillId="0" borderId="0" xfId="0" applyFont="1" applyFill="1" applyBorder="1" applyAlignment="1">
      <alignment wrapText="1"/>
    </xf>
    <xf numFmtId="0"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pplyProtection="1">
      <alignment horizontal="center" vertical="center" wrapText="1"/>
      <protection locked="0"/>
    </xf>
    <xf numFmtId="182" fontId="1" fillId="0" borderId="12" xfId="0" applyNumberFormat="1" applyFont="1" applyFill="1" applyBorder="1" applyAlignment="1">
      <alignment horizontal="center"/>
    </xf>
    <xf numFmtId="182" fontId="3" fillId="0" borderId="12"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182" fontId="1" fillId="0" borderId="12" xfId="0" applyNumberFormat="1" applyFont="1" applyFill="1" applyBorder="1" applyAlignment="1">
      <alignment horizontal="center" wrapText="1"/>
    </xf>
    <xf numFmtId="0" fontId="3" fillId="0" borderId="45" xfId="0" applyFont="1" applyFill="1" applyBorder="1" applyAlignment="1">
      <alignment horizontal="center"/>
    </xf>
    <xf numFmtId="0" fontId="3" fillId="0" borderId="46" xfId="0" applyNumberFormat="1" applyFont="1" applyFill="1" applyBorder="1" applyAlignment="1">
      <alignment horizontal="center"/>
    </xf>
    <xf numFmtId="0" fontId="3" fillId="0" borderId="47" xfId="0" applyNumberFormat="1" applyFont="1" applyFill="1" applyBorder="1" applyAlignment="1">
      <alignment horizontal="center"/>
    </xf>
    <xf numFmtId="0" fontId="3" fillId="0" borderId="48" xfId="0" applyNumberFormat="1" applyFont="1" applyFill="1" applyBorder="1" applyAlignment="1">
      <alignment horizontal="center"/>
    </xf>
    <xf numFmtId="0" fontId="1" fillId="0" borderId="4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xf>
    <xf numFmtId="197" fontId="1" fillId="0" borderId="27" xfId="63" applyNumberFormat="1" applyFont="1" applyFill="1" applyBorder="1" applyAlignment="1" applyProtection="1">
      <alignment horizontal="center" vertical="center"/>
      <protection/>
    </xf>
    <xf numFmtId="197" fontId="1" fillId="0" borderId="11" xfId="63" applyNumberFormat="1" applyFont="1" applyFill="1" applyBorder="1" applyAlignment="1" applyProtection="1">
      <alignment horizontal="center" vertical="center"/>
      <protection/>
    </xf>
    <xf numFmtId="197" fontId="1" fillId="0" borderId="10" xfId="63" applyNumberFormat="1" applyFont="1" applyFill="1" applyBorder="1" applyAlignment="1" applyProtection="1">
      <alignment horizontal="center" vertical="center"/>
      <protection/>
    </xf>
    <xf numFmtId="183" fontId="1" fillId="0" borderId="12" xfId="0" applyNumberFormat="1" applyFont="1" applyFill="1" applyBorder="1" applyAlignment="1">
      <alignment/>
    </xf>
    <xf numFmtId="195" fontId="3" fillId="0" borderId="51" xfId="56" applyNumberFormat="1" applyFont="1" applyFill="1" applyBorder="1">
      <alignment/>
      <protection/>
    </xf>
    <xf numFmtId="0" fontId="1"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2" xfId="0" applyFont="1" applyFill="1" applyBorder="1" applyAlignment="1">
      <alignment vertical="center" wrapText="1"/>
    </xf>
    <xf numFmtId="0" fontId="3" fillId="0" borderId="22" xfId="0" applyFont="1" applyFill="1" applyBorder="1" applyAlignment="1">
      <alignment horizontal="center" wrapText="1"/>
    </xf>
    <xf numFmtId="0" fontId="3" fillId="0" borderId="22" xfId="0" applyNumberFormat="1" applyFont="1" applyFill="1" applyBorder="1" applyAlignment="1">
      <alignment wrapText="1"/>
    </xf>
    <xf numFmtId="0" fontId="3" fillId="0" borderId="22" xfId="0" applyFont="1" applyFill="1" applyBorder="1" applyAlignment="1">
      <alignment/>
    </xf>
    <xf numFmtId="182" fontId="3" fillId="0" borderId="22" xfId="0" applyNumberFormat="1" applyFont="1" applyFill="1" applyBorder="1" applyAlignment="1">
      <alignment horizontal="center" vertical="center" wrapText="1"/>
    </xf>
    <xf numFmtId="182" fontId="3" fillId="0" borderId="22" xfId="0" applyNumberFormat="1" applyFont="1" applyFill="1" applyBorder="1" applyAlignment="1">
      <alignment wrapText="1"/>
    </xf>
    <xf numFmtId="0" fontId="3" fillId="0" borderId="22" xfId="0" applyFont="1" applyFill="1" applyBorder="1" applyAlignment="1">
      <alignment wrapText="1"/>
    </xf>
    <xf numFmtId="0" fontId="3" fillId="0" borderId="22"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2" xfId="61" applyFont="1" applyFill="1" applyBorder="1" applyAlignment="1">
      <alignment vertical="center" wrapText="1"/>
      <protection/>
    </xf>
    <xf numFmtId="0" fontId="1" fillId="0" borderId="22" xfId="0" applyFont="1" applyFill="1" applyBorder="1" applyAlignment="1">
      <alignment horizontal="center" vertical="center" wrapText="1"/>
    </xf>
    <xf numFmtId="0" fontId="1" fillId="0" borderId="22" xfId="0" applyFont="1" applyFill="1" applyBorder="1" applyAlignment="1">
      <alignment vertical="center" wrapText="1"/>
    </xf>
    <xf numFmtId="182" fontId="1" fillId="0" borderId="22" xfId="0" applyNumberFormat="1" applyFont="1" applyFill="1" applyBorder="1" applyAlignment="1">
      <alignment horizontal="left" vertical="center" wrapText="1"/>
    </xf>
    <xf numFmtId="181" fontId="1" fillId="0" borderId="22" xfId="0" applyNumberFormat="1" applyFont="1" applyFill="1" applyBorder="1" applyAlignment="1">
      <alignment horizontal="center" vertical="center"/>
    </xf>
    <xf numFmtId="182" fontId="1" fillId="0" borderId="22"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 fillId="0" borderId="22" xfId="55" applyNumberFormat="1" applyFont="1" applyFill="1" applyBorder="1" applyAlignment="1">
      <alignment horizontal="justify" vertical="center"/>
      <protection/>
    </xf>
    <xf numFmtId="0" fontId="1" fillId="0" borderId="22" xfId="0" applyFont="1" applyFill="1" applyBorder="1" applyAlignment="1">
      <alignment horizontal="left" vertical="center"/>
    </xf>
    <xf numFmtId="0" fontId="1" fillId="0" borderId="22" xfId="0" applyNumberFormat="1" applyFont="1" applyFill="1" applyBorder="1" applyAlignment="1">
      <alignment vertical="top" wrapText="1"/>
    </xf>
    <xf numFmtId="0" fontId="1" fillId="0" borderId="22" xfId="55" applyNumberFormat="1" applyFont="1" applyFill="1" applyBorder="1" applyAlignment="1">
      <alignment horizontal="left" vertical="center" wrapText="1"/>
      <protection/>
    </xf>
    <xf numFmtId="0" fontId="1" fillId="0" borderId="22" xfId="55" applyNumberFormat="1" applyFont="1" applyFill="1" applyBorder="1" applyAlignment="1">
      <alignment horizontal="justify" vertical="top"/>
      <protection/>
    </xf>
    <xf numFmtId="184" fontId="1" fillId="0" borderId="22" xfId="0" applyNumberFormat="1" applyFont="1" applyFill="1" applyBorder="1" applyAlignment="1" applyProtection="1">
      <alignment horizontal="center" vertical="center" wrapText="1"/>
      <protection locked="0"/>
    </xf>
    <xf numFmtId="185" fontId="1" fillId="0" borderId="22" xfId="0" applyNumberFormat="1" applyFont="1" applyFill="1" applyBorder="1" applyAlignment="1">
      <alignment horizontal="center" vertical="center"/>
    </xf>
    <xf numFmtId="0" fontId="1" fillId="0" borderId="22" xfId="0" applyNumberFormat="1" applyFont="1" applyFill="1" applyBorder="1" applyAlignment="1">
      <alignment vertical="center" wrapText="1"/>
    </xf>
    <xf numFmtId="0" fontId="1" fillId="0" borderId="22" xfId="0" applyNumberFormat="1" applyFont="1" applyFill="1" applyBorder="1" applyAlignment="1">
      <alignment horizontal="left" vertical="center" wrapText="1"/>
    </xf>
    <xf numFmtId="181" fontId="1" fillId="0" borderId="22" xfId="0" applyNumberFormat="1" applyFont="1" applyFill="1" applyBorder="1" applyAlignment="1">
      <alignment horizontal="left" vertical="center" wrapText="1"/>
    </xf>
    <xf numFmtId="181" fontId="1" fillId="0" borderId="22" xfId="0" applyNumberFormat="1" applyFont="1" applyFill="1" applyBorder="1" applyAlignment="1">
      <alignment horizontal="center" vertical="center" wrapText="1"/>
    </xf>
    <xf numFmtId="182" fontId="1" fillId="0" borderId="22" xfId="0" applyNumberFormat="1" applyFont="1" applyFill="1" applyBorder="1" applyAlignment="1">
      <alignment horizontal="center" vertical="center" wrapText="1"/>
    </xf>
    <xf numFmtId="0" fontId="1" fillId="0" borderId="22" xfId="0" applyFont="1" applyFill="1" applyBorder="1" applyAlignment="1">
      <alignment/>
    </xf>
    <xf numFmtId="0" fontId="5" fillId="0" borderId="22" xfId="0" applyFont="1" applyFill="1" applyBorder="1" applyAlignment="1">
      <alignment horizontal="center" vertical="center" wrapText="1"/>
    </xf>
    <xf numFmtId="0" fontId="1" fillId="0" borderId="22" xfId="0" applyNumberFormat="1" applyFont="1" applyFill="1" applyBorder="1" applyAlignment="1">
      <alignment horizontal="center" vertical="center"/>
    </xf>
    <xf numFmtId="186" fontId="1" fillId="0" borderId="22" xfId="0" applyNumberFormat="1" applyFont="1" applyFill="1" applyBorder="1" applyAlignment="1">
      <alignment horizontal="center" vertical="center"/>
    </xf>
    <xf numFmtId="0" fontId="1" fillId="0" borderId="22" xfId="0" applyFont="1" applyFill="1" applyBorder="1" applyAlignment="1" applyProtection="1">
      <alignment horizontal="left" vertical="top" wrapText="1"/>
      <protection locked="0"/>
    </xf>
    <xf numFmtId="187" fontId="1" fillId="0" borderId="22" xfId="0" applyNumberFormat="1" applyFont="1" applyFill="1" applyBorder="1" applyAlignment="1">
      <alignment horizontal="left" vertical="center" wrapText="1"/>
    </xf>
    <xf numFmtId="188" fontId="1" fillId="0" borderId="22" xfId="0" applyNumberFormat="1" applyFont="1" applyFill="1" applyBorder="1" applyAlignment="1">
      <alignment horizontal="left" vertical="center" wrapText="1"/>
    </xf>
    <xf numFmtId="186" fontId="1" fillId="0" borderId="22" xfId="0" applyNumberFormat="1" applyFont="1" applyFill="1" applyBorder="1" applyAlignment="1">
      <alignment horizontal="center" vertical="center" wrapText="1"/>
    </xf>
    <xf numFmtId="189" fontId="1" fillId="0" borderId="22" xfId="0" applyNumberFormat="1" applyFont="1" applyFill="1" applyBorder="1" applyAlignment="1">
      <alignment horizontal="center" vertical="center" wrapText="1"/>
    </xf>
    <xf numFmtId="183" fontId="1" fillId="0" borderId="22" xfId="0" applyNumberFormat="1" applyFont="1" applyFill="1" applyBorder="1" applyAlignment="1">
      <alignment vertical="center" wrapText="1"/>
    </xf>
    <xf numFmtId="183" fontId="1" fillId="0" borderId="22" xfId="0" applyNumberFormat="1" applyFont="1" applyFill="1" applyBorder="1" applyAlignment="1">
      <alignment horizontal="left" vertical="center" wrapText="1"/>
    </xf>
    <xf numFmtId="0" fontId="1" fillId="0" borderId="22" xfId="0" applyNumberFormat="1" applyFont="1" applyFill="1" applyBorder="1" applyAlignment="1">
      <alignment horizontal="center" vertical="center" wrapText="1"/>
    </xf>
    <xf numFmtId="0" fontId="1" fillId="0" borderId="22" xfId="61" applyFont="1" applyFill="1" applyBorder="1" applyAlignment="1">
      <alignment wrapText="1"/>
      <protection/>
    </xf>
    <xf numFmtId="189" fontId="1" fillId="0" borderId="22" xfId="0" applyNumberFormat="1" applyFont="1" applyFill="1" applyBorder="1" applyAlignment="1">
      <alignment horizontal="center" vertical="center"/>
    </xf>
    <xf numFmtId="0" fontId="1" fillId="0" borderId="22" xfId="0" applyFont="1" applyFill="1" applyBorder="1" applyAlignment="1">
      <alignment horizontal="justify" vertical="center"/>
    </xf>
    <xf numFmtId="181" fontId="3" fillId="0" borderId="22" xfId="0" applyNumberFormat="1" applyFont="1" applyFill="1" applyBorder="1" applyAlignment="1">
      <alignment horizontal="left" vertical="center" wrapText="1"/>
    </xf>
    <xf numFmtId="0" fontId="1" fillId="0" borderId="22" xfId="58" applyFont="1" applyFill="1" applyBorder="1" applyAlignment="1" applyProtection="1">
      <alignment horizontal="justify" vertical="top" wrapText="1"/>
      <protection locked="0"/>
    </xf>
    <xf numFmtId="0" fontId="1" fillId="0" borderId="22" xfId="61" applyFont="1" applyFill="1" applyBorder="1" applyAlignment="1">
      <alignment vertical="top" wrapText="1"/>
      <protection/>
    </xf>
    <xf numFmtId="190" fontId="1" fillId="0" borderId="22" xfId="0" applyNumberFormat="1" applyFont="1" applyFill="1" applyBorder="1" applyAlignment="1">
      <alignment horizontal="center" vertical="center" wrapText="1"/>
    </xf>
    <xf numFmtId="191" fontId="1" fillId="0" borderId="22" xfId="0" applyNumberFormat="1" applyFont="1" applyFill="1" applyBorder="1" applyAlignment="1">
      <alignment horizontal="center" vertical="center" wrapText="1"/>
    </xf>
    <xf numFmtId="183" fontId="3" fillId="0" borderId="22" xfId="0" applyNumberFormat="1" applyFont="1" applyFill="1" applyBorder="1" applyAlignment="1">
      <alignment horizontal="center" vertical="center"/>
    </xf>
    <xf numFmtId="0" fontId="2" fillId="0" borderId="22" xfId="0" applyFont="1" applyFill="1" applyBorder="1" applyAlignment="1">
      <alignment vertical="center" wrapText="1"/>
    </xf>
    <xf numFmtId="0" fontId="3" fillId="0" borderId="22" xfId="0" applyNumberFormat="1" applyFont="1" applyFill="1" applyBorder="1" applyAlignment="1">
      <alignment vertical="center" wrapText="1"/>
    </xf>
    <xf numFmtId="49" fontId="1" fillId="0" borderId="22" xfId="0" applyNumberFormat="1" applyFont="1" applyFill="1" applyBorder="1" applyAlignment="1">
      <alignment horizontal="left" vertical="center" wrapText="1"/>
    </xf>
    <xf numFmtId="49" fontId="1" fillId="0" borderId="22" xfId="55" applyNumberFormat="1" applyFont="1" applyFill="1" applyBorder="1" applyAlignment="1">
      <alignment horizontal="left" vertical="center" wrapText="1"/>
      <protection/>
    </xf>
    <xf numFmtId="181" fontId="1" fillId="0" borderId="22" xfId="0" applyNumberFormat="1" applyFont="1" applyFill="1" applyBorder="1" applyAlignment="1">
      <alignment horizontal="left" vertical="center"/>
    </xf>
    <xf numFmtId="184" fontId="1" fillId="0" borderId="22" xfId="0" applyNumberFormat="1" applyFont="1" applyFill="1" applyBorder="1" applyAlignment="1">
      <alignment horizontal="center" vertical="center" wrapText="1"/>
    </xf>
    <xf numFmtId="184" fontId="1" fillId="0" borderId="22" xfId="0" applyNumberFormat="1" applyFont="1" applyFill="1" applyBorder="1" applyAlignment="1">
      <alignment horizontal="left" vertical="center" wrapText="1"/>
    </xf>
    <xf numFmtId="189" fontId="3" fillId="0" borderId="22" xfId="0" applyNumberFormat="1" applyFont="1" applyFill="1" applyBorder="1" applyAlignment="1">
      <alignment horizontal="center" vertical="center" wrapText="1"/>
    </xf>
    <xf numFmtId="192" fontId="1" fillId="0" borderId="22" xfId="0" applyNumberFormat="1" applyFont="1" applyFill="1" applyBorder="1" applyAlignment="1">
      <alignment horizontal="center" vertical="center"/>
    </xf>
    <xf numFmtId="0" fontId="1" fillId="0" borderId="22" xfId="0" applyFont="1" applyFill="1" applyBorder="1" applyAlignment="1">
      <alignment wrapText="1"/>
    </xf>
    <xf numFmtId="205" fontId="1" fillId="0" borderId="22" xfId="0" applyNumberFormat="1" applyFont="1" applyFill="1" applyBorder="1" applyAlignment="1">
      <alignment horizontal="center" vertical="center"/>
    </xf>
    <xf numFmtId="186" fontId="1" fillId="0" borderId="22" xfId="0" applyNumberFormat="1" applyFont="1" applyFill="1" applyBorder="1" applyAlignment="1">
      <alignment horizontal="left" vertical="center"/>
    </xf>
    <xf numFmtId="0" fontId="1" fillId="0" borderId="22" xfId="0" applyNumberFormat="1" applyFont="1" applyFill="1" applyBorder="1" applyAlignment="1">
      <alignment horizontal="left" vertical="top" wrapText="1"/>
    </xf>
    <xf numFmtId="0" fontId="1" fillId="0" borderId="22" xfId="0" applyFont="1" applyFill="1" applyBorder="1" applyAlignment="1">
      <alignment vertical="top" wrapText="1"/>
    </xf>
    <xf numFmtId="180" fontId="1" fillId="0" borderId="22" xfId="0" applyNumberFormat="1" applyFont="1" applyFill="1" applyBorder="1" applyAlignment="1">
      <alignment horizontal="left" vertical="center" wrapText="1"/>
    </xf>
    <xf numFmtId="0" fontId="1" fillId="0" borderId="22" xfId="0" applyFont="1" applyFill="1" applyBorder="1" applyAlignment="1">
      <alignment vertical="center"/>
    </xf>
    <xf numFmtId="193" fontId="1" fillId="0" borderId="22" xfId="0" applyNumberFormat="1" applyFont="1" applyFill="1" applyBorder="1" applyAlignment="1" applyProtection="1">
      <alignment horizontal="center" vertical="center" wrapText="1"/>
      <protection locked="0"/>
    </xf>
    <xf numFmtId="194" fontId="1" fillId="0" borderId="22" xfId="0" applyNumberFormat="1" applyFont="1" applyFill="1" applyBorder="1" applyAlignment="1">
      <alignment horizontal="center" vertical="center"/>
    </xf>
    <xf numFmtId="193" fontId="3" fillId="0" borderId="22" xfId="0" applyNumberFormat="1" applyFont="1" applyFill="1" applyBorder="1" applyAlignment="1" applyProtection="1">
      <alignment horizontal="center" vertical="center" wrapText="1"/>
      <protection locked="0"/>
    </xf>
    <xf numFmtId="193" fontId="1" fillId="0" borderId="22" xfId="0" applyNumberFormat="1" applyFont="1" applyFill="1" applyBorder="1" applyAlignment="1" applyProtection="1">
      <alignment horizontal="left" vertical="center"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10" xfId="55"/>
    <cellStyle name="Normal 2" xfId="56"/>
    <cellStyle name="Normal 24" xfId="57"/>
    <cellStyle name="Normal 39 6" xfId="58"/>
    <cellStyle name="Normal 89" xfId="59"/>
    <cellStyle name="Normal_Hoja1" xfId="60"/>
    <cellStyle name="Normal_PRESUPUESTO PENM 2016 2020"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131312"/>
      <rgbColor rgb="0062993E"/>
      <rgbColor rgb="00800080"/>
      <rgbColor rgb="00008080"/>
      <rgbColor rgb="00B9CD96"/>
      <rgbColor rgb="00808080"/>
      <rgbColor rgb="008FA2D4"/>
      <rgbColor rgb="00AA4643"/>
      <rgbColor rgb="00FFFFCC"/>
      <rgbColor rgb="00CCFFFF"/>
      <rgbColor rgb="00660066"/>
      <rgbColor rgb="00D19392"/>
      <rgbColor rgb="000066CC"/>
      <rgbColor rgb="0089A54E"/>
      <rgbColor rgb="00000080"/>
      <rgbColor rgb="00FF00FF"/>
      <rgbColor rgb="00FFFF00"/>
      <rgbColor rgb="0000FFFF"/>
      <rgbColor rgb="00800080"/>
      <rgbColor rgb="00800000"/>
      <rgbColor rgb="004572A7"/>
      <rgbColor rgb="000000FF"/>
      <rgbColor rgb="005089BC"/>
      <rgbColor rgb="00CCFFFF"/>
      <rgbColor rgb="00CCFFCC"/>
      <rgbColor rgb="00FFFF99"/>
      <rgbColor rgb="0099CCFF"/>
      <rgbColor rgb="00DB843D"/>
      <rgbColor rgb="0093A9CF"/>
      <rgbColor rgb="00FFCC99"/>
      <rgbColor rgb="003B64AD"/>
      <rgbColor rgb="004BACC6"/>
      <rgbColor rgb="009BBB59"/>
      <rgbColor rgb="00FFCC00"/>
      <rgbColor rgb="00E2AA00"/>
      <rgbColor rgb="00D26E2A"/>
      <rgbColor rgb="0071588F"/>
      <rgbColor rgb="00929292"/>
      <rgbColor rgb="00003366"/>
      <rgbColor rgb="004198AF"/>
      <rgbColor rgb="001F1C1B"/>
      <rgbColor rgb="00333300"/>
      <rgbColor rgb="004F81BD"/>
      <rgbColor rgb="00C0504D"/>
      <rgbColor rgb="008064A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PRESUPUESTO POR LINEA ESTRATEGICA PENMTB 2017-2021</a:t>
            </a:r>
          </a:p>
        </c:rich>
      </c:tx>
      <c:layout>
        <c:manualLayout>
          <c:xMode val="factor"/>
          <c:yMode val="factor"/>
          <c:x val="0.018"/>
          <c:y val="-0.0315"/>
        </c:manualLayout>
      </c:layout>
      <c:spPr>
        <a:noFill/>
        <a:ln>
          <a:noFill/>
        </a:ln>
      </c:spPr>
    </c:title>
    <c:view3D>
      <c:rotX val="30"/>
      <c:hPercent val="100"/>
      <c:rotY val="0"/>
      <c:depthPercent val="100"/>
      <c:rAngAx val="1"/>
    </c:view3D>
    <c:plotArea>
      <c:layout>
        <c:manualLayout>
          <c:xMode val="edge"/>
          <c:yMode val="edge"/>
          <c:x val="0.073"/>
          <c:y val="0.157"/>
          <c:w val="0.8525"/>
          <c:h val="0.7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Pt>
            <c:idx val="6"/>
            <c:spPr>
              <a:solidFill>
                <a:srgbClr val="2C4D75"/>
              </a:solidFill>
              <a:ln w="25400">
                <a:solidFill>
                  <a:srgbClr val="FFFFFF"/>
                </a:solidFill>
              </a:ln>
            </c:spPr>
          </c:dPt>
          <c:dPt>
            <c:idx val="7"/>
            <c:spPr>
              <a:solidFill>
                <a:srgbClr val="772C2A"/>
              </a:solidFill>
              <a:ln w="25400">
                <a:solidFill>
                  <a:srgbClr val="FFFFFF"/>
                </a:solidFill>
              </a:ln>
            </c:spPr>
          </c:dPt>
          <c:dPt>
            <c:idx val="8"/>
            <c:spPr>
              <a:solidFill>
                <a:srgbClr val="5F7530"/>
              </a:solidFill>
              <a:ln w="25400">
                <a:solidFill>
                  <a:srgbClr val="FFFFFF"/>
                </a:solidFill>
              </a:ln>
            </c:spPr>
          </c:dPt>
          <c:dPt>
            <c:idx val="9"/>
            <c:spPr>
              <a:solidFill>
                <a:srgbClr val="A99BBD"/>
              </a:solidFill>
              <a:ln w="3175">
                <a:noFill/>
              </a:ln>
            </c:spPr>
          </c:dPt>
          <c:dLbls>
            <c:dLbl>
              <c:idx val="0"/>
              <c:tx>
                <c:rich>
                  <a:bodyPr vert="horz" rot="0" anchor="ctr"/>
                  <a:lstStyle/>
                  <a:p>
                    <a:pPr algn="ctr">
                      <a:defRPr/>
                    </a:pPr>
                    <a:r>
                      <a:rPr lang="en-US" cap="none" sz="900" b="0" i="0" u="none" baseline="0">
                        <a:solidFill>
                          <a:srgbClr val="333333"/>
                        </a:solidFill>
                      </a:rPr>
                      <a:t>1: Detección precoz  de casos de tuberculosis ;  $7.736.652,20 ; 13,50%</a:t>
                    </a:r>
                  </a:p>
                </c:rich>
              </c:tx>
              <c:numFmt formatCode="0.00%" sourceLinked="0"/>
              <c:spPr>
                <a:noFill/>
                <a:ln w="12700">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12700">
                  <a:solidFill>
                    <a:srgbClr val="000000"/>
                  </a:solidFill>
                </a:ln>
              </c:spPr>
              <c:showLegendKey val="0"/>
              <c:showVal val="1"/>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12700">
                  <a:solidFill>
                    <a:srgbClr val="00FFFF"/>
                  </a:solidFill>
                </a:ln>
              </c:spPr>
              <c:showLegendKey val="0"/>
              <c:showVal val="1"/>
              <c:showBubbleSize val="0"/>
              <c:showCatName val="1"/>
              <c:showSerName val="0"/>
              <c:showPercent val="1"/>
            </c:dLbl>
            <c:numFmt formatCode="0.00%" sourceLinked="0"/>
            <c:spPr>
              <a:noFill/>
              <a:ln w="12700">
                <a:solidFill>
                  <a:srgbClr val="000000"/>
                </a:solidFill>
              </a:ln>
            </c:spPr>
            <c:txPr>
              <a:bodyPr vert="horz" rot="0" anchor="ctr"/>
              <a:lstStyle/>
              <a:p>
                <a:pPr algn="ctr">
                  <a:defRPr lang="en-US" cap="none" sz="900" b="0" i="0" u="none" baseline="0">
                    <a:solidFill>
                      <a:srgbClr val="333333"/>
                    </a:solidFill>
                  </a:defRPr>
                </a:pPr>
              </a:p>
            </c:txPr>
            <c:showLegendKey val="0"/>
            <c:showVal val="1"/>
            <c:showBubbleSize val="0"/>
            <c:showCatName val="1"/>
            <c:showSerName val="0"/>
            <c:showLeaderLines val="1"/>
            <c:showPercent val="1"/>
            <c:leaderLines>
              <c:spPr>
                <a:ln w="3175">
                  <a:solidFill>
                    <a:srgbClr val="929292"/>
                  </a:solidFill>
                </a:ln>
              </c:spPr>
            </c:leaderLines>
          </c:dLbls>
          <c:cat>
            <c:strRef>
              <c:f>'LINEAESTRATEGIA2017-2021'!$A$4:$A$13</c:f>
              <c:strCache/>
            </c:strRef>
          </c:cat>
          <c:val>
            <c:numRef>
              <c:f>'LINEAESTRATEGIA2017-2021'!$G$4:$G$13</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Pt>
            <c:idx val="6"/>
            <c:spPr>
              <a:solidFill>
                <a:srgbClr val="2C4D75"/>
              </a:solidFill>
              <a:ln w="25400">
                <a:solidFill>
                  <a:srgbClr val="FFFFFF"/>
                </a:solidFill>
              </a:ln>
            </c:spPr>
          </c:dPt>
          <c:dPt>
            <c:idx val="7"/>
            <c:spPr>
              <a:solidFill>
                <a:srgbClr val="772C2A"/>
              </a:solidFill>
              <a:ln w="25400">
                <a:solidFill>
                  <a:srgbClr val="FFFFFF"/>
                </a:solidFill>
              </a:ln>
            </c:spPr>
          </c:dPt>
          <c:dPt>
            <c:idx val="8"/>
            <c:spPr>
              <a:solidFill>
                <a:srgbClr val="5F7530"/>
              </a:solidFill>
              <a:ln w="25400">
                <a:solidFill>
                  <a:srgbClr val="FFFFFF"/>
                </a:solidFill>
              </a:ln>
            </c:spPr>
          </c:dPt>
          <c:dPt>
            <c:idx val="9"/>
            <c:spPr>
              <a:solidFill>
                <a:srgbClr val="A99BBD"/>
              </a:solidFill>
              <a:ln w="3175">
                <a:no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0"/>
            <c:leaderLines>
              <c:spPr>
                <a:ln w="3175">
                  <a:solidFill>
                    <a:srgbClr val="929292"/>
                  </a:solidFill>
                </a:ln>
              </c:spPr>
            </c:leaderLines>
          </c:dLbls>
          <c:cat>
            <c:strRef>
              <c:f>'LINEAESTRATEGIA2017-2021'!$A$4:$A$13</c:f>
              <c:strCache/>
            </c:strRef>
          </c:cat>
          <c:val>
            <c:numRef>
              <c:f>'LINEAESTRATEGIA2017-2021'!$H$4:$H$13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PRESUPUESTO PENMTB POR LINEA ESTRATEGICA 2019-2021</a:t>
            </a:r>
          </a:p>
        </c:rich>
      </c:tx>
      <c:layout>
        <c:manualLayout>
          <c:xMode val="factor"/>
          <c:yMode val="factor"/>
          <c:x val="-0.001"/>
          <c:y val="-0.01475"/>
        </c:manualLayout>
      </c:layout>
      <c:spPr>
        <a:noFill/>
        <a:ln w="3175">
          <a:noFill/>
        </a:ln>
      </c:spPr>
    </c:title>
    <c:view3D>
      <c:rotX val="30"/>
      <c:hPercent val="100"/>
      <c:rotY val="0"/>
      <c:depthPercent val="100"/>
      <c:rAngAx val="1"/>
    </c:view3D>
    <c:plotArea>
      <c:layout>
        <c:manualLayout>
          <c:xMode val="edge"/>
          <c:yMode val="edge"/>
          <c:x val="0.08225"/>
          <c:y val="0.15325"/>
          <c:w val="0.84825"/>
          <c:h val="0.764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1: Detección precoz  de casos de tuberculosis 
7,74%</a:t>
                    </a:r>
                  </a:p>
                </c:rich>
              </c:tx>
              <c:numFmt formatCode="0.00%" sourceLinked="0"/>
              <c:showLegendKey val="0"/>
              <c:showVal val="0"/>
              <c:showBubbleSize val="0"/>
              <c:showCatName val="1"/>
              <c:showSerName val="0"/>
              <c:showPercent val="0"/>
            </c:dLbl>
            <c:numFmt formatCode="0.00%" sourceLinked="0"/>
            <c:showLegendKey val="0"/>
            <c:showVal val="0"/>
            <c:showBubbleSize val="0"/>
            <c:showCatName val="1"/>
            <c:showSerName val="0"/>
            <c:showLeaderLines val="1"/>
            <c:showPercent val="1"/>
          </c:dLbls>
          <c:cat>
            <c:strRef>
              <c:f>LINEAESTRATEGICA!$A$4:$A$13</c:f>
              <c:strCache/>
            </c:strRef>
          </c:cat>
          <c:val>
            <c:numRef>
              <c:f>LINEAESTRATEGICA!$E$4:$E$13</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1"/>
            <c:showSerName val="0"/>
            <c:showLeaderLines val="1"/>
            <c:showPercent val="0"/>
          </c:dLbls>
          <c:cat>
            <c:strRef>
              <c:f>LINEAESTRATEGICA!$A$4:$A$13</c:f>
              <c:strCache/>
            </c:strRef>
          </c:cat>
          <c:val>
            <c:numRef>
              <c:f>LINEAESTRATEGICA!$F$4:$F$13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PRESUPUESTO PENMTB POR ESTRATEGIA SIN FINANCIAMIENTO DEL FONDO MUNDIAL</a:t>
            </a:r>
          </a:p>
        </c:rich>
      </c:tx>
      <c:layout>
        <c:manualLayout>
          <c:xMode val="factor"/>
          <c:yMode val="factor"/>
          <c:x val="-0.002"/>
          <c:y val="-0.01525"/>
        </c:manualLayout>
      </c:layout>
      <c:spPr>
        <a:noFill/>
        <a:ln w="3175">
          <a:noFill/>
        </a:ln>
      </c:spPr>
    </c:title>
    <c:view3D>
      <c:rotX val="30"/>
      <c:hPercent val="100"/>
      <c:rotY val="0"/>
      <c:depthPercent val="100"/>
      <c:rAngAx val="1"/>
    </c:view3D>
    <c:plotArea>
      <c:layout>
        <c:manualLayout>
          <c:xMode val="edge"/>
          <c:yMode val="edge"/>
          <c:x val="0.074"/>
          <c:y val="0.13775"/>
          <c:w val="0.8505"/>
          <c:h val="0.783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LINEAESTRATEGICA!$V$4:$V$13</c:f>
              <c:strCache/>
            </c:strRef>
          </c:cat>
          <c:val>
            <c:numRef>
              <c:f>LINEAESTRATEGICA!$Z$4:$Z$13</c:f>
              <c:numCache/>
            </c:numRef>
          </c:val>
        </c:ser>
        <c:ser>
          <c:idx val="1"/>
          <c:order val="1"/>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howLegendKey val="0"/>
            <c:showVal val="0"/>
            <c:showBubbleSize val="0"/>
            <c:showCatName val="1"/>
            <c:showSerName val="0"/>
            <c:showLeaderLines val="1"/>
            <c:showPercent val="1"/>
          </c:dLbls>
          <c:cat>
            <c:strRef>
              <c:f>LINEAESTRATEGICA!$V$4:$V$13</c:f>
              <c:strCache/>
            </c:strRef>
          </c:cat>
          <c:val>
            <c:numRef>
              <c:f>LINEAESTRATEGICA!$AA$4:$AA$13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PRESUPUESTO POR ESTRATEGIA FONDO MUNDIAL 2019-2021</a:t>
            </a:r>
          </a:p>
        </c:rich>
      </c:tx>
      <c:layout>
        <c:manualLayout>
          <c:xMode val="factor"/>
          <c:yMode val="factor"/>
          <c:x val="-0.00175"/>
          <c:y val="-0.016"/>
        </c:manualLayout>
      </c:layout>
      <c:spPr>
        <a:noFill/>
        <a:ln w="3175">
          <a:noFill/>
        </a:ln>
      </c:spPr>
    </c:title>
    <c:view3D>
      <c:rotX val="30"/>
      <c:hPercent val="100"/>
      <c:rotY val="0"/>
      <c:depthPercent val="100"/>
      <c:rAngAx val="1"/>
    </c:view3D>
    <c:plotArea>
      <c:layout>
        <c:manualLayout>
          <c:xMode val="edge"/>
          <c:yMode val="edge"/>
          <c:x val="0.0725"/>
          <c:y val="0.159"/>
          <c:w val="0.854"/>
          <c:h val="0.76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LINEAESTRATEGICA!$H$4:$H$13</c:f>
              <c:strCache/>
            </c:strRef>
          </c:cat>
          <c:val>
            <c:numRef>
              <c:f>LINEAESTRATEGICA!$M$4:$M$13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PRESUPUESTO PENMTB POR RUBROS DEL SAFI 2019-2021</a:t>
            </a:r>
          </a:p>
        </c:rich>
      </c:tx>
      <c:layout>
        <c:manualLayout>
          <c:xMode val="factor"/>
          <c:yMode val="factor"/>
          <c:x val="-0.00125"/>
          <c:y val="-0.01275"/>
        </c:manualLayout>
      </c:layout>
      <c:spPr>
        <a:noFill/>
        <a:ln w="3175">
          <a:noFill/>
        </a:ln>
      </c:spPr>
    </c:title>
    <c:plotArea>
      <c:layout>
        <c:manualLayout>
          <c:xMode val="edge"/>
          <c:yMode val="edge"/>
          <c:x val="0.0215"/>
          <c:y val="0.2495"/>
          <c:w val="0.959"/>
          <c:h val="0.67075"/>
        </c:manualLayout>
      </c:layout>
      <c:barChart>
        <c:barDir val="col"/>
        <c:grouping val="clustered"/>
        <c:varyColors val="0"/>
        <c:ser>
          <c:idx val="0"/>
          <c:order val="0"/>
          <c:tx>
            <c:strRef>
              <c:f>RUBROPRESUPUESTARIO!$B$4</c:f>
              <c:strCache>
                <c:ptCount val="1"/>
                <c:pt idx="0">
                  <c:v>REMUNERACION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RUBROPRESUPUESTARIO!$C$3:$F$3</c:f>
              <c:strCache/>
            </c:strRef>
          </c:cat>
          <c:val>
            <c:numRef>
              <c:f>RUBROPRESUPUESTARIO!$C$4:$F$4</c:f>
              <c:numCache/>
            </c:numRef>
          </c:val>
        </c:ser>
        <c:ser>
          <c:idx val="1"/>
          <c:order val="1"/>
          <c:tx>
            <c:strRef>
              <c:f>RUBROPRESUPUESTARIO!$B$5</c:f>
              <c:strCache>
                <c:ptCount val="1"/>
                <c:pt idx="0">
                  <c:v>ADQUISICIONES DE BIENES Y SERVICIOS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RUBROPRESUPUESTARIO!$C$3:$F$3</c:f>
              <c:strCache/>
            </c:strRef>
          </c:cat>
          <c:val>
            <c:numRef>
              <c:f>RUBROPRESUPUESTARIO!$C$5:$F$5</c:f>
              <c:numCache/>
            </c:numRef>
          </c:val>
        </c:ser>
        <c:ser>
          <c:idx val="2"/>
          <c:order val="2"/>
          <c:tx>
            <c:strRef>
              <c:f>RUBROPRESUPUESTARIO!$B$6</c:f>
              <c:strCache>
                <c:ptCount val="1"/>
                <c:pt idx="0">
                  <c:v>GASTOS FINANCIEROS Y OTROS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RUBROPRESUPUESTARIO!$C$3:$F$3</c:f>
              <c:strCache/>
            </c:strRef>
          </c:cat>
          <c:val>
            <c:numRef>
              <c:f>RUBROPRESUPUESTARIO!$C$6:$F$6</c:f>
              <c:numCache/>
            </c:numRef>
          </c:val>
        </c:ser>
        <c:ser>
          <c:idx val="3"/>
          <c:order val="3"/>
          <c:tx>
            <c:strRef>
              <c:f>RUBROPRESUPUESTARIO!$B$7</c:f>
              <c:strCache>
                <c:ptCount val="1"/>
                <c:pt idx="0">
                  <c:v>INVERSIONES EN ACTIVOS FIJOS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RUBROPRESUPUESTARIO!$C$3:$F$3</c:f>
              <c:strCache/>
            </c:strRef>
          </c:cat>
          <c:val>
            <c:numRef>
              <c:f>RUBROPRESUPUESTARIO!$C$7:$F$7</c:f>
              <c:numCache/>
            </c:numRef>
          </c:val>
        </c:ser>
        <c:ser>
          <c:idx val="4"/>
          <c:order val="4"/>
          <c:tx>
            <c:strRef>
              <c:f>RUBROPRESUPUESTARIO!$B$8</c:f>
              <c:strCache>
                <c:ptCount val="1"/>
                <c:pt idx="0">
                  <c:v>TOTAL</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RUBROPRESUPUESTARIO!$C$3:$F$3</c:f>
              <c:strCache/>
            </c:strRef>
          </c:cat>
          <c:val>
            <c:numRef>
              <c:f>RUBROPRESUPUESTARIO!$C$8:$F$8</c:f>
              <c:numCache/>
            </c:numRef>
          </c:val>
        </c:ser>
        <c:axId val="24039392"/>
        <c:axId val="15027937"/>
      </c:barChart>
      <c:catAx>
        <c:axId val="24039392"/>
        <c:scaling>
          <c:orientation val="minMax"/>
        </c:scaling>
        <c:axPos val="b"/>
        <c:delete val="0"/>
        <c:numFmt formatCode="General" sourceLinked="1"/>
        <c:majorTickMark val="none"/>
        <c:minorTickMark val="none"/>
        <c:tickLblPos val="nextTo"/>
        <c:spPr>
          <a:ln w="3175">
            <a:solidFill>
              <a:srgbClr val="808080"/>
            </a:solidFill>
          </a:ln>
        </c:spPr>
        <c:crossAx val="15027937"/>
        <c:crosses val="autoZero"/>
        <c:auto val="1"/>
        <c:lblOffset val="100"/>
        <c:tickLblSkip val="1"/>
        <c:noMultiLvlLbl val="0"/>
      </c:catAx>
      <c:valAx>
        <c:axId val="15027937"/>
        <c:scaling>
          <c:orientation val="minMax"/>
        </c:scaling>
        <c:axPos val="l"/>
        <c:majorGridlines>
          <c:spPr>
            <a:ln w="3175">
              <a:solidFill>
                <a:srgbClr val="808080"/>
              </a:solidFill>
            </a:ln>
          </c:spPr>
        </c:majorGridlines>
        <c:delete val="1"/>
        <c:majorTickMark val="out"/>
        <c:minorTickMark val="none"/>
        <c:tickLblPos val="nextTo"/>
        <c:crossAx val="2403939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PRESUPUESTO PENMTB POR FUENTE DE FINANCIAMIENTO 2019-2021</a:t>
            </a:r>
          </a:p>
        </c:rich>
      </c:tx>
      <c:layout>
        <c:manualLayout>
          <c:xMode val="factor"/>
          <c:yMode val="factor"/>
          <c:x val="0.0145"/>
          <c:y val="-0.0055"/>
        </c:manualLayout>
      </c:layout>
      <c:spPr>
        <a:noFill/>
        <a:ln w="3175">
          <a:noFill/>
        </a:ln>
      </c:spPr>
    </c:title>
    <c:plotArea>
      <c:layout>
        <c:manualLayout>
          <c:xMode val="edge"/>
          <c:yMode val="edge"/>
          <c:x val="0.019"/>
          <c:y val="0.13725"/>
          <c:w val="0.96575"/>
          <c:h val="0.856"/>
        </c:manualLayout>
      </c:layout>
      <c:barChart>
        <c:barDir val="col"/>
        <c:grouping val="clustered"/>
        <c:varyColors val="0"/>
        <c:ser>
          <c:idx val="0"/>
          <c:order val="0"/>
          <c:tx>
            <c:strRef>
              <c:f>FFINANCIAMIENTO!$B$3</c:f>
              <c:strCache>
                <c:ptCount val="1"/>
                <c:pt idx="0">
                  <c:v>2019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FFINANCIAMIENTO!$A$4:$A$9</c:f>
              <c:strCache/>
            </c:strRef>
          </c:cat>
          <c:val>
            <c:numRef>
              <c:f>FFINANCIAMIENTO!$B$4:$B$9</c:f>
              <c:numCache/>
            </c:numRef>
          </c:val>
        </c:ser>
        <c:ser>
          <c:idx val="1"/>
          <c:order val="1"/>
          <c:tx>
            <c:v>2020</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FFINANCIAMIENTO!$A$4:$A$9</c:f>
              <c:strCache/>
            </c:strRef>
          </c:cat>
          <c:val>
            <c:numRef>
              <c:f>FFINANCIAMIENTO!$C$4:$C$9</c:f>
              <c:numCache/>
            </c:numRef>
          </c:val>
        </c:ser>
        <c:ser>
          <c:idx val="2"/>
          <c:order val="2"/>
          <c:tx>
            <c:strRef>
              <c:f>FFINANCIAMIENTO!$D$3</c:f>
              <c:strCache>
                <c:ptCount val="1"/>
                <c:pt idx="0">
                  <c:v>2021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FFINANCIAMIENTO!$A$4:$A$9</c:f>
              <c:strCache/>
            </c:strRef>
          </c:cat>
          <c:val>
            <c:numRef>
              <c:f>FFINANCIAMIENTO!$D$4:$D$9</c:f>
              <c:numCache/>
            </c:numRef>
          </c:val>
        </c:ser>
        <c:ser>
          <c:idx val="3"/>
          <c:order val="3"/>
          <c:tx>
            <c:strRef>
              <c:f>FFINANCIAMIENTO!$E$3</c:f>
              <c:strCache>
                <c:ptCount val="1"/>
                <c:pt idx="0">
                  <c:v>TOTALES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FFINANCIAMIENTO!$A$4:$A$9</c:f>
              <c:strCache/>
            </c:strRef>
          </c:cat>
          <c:val>
            <c:numRef>
              <c:f>FFINANCIAMIENTO!$E$4:$E$9</c:f>
              <c:numCache/>
            </c:numRef>
          </c:val>
        </c:ser>
        <c:ser>
          <c:idx val="4"/>
          <c:order val="4"/>
          <c:tx>
            <c:strRef>
              <c:f>FFINANCIAMIENTO!$F$3</c:f>
              <c:strCache>
                <c:ptCount val="1"/>
                <c:pt idx="0">
                  <c:v>%</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FFINANCIAMIENTO!$A$4:$A$9</c:f>
              <c:strCache/>
            </c:strRef>
          </c:cat>
          <c:val>
            <c:numRef>
              <c:f>FFINANCIAMIENTO!$F$4:$F$9</c:f>
              <c:numCache/>
            </c:numRef>
          </c:val>
        </c:ser>
        <c:axId val="1033706"/>
        <c:axId val="9303355"/>
      </c:barChart>
      <c:catAx>
        <c:axId val="1033706"/>
        <c:scaling>
          <c:orientation val="minMax"/>
        </c:scaling>
        <c:axPos val="b"/>
        <c:delete val="0"/>
        <c:numFmt formatCode="General" sourceLinked="1"/>
        <c:majorTickMark val="none"/>
        <c:minorTickMark val="none"/>
        <c:tickLblPos val="nextTo"/>
        <c:spPr>
          <a:ln w="3175">
            <a:solidFill>
              <a:srgbClr val="808080"/>
            </a:solidFill>
          </a:ln>
        </c:spPr>
        <c:crossAx val="9303355"/>
        <c:crosses val="autoZero"/>
        <c:auto val="1"/>
        <c:lblOffset val="100"/>
        <c:tickLblSkip val="1"/>
        <c:noMultiLvlLbl val="0"/>
      </c:catAx>
      <c:valAx>
        <c:axId val="9303355"/>
        <c:scaling>
          <c:orientation val="minMax"/>
        </c:scaling>
        <c:axPos val="l"/>
        <c:majorGridlines>
          <c:spPr>
            <a:ln w="3175">
              <a:solidFill>
                <a:srgbClr val="808080"/>
              </a:solidFill>
            </a:ln>
          </c:spPr>
        </c:majorGridlines>
        <c:delete val="1"/>
        <c:majorTickMark val="out"/>
        <c:minorTickMark val="none"/>
        <c:tickLblPos val="nextTo"/>
        <c:crossAx val="1033706"/>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PRESUPUESTO PENMTB POR FUENTE DE FINANCIAMIENTO 2017-2021</a:t>
            </a:r>
          </a:p>
        </c:rich>
      </c:tx>
      <c:layout>
        <c:manualLayout>
          <c:xMode val="factor"/>
          <c:yMode val="factor"/>
          <c:x val="-0.01675"/>
          <c:y val="0.00225"/>
        </c:manualLayout>
      </c:layout>
      <c:spPr>
        <a:noFill/>
        <a:ln>
          <a:noFill/>
        </a:ln>
      </c:spPr>
    </c:title>
    <c:plotArea>
      <c:layout>
        <c:manualLayout>
          <c:xMode val="edge"/>
          <c:yMode val="edge"/>
          <c:x val="0.03425"/>
          <c:y val="0.117"/>
          <c:w val="0.9685"/>
          <c:h val="0.91175"/>
        </c:manualLayout>
      </c:layout>
      <c:barChart>
        <c:barDir val="col"/>
        <c:grouping val="clustered"/>
        <c:varyColors val="0"/>
        <c:ser>
          <c:idx val="0"/>
          <c:order val="0"/>
          <c:tx>
            <c:strRef>
              <c:f>FFINANCIAMIENTO!$J$4</c:f>
              <c:strCache>
                <c:ptCount val="1"/>
                <c:pt idx="0">
                  <c:v>BRECHA FINANCIERA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FFINANCIAMIENTO!$K$3:$Q$3</c:f>
              <c:strCache/>
            </c:strRef>
          </c:cat>
          <c:val>
            <c:numRef>
              <c:f>FFINANCIAMIENTO!$K$4:$Q$4</c:f>
              <c:numCache/>
            </c:numRef>
          </c:val>
        </c:ser>
        <c:ser>
          <c:idx val="1"/>
          <c:order val="1"/>
          <c:tx>
            <c:strRef>
              <c:f>FFINANCIAMIENTO!$J$5</c:f>
              <c:strCache>
                <c:ptCount val="1"/>
                <c:pt idx="0">
                  <c:v>FONDO MUNDIAL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FFINANCIAMIENTO!$K$3:$Q$3</c:f>
              <c:strCache/>
            </c:strRef>
          </c:cat>
          <c:val>
            <c:numRef>
              <c:f>FFINANCIAMIENTO!$K$5:$Q$5</c:f>
              <c:numCache/>
            </c:numRef>
          </c:val>
        </c:ser>
        <c:ser>
          <c:idx val="2"/>
          <c:order val="2"/>
          <c:tx>
            <c:strRef>
              <c:f>FFINANCIAMIENTO!$J$6</c:f>
              <c:strCache>
                <c:ptCount val="1"/>
                <c:pt idx="0">
                  <c:v>MINSAL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FFINANCIAMIENTO!$K$3:$Q$3</c:f>
              <c:strCache/>
            </c:strRef>
          </c:cat>
          <c:val>
            <c:numRef>
              <c:f>FFINANCIAMIENTO!$K$6:$Q$6</c:f>
              <c:numCache/>
            </c:numRef>
          </c:val>
        </c:ser>
        <c:ser>
          <c:idx val="3"/>
          <c:order val="3"/>
          <c:tx>
            <c:strRef>
              <c:f>FFINANCIAMIENTO!$J$7</c:f>
              <c:strCache>
                <c:ptCount val="1"/>
                <c:pt idx="0">
                  <c:v>ISSS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FFINANCIAMIENTO!$K$3:$Q$3</c:f>
              <c:strCache/>
            </c:strRef>
          </c:cat>
          <c:val>
            <c:numRef>
              <c:f>FFINANCIAMIENTO!$K$7:$Q$7</c:f>
              <c:numCache/>
            </c:numRef>
          </c:val>
        </c:ser>
        <c:ser>
          <c:idx val="4"/>
          <c:order val="4"/>
          <c:tx>
            <c:strRef>
              <c:f>FFINANCIAMIENTO!$J$8</c:f>
              <c:strCache>
                <c:ptCount val="1"/>
                <c:pt idx="0">
                  <c:v>FOSALUD</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FFINANCIAMIENTO!$K$3:$Q$3</c:f>
              <c:strCache/>
            </c:strRef>
          </c:cat>
          <c:val>
            <c:numRef>
              <c:f>FFINANCIAMIENTO!$K$8:$Q$8</c:f>
              <c:numCache/>
            </c:numRef>
          </c:val>
        </c:ser>
        <c:ser>
          <c:idx val="5"/>
          <c:order val="5"/>
          <c:tx>
            <c:strRef>
              <c:f>FFINANCIAMIENTO!$J$9</c:f>
              <c:strCache>
                <c:ptCount val="1"/>
                <c:pt idx="0">
                  <c:v>TOTALES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FFINANCIAMIENTO!$K$3:$Q$3</c:f>
              <c:strCache/>
            </c:strRef>
          </c:cat>
          <c:val>
            <c:numRef>
              <c:f>FFINANCIAMIENTO!$K$9:$Q$9</c:f>
              <c:numCache/>
            </c:numRef>
          </c:val>
        </c:ser>
        <c:axId val="16621332"/>
        <c:axId val="15374261"/>
      </c:barChart>
      <c:catAx>
        <c:axId val="16621332"/>
        <c:scaling>
          <c:orientation val="minMax"/>
        </c:scaling>
        <c:axPos val="b"/>
        <c:delete val="0"/>
        <c:numFmt formatCode="General" sourceLinked="1"/>
        <c:majorTickMark val="none"/>
        <c:minorTickMark val="none"/>
        <c:tickLblPos val="nextTo"/>
        <c:spPr>
          <a:ln w="3175">
            <a:solidFill>
              <a:srgbClr val="FFFFFF"/>
            </a:solidFill>
          </a:ln>
        </c:spPr>
        <c:txPr>
          <a:bodyPr vert="horz" rot="0"/>
          <a:lstStyle/>
          <a:p>
            <a:pPr>
              <a:defRPr lang="en-US" cap="none" sz="900" b="0" i="0" u="none" baseline="0">
                <a:solidFill>
                  <a:srgbClr val="333333"/>
                </a:solidFill>
                <a:latin typeface="Calibri"/>
                <a:ea typeface="Calibri"/>
                <a:cs typeface="Calibri"/>
              </a:defRPr>
            </a:pPr>
          </a:p>
        </c:txPr>
        <c:crossAx val="15374261"/>
        <c:crosses val="autoZero"/>
        <c:auto val="1"/>
        <c:lblOffset val="100"/>
        <c:tickLblSkip val="1"/>
        <c:noMultiLvlLbl val="0"/>
      </c:catAx>
      <c:valAx>
        <c:axId val="15374261"/>
        <c:scaling>
          <c:orientation val="minMax"/>
        </c:scaling>
        <c:axPos val="l"/>
        <c:majorGridlines>
          <c:spPr>
            <a:ln w="3175">
              <a:solidFill>
                <a:srgbClr val="FFFFFF"/>
              </a:solidFill>
            </a:ln>
          </c:spPr>
        </c:majorGridlines>
        <c:delete val="1"/>
        <c:majorTickMark val="out"/>
        <c:minorTickMark val="none"/>
        <c:tickLblPos val="nextTo"/>
        <c:crossAx val="16621332"/>
        <c:crossesAt val="1"/>
        <c:crossBetween val="between"/>
        <c:dispUnits/>
      </c:valAx>
      <c:dTable>
        <c:showHorzBorder val="1"/>
        <c:showVertBorder val="1"/>
        <c:showOutline val="1"/>
        <c:showKeys val="1"/>
        <c:spPr>
          <a:ln w="3175">
            <a:solidFill>
              <a:srgbClr val="FFFFFF"/>
            </a:solidFill>
          </a:ln>
        </c:spPr>
        <c:txPr>
          <a:bodyPr vert="horz" rot="0"/>
          <a:lstStyle/>
          <a:p>
            <a:pPr>
              <a:defRPr lang="en-US" cap="none" sz="900" b="1"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545"/>
          <c:w val="0.62275"/>
          <c:h val="0.7335"/>
        </c:manualLayout>
      </c:layout>
      <c:barChart>
        <c:barDir val="col"/>
        <c:grouping val="stacked"/>
        <c:varyColors val="0"/>
        <c:ser>
          <c:idx val="0"/>
          <c:order val="0"/>
          <c:tx>
            <c:v>BRECHA CUBIERTO POR FM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'%APORTES'!$A$5:$A$14</c:f>
              <c:strCache/>
            </c:strRef>
          </c:cat>
          <c:val>
            <c:numRef>
              <c:f>'%APORTES'!$F$5:$F$14</c:f>
              <c:numCache/>
            </c:numRef>
          </c:val>
        </c:ser>
        <c:ser>
          <c:idx val="1"/>
          <c:order val="1"/>
          <c:tx>
            <c:v>BRECHA NO CUBIERTA</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'%APORTES'!$A$5:$A$14</c:f>
              <c:strCache/>
            </c:strRef>
          </c:cat>
          <c:val>
            <c:numRef>
              <c:f>'%APORTES'!$G$5:$G$14</c:f>
              <c:numCache/>
            </c:numRef>
          </c:val>
        </c:ser>
        <c:ser>
          <c:idx val="2"/>
          <c:order val="2"/>
          <c:tx>
            <c:v>GOBIERNO (RECURSOS NACIONALES)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'%APORTES'!$A$5:$A$14</c:f>
              <c:strCache/>
            </c:strRef>
          </c:cat>
          <c:val>
            <c:numRef>
              <c:f>'%APORTES'!$H$5:$H$14</c:f>
              <c:numCache/>
            </c:numRef>
          </c:val>
        </c:ser>
        <c:overlap val="100"/>
        <c:axId val="4150622"/>
        <c:axId val="37355599"/>
      </c:barChart>
      <c:catAx>
        <c:axId val="41506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37355599"/>
        <c:crosses val="autoZero"/>
        <c:auto val="1"/>
        <c:lblOffset val="100"/>
        <c:tickLblSkip val="1"/>
        <c:noMultiLvlLbl val="0"/>
      </c:catAx>
      <c:valAx>
        <c:axId val="373555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0622"/>
        <c:crossesAt val="1"/>
        <c:crossBetween val="between"/>
        <c:dispUnits/>
      </c:valAx>
      <c:spPr>
        <a:solidFill>
          <a:srgbClr val="FFFFFF"/>
        </a:solidFill>
        <a:ln w="3175">
          <a:noFill/>
        </a:ln>
      </c:spPr>
    </c:plotArea>
    <c:legend>
      <c:legendPos val="r"/>
      <c:layout>
        <c:manualLayout>
          <c:xMode val="edge"/>
          <c:yMode val="edge"/>
          <c:x val="0.73125"/>
          <c:y val="0.43525"/>
          <c:w val="0.26475"/>
          <c:h val="0.12575"/>
        </c:manualLayout>
      </c:layout>
      <c:overlay val="0"/>
      <c:spPr>
        <a:noFill/>
        <a:ln w="3175">
          <a:noFill/>
        </a:ln>
      </c:spPr>
      <c:txPr>
        <a:bodyPr vert="horz" rot="0"/>
        <a:lstStyle/>
        <a:p>
          <a:pPr>
            <a:defRPr lang="en-US" cap="none" sz="12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545"/>
          <c:w val="0.69375"/>
          <c:h val="0.85125"/>
        </c:manualLayout>
      </c:layout>
      <c:barChart>
        <c:barDir val="col"/>
        <c:grouping val="stacked"/>
        <c:varyColors val="0"/>
        <c:ser>
          <c:idx val="2"/>
          <c:order val="0"/>
          <c:tx>
            <c:v>GOBIERNO (RECURSOS NACIONALES)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'%APORTES (2)'!$A$5:$A$14</c:f>
              <c:strCache/>
            </c:strRef>
          </c:cat>
          <c:val>
            <c:numRef>
              <c:f>'%APORTES (2)'!$H$5:$H$14</c:f>
              <c:numCache/>
            </c:numRef>
          </c:val>
        </c:ser>
        <c:ser>
          <c:idx val="0"/>
          <c:order val="1"/>
          <c:tx>
            <c:v>BRECHA CUBIERTO POR FM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4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'%APORTES (2)'!$A$5:$A$14</c:f>
              <c:strCache/>
            </c:strRef>
          </c:cat>
          <c:val>
            <c:numRef>
              <c:f>'%APORTES (2)'!$F$5:$F$14</c:f>
              <c:numCache/>
            </c:numRef>
          </c:val>
        </c:ser>
        <c:ser>
          <c:idx val="1"/>
          <c:order val="2"/>
          <c:tx>
            <c:v>BRECHA NO CUBIERTA</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4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4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'%APORTES (2)'!$A$5:$A$14</c:f>
              <c:strCache/>
            </c:strRef>
          </c:cat>
          <c:val>
            <c:numRef>
              <c:f>'%APORTES (2)'!$G$5:$G$14</c:f>
              <c:numCache/>
            </c:numRef>
          </c:val>
        </c:ser>
        <c:overlap val="100"/>
        <c:axId val="656072"/>
        <c:axId val="5904649"/>
      </c:barChart>
      <c:catAx>
        <c:axId val="6560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1" i="0" u="none" baseline="0">
                <a:solidFill>
                  <a:srgbClr val="000000"/>
                </a:solidFill>
                <a:latin typeface="Calibri"/>
                <a:ea typeface="Calibri"/>
                <a:cs typeface="Calibri"/>
              </a:defRPr>
            </a:pPr>
          </a:p>
        </c:txPr>
        <c:crossAx val="5904649"/>
        <c:crosses val="autoZero"/>
        <c:auto val="1"/>
        <c:lblOffset val="100"/>
        <c:tickLblSkip val="1"/>
        <c:noMultiLvlLbl val="0"/>
      </c:catAx>
      <c:valAx>
        <c:axId val="59046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072"/>
        <c:crossesAt val="1"/>
        <c:crossBetween val="between"/>
        <c:dispUnits/>
      </c:valAx>
      <c:spPr>
        <a:solidFill>
          <a:srgbClr val="FFFFFF"/>
        </a:solidFill>
        <a:ln w="3175">
          <a:noFill/>
        </a:ln>
      </c:spPr>
    </c:plotArea>
    <c:legend>
      <c:legendPos val="r"/>
      <c:layout>
        <c:manualLayout>
          <c:xMode val="edge"/>
          <c:yMode val="edge"/>
          <c:x val="0.7255"/>
          <c:y val="0.4365"/>
          <c:w val="0.2705"/>
          <c:h val="0.12575"/>
        </c:manualLayout>
      </c:layout>
      <c:overlay val="0"/>
      <c:spPr>
        <a:noFill/>
        <a:ln w="3175">
          <a:noFill/>
        </a:ln>
      </c:spPr>
      <c:txPr>
        <a:bodyPr vert="horz" rot="0"/>
        <a:lstStyle/>
        <a:p>
          <a:pPr>
            <a:defRPr lang="en-US" cap="none" sz="12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15</xdr:row>
      <xdr:rowOff>123825</xdr:rowOff>
    </xdr:from>
    <xdr:to>
      <xdr:col>11</xdr:col>
      <xdr:colOff>57150</xdr:colOff>
      <xdr:row>41</xdr:row>
      <xdr:rowOff>66675</xdr:rowOff>
    </xdr:to>
    <xdr:graphicFrame>
      <xdr:nvGraphicFramePr>
        <xdr:cNvPr id="1" name="Gráfico 1"/>
        <xdr:cNvGraphicFramePr/>
      </xdr:nvGraphicFramePr>
      <xdr:xfrm>
        <a:off x="3267075" y="8124825"/>
        <a:ext cx="8305800" cy="4895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16</xdr:row>
      <xdr:rowOff>161925</xdr:rowOff>
    </xdr:from>
    <xdr:to>
      <xdr:col>6</xdr:col>
      <xdr:colOff>419100</xdr:colOff>
      <xdr:row>40</xdr:row>
      <xdr:rowOff>47625</xdr:rowOff>
    </xdr:to>
    <xdr:graphicFrame>
      <xdr:nvGraphicFramePr>
        <xdr:cNvPr id="1" name="2 Gráfico"/>
        <xdr:cNvGraphicFramePr/>
      </xdr:nvGraphicFramePr>
      <xdr:xfrm>
        <a:off x="180975" y="5429250"/>
        <a:ext cx="7124700" cy="4438650"/>
      </xdr:xfrm>
      <a:graphic>
        <a:graphicData uri="http://schemas.openxmlformats.org/drawingml/2006/chart">
          <c:chart xmlns:c="http://schemas.openxmlformats.org/drawingml/2006/chart" r:id="rId1"/>
        </a:graphicData>
      </a:graphic>
    </xdr:graphicFrame>
    <xdr:clientData/>
  </xdr:twoCellAnchor>
  <xdr:twoCellAnchor>
    <xdr:from>
      <xdr:col>21</xdr:col>
      <xdr:colOff>9525</xdr:colOff>
      <xdr:row>16</xdr:row>
      <xdr:rowOff>28575</xdr:rowOff>
    </xdr:from>
    <xdr:to>
      <xdr:col>26</xdr:col>
      <xdr:colOff>714375</xdr:colOff>
      <xdr:row>44</xdr:row>
      <xdr:rowOff>28575</xdr:rowOff>
    </xdr:to>
    <xdr:graphicFrame>
      <xdr:nvGraphicFramePr>
        <xdr:cNvPr id="2" name="4 Gráfico"/>
        <xdr:cNvGraphicFramePr/>
      </xdr:nvGraphicFramePr>
      <xdr:xfrm>
        <a:off x="20974050" y="5295900"/>
        <a:ext cx="7858125" cy="5314950"/>
      </xdr:xfrm>
      <a:graphic>
        <a:graphicData uri="http://schemas.openxmlformats.org/drawingml/2006/chart">
          <c:chart xmlns:c="http://schemas.openxmlformats.org/drawingml/2006/chart" r:id="rId2"/>
        </a:graphicData>
      </a:graphic>
    </xdr:graphicFrame>
    <xdr:clientData/>
  </xdr:twoCellAnchor>
  <xdr:twoCellAnchor>
    <xdr:from>
      <xdr:col>7</xdr:col>
      <xdr:colOff>190500</xdr:colOff>
      <xdr:row>18</xdr:row>
      <xdr:rowOff>28575</xdr:rowOff>
    </xdr:from>
    <xdr:to>
      <xdr:col>16</xdr:col>
      <xdr:colOff>133350</xdr:colOff>
      <xdr:row>44</xdr:row>
      <xdr:rowOff>190500</xdr:rowOff>
    </xdr:to>
    <xdr:graphicFrame>
      <xdr:nvGraphicFramePr>
        <xdr:cNvPr id="3" name="1 Gráfico"/>
        <xdr:cNvGraphicFramePr/>
      </xdr:nvGraphicFramePr>
      <xdr:xfrm>
        <a:off x="8210550" y="5667375"/>
        <a:ext cx="9048750" cy="51054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13</xdr:row>
      <xdr:rowOff>57150</xdr:rowOff>
    </xdr:from>
    <xdr:to>
      <xdr:col>7</xdr:col>
      <xdr:colOff>390525</xdr:colOff>
      <xdr:row>30</xdr:row>
      <xdr:rowOff>85725</xdr:rowOff>
    </xdr:to>
    <xdr:graphicFrame>
      <xdr:nvGraphicFramePr>
        <xdr:cNvPr id="1" name="3 Gráfico"/>
        <xdr:cNvGraphicFramePr/>
      </xdr:nvGraphicFramePr>
      <xdr:xfrm>
        <a:off x="3619500" y="2819400"/>
        <a:ext cx="5619750" cy="3267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10</xdr:row>
      <xdr:rowOff>104775</xdr:rowOff>
    </xdr:from>
    <xdr:to>
      <xdr:col>7</xdr:col>
      <xdr:colOff>771525</xdr:colOff>
      <xdr:row>25</xdr:row>
      <xdr:rowOff>133350</xdr:rowOff>
    </xdr:to>
    <xdr:graphicFrame>
      <xdr:nvGraphicFramePr>
        <xdr:cNvPr id="1" name="8 Gráfico"/>
        <xdr:cNvGraphicFramePr/>
      </xdr:nvGraphicFramePr>
      <xdr:xfrm>
        <a:off x="3524250" y="1933575"/>
        <a:ext cx="6267450" cy="2943225"/>
      </xdr:xfrm>
      <a:graphic>
        <a:graphicData uri="http://schemas.openxmlformats.org/drawingml/2006/chart">
          <c:chart xmlns:c="http://schemas.openxmlformats.org/drawingml/2006/chart" r:id="rId1"/>
        </a:graphicData>
      </a:graphic>
    </xdr:graphicFrame>
    <xdr:clientData/>
  </xdr:twoCellAnchor>
  <xdr:twoCellAnchor>
    <xdr:from>
      <xdr:col>9</xdr:col>
      <xdr:colOff>1171575</xdr:colOff>
      <xdr:row>14</xdr:row>
      <xdr:rowOff>28575</xdr:rowOff>
    </xdr:from>
    <xdr:to>
      <xdr:col>15</xdr:col>
      <xdr:colOff>304800</xdr:colOff>
      <xdr:row>32</xdr:row>
      <xdr:rowOff>180975</xdr:rowOff>
    </xdr:to>
    <xdr:graphicFrame>
      <xdr:nvGraphicFramePr>
        <xdr:cNvPr id="2" name="Gráfico 1"/>
        <xdr:cNvGraphicFramePr/>
      </xdr:nvGraphicFramePr>
      <xdr:xfrm>
        <a:off x="12125325" y="2705100"/>
        <a:ext cx="8477250" cy="35337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17</xdr:row>
      <xdr:rowOff>19050</xdr:rowOff>
    </xdr:from>
    <xdr:to>
      <xdr:col>13</xdr:col>
      <xdr:colOff>323850</xdr:colOff>
      <xdr:row>51</xdr:row>
      <xdr:rowOff>0</xdr:rowOff>
    </xdr:to>
    <xdr:graphicFrame>
      <xdr:nvGraphicFramePr>
        <xdr:cNvPr id="1" name="2 Gráfico"/>
        <xdr:cNvGraphicFramePr/>
      </xdr:nvGraphicFramePr>
      <xdr:xfrm>
        <a:off x="5924550" y="3667125"/>
        <a:ext cx="9353550" cy="6457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17</xdr:row>
      <xdr:rowOff>19050</xdr:rowOff>
    </xdr:from>
    <xdr:to>
      <xdr:col>13</xdr:col>
      <xdr:colOff>323850</xdr:colOff>
      <xdr:row>51</xdr:row>
      <xdr:rowOff>0</xdr:rowOff>
    </xdr:to>
    <xdr:graphicFrame>
      <xdr:nvGraphicFramePr>
        <xdr:cNvPr id="1" name="2 Gráfico"/>
        <xdr:cNvGraphicFramePr/>
      </xdr:nvGraphicFramePr>
      <xdr:xfrm>
        <a:off x="4267200" y="3667125"/>
        <a:ext cx="9353550" cy="6457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ARCHIVOS%20MAQUINA\DOCUMENTOS%20FASE2\PRESUPUESTONMFTB\PENMTB28OCTUBRE15\PRESUPUESTATBYPLANDECOMPRASFINA\REPORTE%20MENSUALES\31DICIEMBRE\INFORMEALF2016\Ejecucion_Financiera_anua31ldiciemb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PRESUPUESTOOCTUBRE2017\tecnicos03nov17\Copia%20de%2011%20sept%2017de%20PLAN%20DE%20COMPRAS%20PENMTB2019-2021%20BORRADOR%20AD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135">
          <cell r="AG135">
            <v>30965.11202821766</v>
          </cell>
          <cell r="AJ135">
            <v>1141151.7897171436</v>
          </cell>
          <cell r="AK135">
            <v>1181510.5777294324</v>
          </cell>
          <cell r="AL135">
            <v>270323.8890991861</v>
          </cell>
          <cell r="AM135">
            <v>339993.2211683622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NUD"/>
      <sheetName val="MINSAL"/>
      <sheetName val="OPS"/>
    </sheetNames>
    <sheetDataSet>
      <sheetData sheetId="0">
        <row r="428">
          <cell r="O428">
            <v>36984.17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CN283"/>
  <sheetViews>
    <sheetView tabSelected="1" zoomScale="60" zoomScaleNormal="60" zoomScalePageLayoutView="0" workbookViewId="0" topLeftCell="A1">
      <pane ySplit="1" topLeftCell="A2" activePane="bottomLeft" state="frozen"/>
      <selection pane="topLeft" activeCell="J1" sqref="J1"/>
      <selection pane="bottomLeft" activeCell="Y241" sqref="Y241"/>
    </sheetView>
  </sheetViews>
  <sheetFormatPr defaultColWidth="11.00390625" defaultRowHeight="219.75" customHeight="1"/>
  <cols>
    <col min="1" max="1" width="11.28125" style="107" customWidth="1"/>
    <col min="2" max="2" width="16.7109375" style="66" customWidth="1"/>
    <col min="3" max="3" width="25.7109375" style="128" hidden="1" customWidth="1"/>
    <col min="4" max="4" width="30.28125" style="128" hidden="1" customWidth="1"/>
    <col min="5" max="5" width="18.140625" style="128" hidden="1" customWidth="1"/>
    <col min="6" max="6" width="37.00390625" style="128" hidden="1" customWidth="1"/>
    <col min="7" max="7" width="29.28125" style="128" hidden="1" customWidth="1"/>
    <col min="8" max="8" width="32.00390625" style="128" hidden="1" customWidth="1"/>
    <col min="9" max="9" width="13.00390625" style="128" hidden="1" customWidth="1"/>
    <col min="10" max="10" width="14.00390625" style="128" hidden="1" customWidth="1"/>
    <col min="11" max="11" width="14.28125" style="128" hidden="1" customWidth="1"/>
    <col min="12" max="12" width="11.00390625" style="128" hidden="1" customWidth="1"/>
    <col min="13" max="13" width="10.28125" style="128" hidden="1" customWidth="1"/>
    <col min="14" max="14" width="14.28125" style="128" customWidth="1"/>
    <col min="15" max="16" width="11.00390625" style="128" customWidth="1"/>
    <col min="17" max="17" width="38.8515625" style="158" customWidth="1"/>
    <col min="18" max="19" width="11.00390625" style="128" hidden="1" customWidth="1"/>
    <col min="20" max="20" width="11.00390625" style="150" hidden="1" customWidth="1"/>
    <col min="21" max="21" width="14.28125" style="128" customWidth="1"/>
    <col min="22" max="22" width="20.421875" style="128" customWidth="1"/>
    <col min="23" max="23" width="16.7109375" style="150" hidden="1" customWidth="1"/>
    <col min="24" max="24" width="22.8515625" style="162" hidden="1" customWidth="1"/>
    <col min="25" max="25" width="19.28125" style="162" customWidth="1"/>
    <col min="26" max="26" width="19.00390625" style="150" hidden="1" customWidth="1"/>
    <col min="27" max="27" width="29.28125" style="162" hidden="1" customWidth="1"/>
    <col min="28" max="28" width="26.28125" style="162" customWidth="1"/>
    <col min="29" max="29" width="16.421875" style="128" customWidth="1"/>
    <col min="30" max="30" width="11.140625" style="128" customWidth="1"/>
    <col min="31" max="31" width="92.57421875" style="151" customWidth="1"/>
    <col min="32" max="32" width="34.7109375" style="109" customWidth="1"/>
    <col min="33" max="33" width="36.8515625" style="66" customWidth="1"/>
    <col min="34" max="34" width="20.421875" style="66" customWidth="1"/>
    <col min="35" max="35" width="20.28125" style="66" customWidth="1"/>
    <col min="36" max="36" width="19.140625" style="66" customWidth="1"/>
    <col min="37" max="37" width="16.57421875" style="66" customWidth="1"/>
    <col min="38" max="16384" width="11.00390625" style="66" customWidth="1"/>
  </cols>
  <sheetData>
    <row r="1" spans="1:31" ht="165" customHeight="1">
      <c r="A1" s="254"/>
      <c r="B1" s="255" t="s">
        <v>368</v>
      </c>
      <c r="C1" s="256" t="s">
        <v>369</v>
      </c>
      <c r="D1" s="255" t="s">
        <v>370</v>
      </c>
      <c r="E1" s="255"/>
      <c r="F1" s="255" t="s">
        <v>656</v>
      </c>
      <c r="G1" s="255" t="s">
        <v>657</v>
      </c>
      <c r="H1" s="255" t="s">
        <v>658</v>
      </c>
      <c r="I1" s="255" t="s">
        <v>371</v>
      </c>
      <c r="J1" s="256" t="s">
        <v>372</v>
      </c>
      <c r="K1" s="256" t="s">
        <v>373</v>
      </c>
      <c r="L1" s="256" t="s">
        <v>374</v>
      </c>
      <c r="M1" s="256" t="s">
        <v>375</v>
      </c>
      <c r="N1" s="256" t="s">
        <v>659</v>
      </c>
      <c r="O1" s="256" t="s">
        <v>376</v>
      </c>
      <c r="P1" s="256" t="s">
        <v>377</v>
      </c>
      <c r="Q1" s="257" t="s">
        <v>660</v>
      </c>
      <c r="R1" s="255" t="s">
        <v>378</v>
      </c>
      <c r="S1" s="255" t="s">
        <v>379</v>
      </c>
      <c r="T1" s="258" t="s">
        <v>380</v>
      </c>
      <c r="U1" s="259" t="s">
        <v>381</v>
      </c>
      <c r="V1" s="260" t="s">
        <v>382</v>
      </c>
      <c r="W1" s="258" t="s">
        <v>380</v>
      </c>
      <c r="X1" s="261" t="s">
        <v>381</v>
      </c>
      <c r="Y1" s="260" t="s">
        <v>383</v>
      </c>
      <c r="Z1" s="258" t="s">
        <v>380</v>
      </c>
      <c r="AA1" s="261" t="s">
        <v>381</v>
      </c>
      <c r="AB1" s="260" t="s">
        <v>384</v>
      </c>
      <c r="AC1" s="255" t="s">
        <v>385</v>
      </c>
      <c r="AD1" s="255" t="s">
        <v>386</v>
      </c>
      <c r="AE1" s="262" t="s">
        <v>661</v>
      </c>
    </row>
    <row r="2" spans="1:39" ht="219.75" customHeight="1">
      <c r="A2" s="254">
        <v>1</v>
      </c>
      <c r="B2" s="263" t="s">
        <v>452</v>
      </c>
      <c r="C2" s="264" t="s">
        <v>388</v>
      </c>
      <c r="D2" s="265" t="s">
        <v>667</v>
      </c>
      <c r="E2" s="266" t="s">
        <v>390</v>
      </c>
      <c r="F2" s="264" t="s">
        <v>707</v>
      </c>
      <c r="G2" s="264" t="s">
        <v>391</v>
      </c>
      <c r="H2" s="267" t="s">
        <v>392</v>
      </c>
      <c r="I2" s="266" t="s">
        <v>412</v>
      </c>
      <c r="J2" s="264" t="s">
        <v>394</v>
      </c>
      <c r="K2" s="264" t="s">
        <v>395</v>
      </c>
      <c r="L2" s="264" t="s">
        <v>395</v>
      </c>
      <c r="M2" s="266" t="s">
        <v>238</v>
      </c>
      <c r="N2" s="264" t="s">
        <v>397</v>
      </c>
      <c r="O2" s="266">
        <v>54</v>
      </c>
      <c r="P2" s="264" t="s">
        <v>398</v>
      </c>
      <c r="Q2" s="267" t="s">
        <v>399</v>
      </c>
      <c r="R2" s="268" t="s">
        <v>400</v>
      </c>
      <c r="S2" s="264" t="s">
        <v>401</v>
      </c>
      <c r="T2" s="269">
        <v>536</v>
      </c>
      <c r="U2" s="270">
        <v>15</v>
      </c>
      <c r="V2" s="270">
        <f>+T2*U2</f>
        <v>8040</v>
      </c>
      <c r="W2" s="269">
        <v>536</v>
      </c>
      <c r="X2" s="270">
        <v>15</v>
      </c>
      <c r="Y2" s="270">
        <f>+W2*X2</f>
        <v>8040</v>
      </c>
      <c r="Z2" s="269">
        <v>536</v>
      </c>
      <c r="AA2" s="270">
        <v>15</v>
      </c>
      <c r="AB2" s="270">
        <f>+Z2*AA2</f>
        <v>8040</v>
      </c>
      <c r="AC2" s="271">
        <f>+V2+Y2+AB2</f>
        <v>24120</v>
      </c>
      <c r="AD2" s="271" t="s">
        <v>402</v>
      </c>
      <c r="AE2" s="272" t="s">
        <v>708</v>
      </c>
      <c r="AF2" s="234"/>
      <c r="AG2" s="117"/>
      <c r="AM2" s="66">
        <f>+AK2*AL2</f>
        <v>0</v>
      </c>
    </row>
    <row r="3" spans="1:39" ht="219.75" customHeight="1">
      <c r="A3" s="254">
        <v>2</v>
      </c>
      <c r="B3" s="263" t="s">
        <v>407</v>
      </c>
      <c r="C3" s="264" t="s">
        <v>408</v>
      </c>
      <c r="D3" s="264" t="s">
        <v>409</v>
      </c>
      <c r="E3" s="266" t="s">
        <v>410</v>
      </c>
      <c r="F3" s="264" t="s">
        <v>687</v>
      </c>
      <c r="G3" s="264" t="s">
        <v>411</v>
      </c>
      <c r="H3" s="264" t="s">
        <v>686</v>
      </c>
      <c r="I3" s="266" t="s">
        <v>412</v>
      </c>
      <c r="J3" s="264" t="s">
        <v>688</v>
      </c>
      <c r="K3" s="264" t="s">
        <v>413</v>
      </c>
      <c r="L3" s="264" t="s">
        <v>413</v>
      </c>
      <c r="M3" s="266" t="s">
        <v>414</v>
      </c>
      <c r="N3" s="264" t="s">
        <v>397</v>
      </c>
      <c r="O3" s="266">
        <v>54</v>
      </c>
      <c r="P3" s="264" t="s">
        <v>398</v>
      </c>
      <c r="Q3" s="264" t="s">
        <v>415</v>
      </c>
      <c r="R3" s="268" t="s">
        <v>400</v>
      </c>
      <c r="S3" s="273" t="s">
        <v>416</v>
      </c>
      <c r="T3" s="269">
        <v>932</v>
      </c>
      <c r="U3" s="270">
        <v>15</v>
      </c>
      <c r="V3" s="270">
        <v>13980</v>
      </c>
      <c r="W3" s="269">
        <v>932</v>
      </c>
      <c r="X3" s="270">
        <v>15</v>
      </c>
      <c r="Y3" s="270">
        <v>13980</v>
      </c>
      <c r="Z3" s="269">
        <v>932</v>
      </c>
      <c r="AA3" s="270">
        <v>15</v>
      </c>
      <c r="AB3" s="270">
        <v>13980</v>
      </c>
      <c r="AC3" s="271">
        <f aca="true" t="shared" si="0" ref="AC3:AC100">+V3+Y3+AB3</f>
        <v>41940</v>
      </c>
      <c r="AD3" s="271" t="s">
        <v>402</v>
      </c>
      <c r="AE3" s="274" t="s">
        <v>689</v>
      </c>
      <c r="AG3" s="109"/>
      <c r="AM3" s="66">
        <v>425</v>
      </c>
    </row>
    <row r="4" spans="1:39" ht="219.75" customHeight="1">
      <c r="A4" s="254">
        <v>3</v>
      </c>
      <c r="B4" s="263" t="s">
        <v>407</v>
      </c>
      <c r="C4" s="264" t="s">
        <v>285</v>
      </c>
      <c r="D4" s="264" t="s">
        <v>409</v>
      </c>
      <c r="E4" s="266" t="s">
        <v>417</v>
      </c>
      <c r="F4" s="275" t="s">
        <v>418</v>
      </c>
      <c r="G4" s="264" t="s">
        <v>665</v>
      </c>
      <c r="H4" s="264" t="s">
        <v>716</v>
      </c>
      <c r="I4" s="266" t="s">
        <v>419</v>
      </c>
      <c r="J4" s="264" t="s">
        <v>405</v>
      </c>
      <c r="K4" s="264" t="s">
        <v>406</v>
      </c>
      <c r="L4" s="264" t="s">
        <v>406</v>
      </c>
      <c r="M4" s="266" t="s">
        <v>414</v>
      </c>
      <c r="N4" s="264" t="s">
        <v>397</v>
      </c>
      <c r="O4" s="266">
        <v>61</v>
      </c>
      <c r="P4" s="264" t="s">
        <v>176</v>
      </c>
      <c r="Q4" s="276" t="s">
        <v>715</v>
      </c>
      <c r="R4" s="268"/>
      <c r="S4" s="273" t="s">
        <v>420</v>
      </c>
      <c r="T4" s="269">
        <v>4</v>
      </c>
      <c r="U4" s="270">
        <v>100000</v>
      </c>
      <c r="V4" s="270">
        <f>+T4*U4</f>
        <v>400000</v>
      </c>
      <c r="W4" s="269">
        <v>2</v>
      </c>
      <c r="X4" s="270">
        <v>100000</v>
      </c>
      <c r="Y4" s="270">
        <f>+W4*X4</f>
        <v>200000</v>
      </c>
      <c r="Z4" s="269">
        <v>0</v>
      </c>
      <c r="AA4" s="270">
        <v>0</v>
      </c>
      <c r="AB4" s="270">
        <f>+Z4*AA4</f>
        <v>0</v>
      </c>
      <c r="AC4" s="271">
        <f t="shared" si="0"/>
        <v>600000</v>
      </c>
      <c r="AD4" s="271" t="s">
        <v>402</v>
      </c>
      <c r="AE4" s="276" t="s">
        <v>764</v>
      </c>
      <c r="AG4" s="109"/>
      <c r="AM4" s="66">
        <f>+AM2-AM3</f>
        <v>-425</v>
      </c>
    </row>
    <row r="5" spans="1:39" ht="219.75" customHeight="1">
      <c r="A5" s="254">
        <v>4</v>
      </c>
      <c r="B5" s="263" t="s">
        <v>407</v>
      </c>
      <c r="C5" s="264" t="s">
        <v>421</v>
      </c>
      <c r="D5" s="264" t="s">
        <v>769</v>
      </c>
      <c r="E5" s="266" t="s">
        <v>276</v>
      </c>
      <c r="F5" s="264" t="s">
        <v>690</v>
      </c>
      <c r="G5" s="264" t="s">
        <v>411</v>
      </c>
      <c r="H5" s="264" t="s">
        <v>592</v>
      </c>
      <c r="I5" s="266" t="s">
        <v>412</v>
      </c>
      <c r="J5" s="264" t="s">
        <v>405</v>
      </c>
      <c r="K5" s="266" t="s">
        <v>332</v>
      </c>
      <c r="L5" s="266" t="s">
        <v>332</v>
      </c>
      <c r="M5" s="266" t="s">
        <v>414</v>
      </c>
      <c r="N5" s="264" t="s">
        <v>397</v>
      </c>
      <c r="O5" s="266">
        <v>54</v>
      </c>
      <c r="P5" s="264" t="s">
        <v>398</v>
      </c>
      <c r="Q5" s="264" t="s">
        <v>593</v>
      </c>
      <c r="R5" s="268" t="s">
        <v>400</v>
      </c>
      <c r="S5" s="264" t="s">
        <v>278</v>
      </c>
      <c r="T5" s="277">
        <v>325</v>
      </c>
      <c r="U5" s="278">
        <v>24</v>
      </c>
      <c r="V5" s="278">
        <f>+T5*U5</f>
        <v>7800</v>
      </c>
      <c r="W5" s="277">
        <v>325</v>
      </c>
      <c r="X5" s="278">
        <v>24</v>
      </c>
      <c r="Y5" s="278">
        <f>+W5*X5</f>
        <v>7800</v>
      </c>
      <c r="Z5" s="277">
        <v>325</v>
      </c>
      <c r="AA5" s="278">
        <v>24</v>
      </c>
      <c r="AB5" s="278">
        <f>+Z5*AA5</f>
        <v>7800</v>
      </c>
      <c r="AC5" s="271">
        <f t="shared" si="0"/>
        <v>23400</v>
      </c>
      <c r="AD5" s="271" t="s">
        <v>402</v>
      </c>
      <c r="AE5" s="264" t="s">
        <v>714</v>
      </c>
      <c r="AG5" s="109"/>
      <c r="AM5" s="66">
        <f>+AL5/5</f>
        <v>0</v>
      </c>
    </row>
    <row r="6" spans="1:33" ht="219.75" customHeight="1">
      <c r="A6" s="254">
        <v>5</v>
      </c>
      <c r="B6" s="263" t="s">
        <v>407</v>
      </c>
      <c r="C6" s="264" t="s">
        <v>388</v>
      </c>
      <c r="D6" s="264" t="s">
        <v>769</v>
      </c>
      <c r="E6" s="266" t="s">
        <v>276</v>
      </c>
      <c r="F6" s="264" t="s">
        <v>279</v>
      </c>
      <c r="G6" s="264" t="s">
        <v>411</v>
      </c>
      <c r="H6" s="264" t="s">
        <v>280</v>
      </c>
      <c r="I6" s="266" t="s">
        <v>412</v>
      </c>
      <c r="J6" s="264"/>
      <c r="K6" s="264" t="s">
        <v>281</v>
      </c>
      <c r="L6" s="264" t="s">
        <v>281</v>
      </c>
      <c r="M6" s="266" t="s">
        <v>414</v>
      </c>
      <c r="N6" s="264" t="s">
        <v>397</v>
      </c>
      <c r="O6" s="266">
        <v>54</v>
      </c>
      <c r="P6" s="264" t="s">
        <v>398</v>
      </c>
      <c r="Q6" s="264" t="s">
        <v>282</v>
      </c>
      <c r="R6" s="268" t="s">
        <v>400</v>
      </c>
      <c r="S6" s="264" t="s">
        <v>278</v>
      </c>
      <c r="T6" s="269">
        <v>1000</v>
      </c>
      <c r="U6" s="270">
        <v>24</v>
      </c>
      <c r="V6" s="270">
        <v>24000</v>
      </c>
      <c r="W6" s="269">
        <v>0</v>
      </c>
      <c r="X6" s="270">
        <v>0</v>
      </c>
      <c r="Y6" s="270">
        <v>0</v>
      </c>
      <c r="Z6" s="269">
        <v>1000</v>
      </c>
      <c r="AA6" s="270">
        <v>24</v>
      </c>
      <c r="AB6" s="270">
        <v>24000</v>
      </c>
      <c r="AC6" s="271">
        <f t="shared" si="0"/>
        <v>48000</v>
      </c>
      <c r="AD6" s="271" t="s">
        <v>402</v>
      </c>
      <c r="AE6" s="279" t="s">
        <v>691</v>
      </c>
      <c r="AG6" s="109"/>
    </row>
    <row r="7" spans="1:33" ht="219.75" customHeight="1">
      <c r="A7" s="254">
        <v>6</v>
      </c>
      <c r="B7" s="263" t="s">
        <v>295</v>
      </c>
      <c r="C7" s="264" t="s">
        <v>296</v>
      </c>
      <c r="D7" s="264" t="s">
        <v>297</v>
      </c>
      <c r="E7" s="254" t="s">
        <v>298</v>
      </c>
      <c r="F7" s="264" t="s">
        <v>299</v>
      </c>
      <c r="G7" s="264" t="s">
        <v>411</v>
      </c>
      <c r="H7" s="264" t="s">
        <v>300</v>
      </c>
      <c r="I7" s="266" t="s">
        <v>301</v>
      </c>
      <c r="J7" s="264" t="s">
        <v>302</v>
      </c>
      <c r="K7" s="264" t="s">
        <v>413</v>
      </c>
      <c r="L7" s="264" t="s">
        <v>413</v>
      </c>
      <c r="M7" s="266" t="s">
        <v>303</v>
      </c>
      <c r="N7" s="264" t="s">
        <v>397</v>
      </c>
      <c r="O7" s="266">
        <v>54</v>
      </c>
      <c r="P7" s="264" t="s">
        <v>398</v>
      </c>
      <c r="Q7" s="264" t="s">
        <v>304</v>
      </c>
      <c r="R7" s="268"/>
      <c r="S7" s="267"/>
      <c r="T7" s="269">
        <v>720</v>
      </c>
      <c r="U7" s="270">
        <v>24</v>
      </c>
      <c r="V7" s="270">
        <v>17280</v>
      </c>
      <c r="W7" s="269">
        <v>870</v>
      </c>
      <c r="X7" s="270">
        <v>24</v>
      </c>
      <c r="Y7" s="270">
        <v>20880</v>
      </c>
      <c r="Z7" s="269">
        <v>870</v>
      </c>
      <c r="AA7" s="270">
        <v>24</v>
      </c>
      <c r="AB7" s="270">
        <v>20880</v>
      </c>
      <c r="AC7" s="271">
        <f t="shared" si="0"/>
        <v>59040</v>
      </c>
      <c r="AD7" s="271" t="s">
        <v>402</v>
      </c>
      <c r="AE7" s="267" t="s">
        <v>692</v>
      </c>
      <c r="AF7" s="235"/>
      <c r="AG7" s="119"/>
    </row>
    <row r="8" spans="1:32" ht="219.75" customHeight="1">
      <c r="A8" s="254">
        <v>7</v>
      </c>
      <c r="B8" s="263" t="s">
        <v>295</v>
      </c>
      <c r="C8" s="264" t="s">
        <v>285</v>
      </c>
      <c r="D8" s="264" t="s">
        <v>305</v>
      </c>
      <c r="E8" s="266" t="s">
        <v>306</v>
      </c>
      <c r="F8" s="264" t="s">
        <v>307</v>
      </c>
      <c r="G8" s="264" t="s">
        <v>411</v>
      </c>
      <c r="H8" s="267" t="s">
        <v>308</v>
      </c>
      <c r="I8" s="266" t="s">
        <v>412</v>
      </c>
      <c r="J8" s="264"/>
      <c r="K8" s="266" t="s">
        <v>309</v>
      </c>
      <c r="L8" s="266" t="s">
        <v>309</v>
      </c>
      <c r="M8" s="266" t="s">
        <v>303</v>
      </c>
      <c r="N8" s="264" t="s">
        <v>397</v>
      </c>
      <c r="O8" s="266">
        <v>54</v>
      </c>
      <c r="P8" s="264" t="s">
        <v>398</v>
      </c>
      <c r="Q8" s="264" t="s">
        <v>310</v>
      </c>
      <c r="R8" s="268" t="s">
        <v>400</v>
      </c>
      <c r="S8" s="273" t="s">
        <v>401</v>
      </c>
      <c r="T8" s="269">
        <v>660</v>
      </c>
      <c r="U8" s="270">
        <v>24</v>
      </c>
      <c r="V8" s="270">
        <v>15840</v>
      </c>
      <c r="W8" s="269">
        <v>660</v>
      </c>
      <c r="X8" s="270">
        <v>24</v>
      </c>
      <c r="Y8" s="270">
        <v>15840</v>
      </c>
      <c r="Z8" s="277">
        <v>660</v>
      </c>
      <c r="AA8" s="278">
        <v>24</v>
      </c>
      <c r="AB8" s="278">
        <f>+Z8*AA8</f>
        <v>15840</v>
      </c>
      <c r="AC8" s="271">
        <f t="shared" si="0"/>
        <v>47520</v>
      </c>
      <c r="AD8" s="271" t="s">
        <v>402</v>
      </c>
      <c r="AE8" s="280" t="s">
        <v>693</v>
      </c>
      <c r="AF8" s="235"/>
    </row>
    <row r="9" spans="1:32" ht="257.25" customHeight="1">
      <c r="A9" s="254">
        <v>8</v>
      </c>
      <c r="B9" s="263" t="s">
        <v>295</v>
      </c>
      <c r="C9" s="264" t="s">
        <v>408</v>
      </c>
      <c r="D9" s="264" t="s">
        <v>311</v>
      </c>
      <c r="E9" s="266" t="s">
        <v>312</v>
      </c>
      <c r="F9" s="264" t="s">
        <v>666</v>
      </c>
      <c r="G9" s="264" t="s">
        <v>515</v>
      </c>
      <c r="H9" s="264" t="s">
        <v>314</v>
      </c>
      <c r="I9" s="266" t="s">
        <v>315</v>
      </c>
      <c r="J9" s="264" t="s">
        <v>316</v>
      </c>
      <c r="K9" s="264" t="s">
        <v>406</v>
      </c>
      <c r="L9" s="264" t="s">
        <v>406</v>
      </c>
      <c r="M9" s="266" t="s">
        <v>303</v>
      </c>
      <c r="N9" s="264" t="s">
        <v>397</v>
      </c>
      <c r="O9" s="266">
        <v>54</v>
      </c>
      <c r="P9" s="264" t="s">
        <v>398</v>
      </c>
      <c r="Q9" s="264" t="s">
        <v>516</v>
      </c>
      <c r="R9" s="268" t="s">
        <v>400</v>
      </c>
      <c r="S9" s="281" t="s">
        <v>317</v>
      </c>
      <c r="T9" s="282">
        <v>800</v>
      </c>
      <c r="U9" s="283">
        <v>24</v>
      </c>
      <c r="V9" s="278">
        <f>+T9*U9</f>
        <v>19200</v>
      </c>
      <c r="W9" s="282">
        <v>800</v>
      </c>
      <c r="X9" s="283">
        <v>24</v>
      </c>
      <c r="Y9" s="278">
        <f>+W9*X9</f>
        <v>19200</v>
      </c>
      <c r="Z9" s="282">
        <v>800</v>
      </c>
      <c r="AA9" s="283">
        <v>24</v>
      </c>
      <c r="AB9" s="278">
        <f>+Z9*AA9</f>
        <v>19200</v>
      </c>
      <c r="AC9" s="271">
        <f t="shared" si="0"/>
        <v>57600</v>
      </c>
      <c r="AD9" s="271" t="s">
        <v>402</v>
      </c>
      <c r="AE9" s="280" t="s">
        <v>694</v>
      </c>
      <c r="AF9" s="235"/>
    </row>
    <row r="10" spans="1:32" ht="219.75" customHeight="1">
      <c r="A10" s="254">
        <v>9</v>
      </c>
      <c r="B10" s="263" t="s">
        <v>452</v>
      </c>
      <c r="C10" s="264" t="s">
        <v>429</v>
      </c>
      <c r="D10" s="264" t="s">
        <v>430</v>
      </c>
      <c r="E10" s="284"/>
      <c r="F10" s="264" t="s">
        <v>323</v>
      </c>
      <c r="G10" s="264" t="s">
        <v>428</v>
      </c>
      <c r="H10" s="285" t="s">
        <v>770</v>
      </c>
      <c r="I10" s="266" t="s">
        <v>412</v>
      </c>
      <c r="J10" s="264" t="s">
        <v>324</v>
      </c>
      <c r="K10" s="264" t="s">
        <v>325</v>
      </c>
      <c r="L10" s="264" t="s">
        <v>325</v>
      </c>
      <c r="M10" s="266" t="s">
        <v>238</v>
      </c>
      <c r="N10" s="264" t="s">
        <v>397</v>
      </c>
      <c r="O10" s="266">
        <v>54</v>
      </c>
      <c r="P10" s="264" t="s">
        <v>398</v>
      </c>
      <c r="Q10" s="264" t="s">
        <v>326</v>
      </c>
      <c r="R10" s="268" t="s">
        <v>400</v>
      </c>
      <c r="S10" s="273" t="s">
        <v>278</v>
      </c>
      <c r="T10" s="286">
        <v>280</v>
      </c>
      <c r="U10" s="270">
        <v>30</v>
      </c>
      <c r="V10" s="270">
        <v>8400</v>
      </c>
      <c r="W10" s="286">
        <v>280</v>
      </c>
      <c r="X10" s="270">
        <v>30</v>
      </c>
      <c r="Y10" s="270">
        <v>8400</v>
      </c>
      <c r="Z10" s="286">
        <v>280</v>
      </c>
      <c r="AA10" s="270">
        <v>30</v>
      </c>
      <c r="AB10" s="270">
        <v>8400</v>
      </c>
      <c r="AC10" s="271">
        <f t="shared" si="0"/>
        <v>25200</v>
      </c>
      <c r="AD10" s="271" t="s">
        <v>402</v>
      </c>
      <c r="AE10" s="280" t="s">
        <v>431</v>
      </c>
      <c r="AF10" s="234"/>
    </row>
    <row r="11" spans="1:32" ht="219.75" customHeight="1">
      <c r="A11" s="254">
        <v>10</v>
      </c>
      <c r="B11" s="263" t="s">
        <v>452</v>
      </c>
      <c r="C11" s="264" t="s">
        <v>429</v>
      </c>
      <c r="D11" s="264" t="s">
        <v>430</v>
      </c>
      <c r="E11" s="284"/>
      <c r="F11" s="264" t="s">
        <v>323</v>
      </c>
      <c r="G11" s="264" t="s">
        <v>428</v>
      </c>
      <c r="H11" s="285" t="s">
        <v>770</v>
      </c>
      <c r="I11" s="266" t="s">
        <v>393</v>
      </c>
      <c r="J11" s="264" t="s">
        <v>324</v>
      </c>
      <c r="K11" s="264" t="s">
        <v>325</v>
      </c>
      <c r="L11" s="264" t="s">
        <v>325</v>
      </c>
      <c r="M11" s="266" t="s">
        <v>238</v>
      </c>
      <c r="N11" s="264" t="s">
        <v>397</v>
      </c>
      <c r="O11" s="266">
        <v>54</v>
      </c>
      <c r="P11" s="264" t="s">
        <v>398</v>
      </c>
      <c r="Q11" s="267" t="s">
        <v>448</v>
      </c>
      <c r="R11" s="268"/>
      <c r="S11" s="273" t="s">
        <v>473</v>
      </c>
      <c r="T11" s="286">
        <v>300</v>
      </c>
      <c r="U11" s="283">
        <v>22.7</v>
      </c>
      <c r="V11" s="270">
        <v>6810</v>
      </c>
      <c r="W11" s="286">
        <v>300</v>
      </c>
      <c r="X11" s="283">
        <v>22.7</v>
      </c>
      <c r="Y11" s="270">
        <v>6810</v>
      </c>
      <c r="Z11" s="286">
        <v>300</v>
      </c>
      <c r="AA11" s="283">
        <v>22.7</v>
      </c>
      <c r="AB11" s="270">
        <v>6810</v>
      </c>
      <c r="AC11" s="271">
        <f t="shared" si="0"/>
        <v>20430</v>
      </c>
      <c r="AD11" s="271" t="s">
        <v>402</v>
      </c>
      <c r="AE11" s="280" t="s">
        <v>695</v>
      </c>
      <c r="AF11" s="234"/>
    </row>
    <row r="12" spans="1:32" ht="219.75" customHeight="1">
      <c r="A12" s="254">
        <v>11</v>
      </c>
      <c r="B12" s="263" t="s">
        <v>295</v>
      </c>
      <c r="C12" s="264" t="s">
        <v>285</v>
      </c>
      <c r="D12" s="264" t="s">
        <v>311</v>
      </c>
      <c r="E12" s="266" t="s">
        <v>306</v>
      </c>
      <c r="F12" s="264" t="s">
        <v>449</v>
      </c>
      <c r="G12" s="264" t="s">
        <v>411</v>
      </c>
      <c r="H12" s="264" t="s">
        <v>450</v>
      </c>
      <c r="I12" s="266" t="s">
        <v>412</v>
      </c>
      <c r="J12" s="264" t="s">
        <v>405</v>
      </c>
      <c r="K12" s="264" t="s">
        <v>406</v>
      </c>
      <c r="L12" s="264" t="s">
        <v>406</v>
      </c>
      <c r="M12" s="266" t="s">
        <v>303</v>
      </c>
      <c r="N12" s="264" t="s">
        <v>397</v>
      </c>
      <c r="O12" s="266">
        <v>54</v>
      </c>
      <c r="P12" s="264" t="s">
        <v>398</v>
      </c>
      <c r="Q12" s="264" t="s">
        <v>517</v>
      </c>
      <c r="R12" s="268" t="s">
        <v>400</v>
      </c>
      <c r="S12" s="273" t="s">
        <v>317</v>
      </c>
      <c r="T12" s="269">
        <v>36</v>
      </c>
      <c r="U12" s="287">
        <v>24</v>
      </c>
      <c r="V12" s="287">
        <f>+T12*U12</f>
        <v>864</v>
      </c>
      <c r="W12" s="269">
        <v>36</v>
      </c>
      <c r="X12" s="287">
        <v>24</v>
      </c>
      <c r="Y12" s="287">
        <f>+W12*X12</f>
        <v>864</v>
      </c>
      <c r="Z12" s="269">
        <v>36</v>
      </c>
      <c r="AA12" s="287">
        <v>24</v>
      </c>
      <c r="AB12" s="287">
        <f>+Z12*AA12</f>
        <v>864</v>
      </c>
      <c r="AC12" s="271">
        <f t="shared" si="0"/>
        <v>2592</v>
      </c>
      <c r="AD12" s="271" t="s">
        <v>402</v>
      </c>
      <c r="AE12" s="280" t="s">
        <v>646</v>
      </c>
      <c r="AF12" s="235"/>
    </row>
    <row r="13" spans="1:92" s="109" customFormat="1" ht="153" customHeight="1">
      <c r="A13" s="284" t="s">
        <v>451</v>
      </c>
      <c r="B13" s="263" t="s">
        <v>452</v>
      </c>
      <c r="C13" s="264" t="s">
        <v>296</v>
      </c>
      <c r="D13" s="264" t="s">
        <v>453</v>
      </c>
      <c r="E13" s="254" t="s">
        <v>298</v>
      </c>
      <c r="F13" s="264" t="s">
        <v>454</v>
      </c>
      <c r="G13" s="264" t="s">
        <v>411</v>
      </c>
      <c r="H13" s="264" t="s">
        <v>455</v>
      </c>
      <c r="I13" s="266" t="s">
        <v>393</v>
      </c>
      <c r="J13" s="264" t="s">
        <v>456</v>
      </c>
      <c r="K13" s="264"/>
      <c r="L13" s="264" t="s">
        <v>457</v>
      </c>
      <c r="M13" s="266" t="s">
        <v>458</v>
      </c>
      <c r="N13" s="264" t="s">
        <v>459</v>
      </c>
      <c r="O13" s="266">
        <v>54</v>
      </c>
      <c r="P13" s="264" t="s">
        <v>398</v>
      </c>
      <c r="Q13" s="288" t="s">
        <v>460</v>
      </c>
      <c r="R13" s="264"/>
      <c r="S13" s="264"/>
      <c r="T13" s="269">
        <v>1200</v>
      </c>
      <c r="U13" s="287">
        <v>62.985600000000005</v>
      </c>
      <c r="V13" s="287">
        <v>75582.72</v>
      </c>
      <c r="W13" s="269">
        <v>1200</v>
      </c>
      <c r="X13" s="270">
        <v>68.04</v>
      </c>
      <c r="Y13" s="270">
        <v>81648</v>
      </c>
      <c r="Z13" s="269">
        <v>1200</v>
      </c>
      <c r="AA13" s="270">
        <v>74.84400000000001</v>
      </c>
      <c r="AB13" s="270">
        <v>89812.8</v>
      </c>
      <c r="AC13" s="271">
        <f t="shared" si="0"/>
        <v>247043.52000000002</v>
      </c>
      <c r="AD13" s="271"/>
      <c r="AE13" s="289" t="s">
        <v>739</v>
      </c>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row>
    <row r="14" spans="1:92" s="109" customFormat="1" ht="213.75" customHeight="1">
      <c r="A14" s="284"/>
      <c r="B14" s="263" t="s">
        <v>452</v>
      </c>
      <c r="C14" s="264" t="s">
        <v>296</v>
      </c>
      <c r="D14" s="264" t="s">
        <v>453</v>
      </c>
      <c r="E14" s="254" t="s">
        <v>298</v>
      </c>
      <c r="F14" s="264" t="s">
        <v>461</v>
      </c>
      <c r="G14" s="264" t="s">
        <v>411</v>
      </c>
      <c r="H14" s="264" t="s">
        <v>455</v>
      </c>
      <c r="I14" s="266" t="s">
        <v>393</v>
      </c>
      <c r="J14" s="264"/>
      <c r="K14" s="264"/>
      <c r="L14" s="264" t="s">
        <v>457</v>
      </c>
      <c r="M14" s="266" t="s">
        <v>462</v>
      </c>
      <c r="N14" s="264" t="s">
        <v>463</v>
      </c>
      <c r="O14" s="266">
        <v>54</v>
      </c>
      <c r="P14" s="264" t="s">
        <v>398</v>
      </c>
      <c r="Q14" s="288" t="s">
        <v>464</v>
      </c>
      <c r="R14" s="263"/>
      <c r="S14" s="264"/>
      <c r="T14" s="269">
        <v>510</v>
      </c>
      <c r="U14" s="287">
        <v>46.61</v>
      </c>
      <c r="V14" s="287">
        <v>23771.1</v>
      </c>
      <c r="W14" s="269">
        <v>510</v>
      </c>
      <c r="X14" s="270">
        <v>46.61</v>
      </c>
      <c r="Y14" s="270">
        <v>23771.1</v>
      </c>
      <c r="Z14" s="269">
        <v>510</v>
      </c>
      <c r="AA14" s="270">
        <v>51.271</v>
      </c>
      <c r="AB14" s="270">
        <v>26148.21</v>
      </c>
      <c r="AC14" s="271">
        <f t="shared" si="0"/>
        <v>73690.41</v>
      </c>
      <c r="AD14" s="271"/>
      <c r="AE14" s="290" t="s">
        <v>192</v>
      </c>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row>
    <row r="15" spans="1:92" s="109" customFormat="1" ht="202.5" customHeight="1">
      <c r="A15" s="284"/>
      <c r="B15" s="263" t="s">
        <v>745</v>
      </c>
      <c r="C15" s="264" t="s">
        <v>296</v>
      </c>
      <c r="D15" s="264" t="s">
        <v>453</v>
      </c>
      <c r="E15" s="254" t="s">
        <v>193</v>
      </c>
      <c r="F15" s="264" t="s">
        <v>194</v>
      </c>
      <c r="G15" s="264" t="s">
        <v>411</v>
      </c>
      <c r="H15" s="264" t="s">
        <v>195</v>
      </c>
      <c r="I15" s="266" t="s">
        <v>393</v>
      </c>
      <c r="J15" s="264" t="s">
        <v>196</v>
      </c>
      <c r="K15" s="264"/>
      <c r="L15" s="264" t="s">
        <v>197</v>
      </c>
      <c r="M15" s="266" t="s">
        <v>458</v>
      </c>
      <c r="N15" s="264" t="s">
        <v>206</v>
      </c>
      <c r="O15" s="266">
        <v>54</v>
      </c>
      <c r="P15" s="264" t="s">
        <v>398</v>
      </c>
      <c r="Q15" s="281" t="s">
        <v>199</v>
      </c>
      <c r="R15" s="281"/>
      <c r="S15" s="281"/>
      <c r="T15" s="282">
        <v>9480</v>
      </c>
      <c r="U15" s="283">
        <v>10</v>
      </c>
      <c r="V15" s="270">
        <v>94800</v>
      </c>
      <c r="W15" s="282">
        <v>9480</v>
      </c>
      <c r="X15" s="283">
        <v>10</v>
      </c>
      <c r="Y15" s="270">
        <f>+W15*X15</f>
        <v>94800</v>
      </c>
      <c r="Z15" s="282">
        <v>9480</v>
      </c>
      <c r="AA15" s="270">
        <v>10</v>
      </c>
      <c r="AB15" s="270">
        <f>+Z15*AA15</f>
        <v>94800</v>
      </c>
      <c r="AC15" s="271">
        <f t="shared" si="0"/>
        <v>284400</v>
      </c>
      <c r="AD15" s="271"/>
      <c r="AE15" s="267" t="s">
        <v>740</v>
      </c>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row>
    <row r="16" spans="1:92" s="109" customFormat="1" ht="130.5" customHeight="1">
      <c r="A16" s="284"/>
      <c r="B16" s="263" t="s">
        <v>745</v>
      </c>
      <c r="C16" s="264" t="s">
        <v>296</v>
      </c>
      <c r="D16" s="264" t="s">
        <v>453</v>
      </c>
      <c r="E16" s="254" t="s">
        <v>193</v>
      </c>
      <c r="F16" s="264" t="s">
        <v>194</v>
      </c>
      <c r="G16" s="264" t="s">
        <v>411</v>
      </c>
      <c r="H16" s="264" t="s">
        <v>195</v>
      </c>
      <c r="I16" s="266" t="s">
        <v>393</v>
      </c>
      <c r="J16" s="264" t="s">
        <v>196</v>
      </c>
      <c r="K16" s="264"/>
      <c r="L16" s="264" t="s">
        <v>197</v>
      </c>
      <c r="M16" s="266" t="s">
        <v>458</v>
      </c>
      <c r="N16" s="264" t="s">
        <v>206</v>
      </c>
      <c r="O16" s="266">
        <v>54</v>
      </c>
      <c r="P16" s="264" t="s">
        <v>398</v>
      </c>
      <c r="Q16" s="281" t="s">
        <v>200</v>
      </c>
      <c r="R16" s="281"/>
      <c r="S16" s="281"/>
      <c r="T16" s="282">
        <v>8</v>
      </c>
      <c r="U16" s="291">
        <v>500</v>
      </c>
      <c r="V16" s="287">
        <v>4000</v>
      </c>
      <c r="W16" s="282">
        <v>8</v>
      </c>
      <c r="X16" s="283">
        <v>500</v>
      </c>
      <c r="Y16" s="270">
        <v>4000</v>
      </c>
      <c r="Z16" s="282">
        <v>8</v>
      </c>
      <c r="AA16" s="270">
        <v>550</v>
      </c>
      <c r="AB16" s="270">
        <v>4400</v>
      </c>
      <c r="AC16" s="271">
        <f t="shared" si="0"/>
        <v>12400</v>
      </c>
      <c r="AD16" s="271"/>
      <c r="AE16" s="267" t="s">
        <v>728</v>
      </c>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row>
    <row r="17" spans="1:92" s="109" customFormat="1" ht="132" customHeight="1">
      <c r="A17" s="284"/>
      <c r="B17" s="263" t="s">
        <v>452</v>
      </c>
      <c r="C17" s="264" t="s">
        <v>296</v>
      </c>
      <c r="D17" s="264" t="s">
        <v>453</v>
      </c>
      <c r="E17" s="266" t="s">
        <v>298</v>
      </c>
      <c r="F17" s="264" t="s">
        <v>203</v>
      </c>
      <c r="G17" s="264" t="s">
        <v>411</v>
      </c>
      <c r="H17" s="264" t="s">
        <v>204</v>
      </c>
      <c r="I17" s="266" t="s">
        <v>393</v>
      </c>
      <c r="J17" s="264" t="s">
        <v>205</v>
      </c>
      <c r="K17" s="264"/>
      <c r="L17" s="264" t="s">
        <v>197</v>
      </c>
      <c r="M17" s="266" t="s">
        <v>458</v>
      </c>
      <c r="N17" s="264" t="s">
        <v>206</v>
      </c>
      <c r="O17" s="266">
        <v>51</v>
      </c>
      <c r="P17" s="264" t="s">
        <v>207</v>
      </c>
      <c r="Q17" s="264" t="s">
        <v>208</v>
      </c>
      <c r="R17" s="264"/>
      <c r="S17" s="264" t="s">
        <v>202</v>
      </c>
      <c r="T17" s="269">
        <v>20000</v>
      </c>
      <c r="U17" s="283">
        <v>0.5</v>
      </c>
      <c r="V17" s="287">
        <v>10000</v>
      </c>
      <c r="W17" s="269">
        <v>20000</v>
      </c>
      <c r="X17" s="283">
        <v>0.5</v>
      </c>
      <c r="Y17" s="270">
        <v>10000</v>
      </c>
      <c r="Z17" s="269">
        <v>20000</v>
      </c>
      <c r="AA17" s="270">
        <v>0.55</v>
      </c>
      <c r="AB17" s="270">
        <v>11000</v>
      </c>
      <c r="AC17" s="271">
        <f t="shared" si="0"/>
        <v>31000</v>
      </c>
      <c r="AD17" s="271"/>
      <c r="AE17" s="280" t="s">
        <v>209</v>
      </c>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row>
    <row r="18" spans="1:92" s="109" customFormat="1" ht="218.25" customHeight="1">
      <c r="A18" s="284"/>
      <c r="B18" s="263" t="s">
        <v>452</v>
      </c>
      <c r="C18" s="264" t="s">
        <v>296</v>
      </c>
      <c r="D18" s="264" t="s">
        <v>453</v>
      </c>
      <c r="E18" s="266" t="s">
        <v>298</v>
      </c>
      <c r="F18" s="264" t="s">
        <v>210</v>
      </c>
      <c r="G18" s="264" t="s">
        <v>411</v>
      </c>
      <c r="H18" s="264" t="s">
        <v>211</v>
      </c>
      <c r="I18" s="266" t="s">
        <v>393</v>
      </c>
      <c r="J18" s="264" t="s">
        <v>196</v>
      </c>
      <c r="K18" s="264"/>
      <c r="L18" s="264" t="s">
        <v>197</v>
      </c>
      <c r="M18" s="266" t="s">
        <v>212</v>
      </c>
      <c r="N18" s="264" t="s">
        <v>206</v>
      </c>
      <c r="O18" s="266">
        <v>51</v>
      </c>
      <c r="P18" s="264" t="s">
        <v>207</v>
      </c>
      <c r="Q18" s="264" t="s">
        <v>213</v>
      </c>
      <c r="R18" s="264"/>
      <c r="S18" s="264" t="s">
        <v>202</v>
      </c>
      <c r="T18" s="282">
        <v>83579</v>
      </c>
      <c r="U18" s="283">
        <v>2.25</v>
      </c>
      <c r="V18" s="287">
        <v>188052.75</v>
      </c>
      <c r="W18" s="282">
        <v>83579</v>
      </c>
      <c r="X18" s="283">
        <v>2.25</v>
      </c>
      <c r="Y18" s="270">
        <v>188052.75</v>
      </c>
      <c r="Z18" s="282">
        <v>83579</v>
      </c>
      <c r="AA18" s="270">
        <v>2.475</v>
      </c>
      <c r="AB18" s="270">
        <v>206858.025</v>
      </c>
      <c r="AC18" s="271">
        <f t="shared" si="0"/>
        <v>582963.525</v>
      </c>
      <c r="AD18" s="271"/>
      <c r="AE18" s="280" t="s">
        <v>214</v>
      </c>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row>
    <row r="19" spans="1:92" s="109" customFormat="1" ht="117" customHeight="1">
      <c r="A19" s="284"/>
      <c r="B19" s="263" t="s">
        <v>452</v>
      </c>
      <c r="C19" s="264" t="s">
        <v>296</v>
      </c>
      <c r="D19" s="264" t="s">
        <v>453</v>
      </c>
      <c r="E19" s="266" t="s">
        <v>193</v>
      </c>
      <c r="F19" s="264" t="s">
        <v>215</v>
      </c>
      <c r="G19" s="264" t="s">
        <v>411</v>
      </c>
      <c r="H19" s="264" t="s">
        <v>216</v>
      </c>
      <c r="I19" s="266" t="s">
        <v>217</v>
      </c>
      <c r="J19" s="264" t="s">
        <v>218</v>
      </c>
      <c r="K19" s="264"/>
      <c r="L19" s="266" t="s">
        <v>309</v>
      </c>
      <c r="M19" s="266" t="s">
        <v>458</v>
      </c>
      <c r="N19" s="264" t="s">
        <v>206</v>
      </c>
      <c r="O19" s="266">
        <v>51</v>
      </c>
      <c r="P19" s="264" t="s">
        <v>207</v>
      </c>
      <c r="Q19" s="267" t="s">
        <v>219</v>
      </c>
      <c r="R19" s="264"/>
      <c r="S19" s="264" t="s">
        <v>220</v>
      </c>
      <c r="T19" s="269">
        <v>6185</v>
      </c>
      <c r="U19" s="287">
        <v>17.8</v>
      </c>
      <c r="V19" s="287">
        <v>110093</v>
      </c>
      <c r="W19" s="269">
        <v>6185</v>
      </c>
      <c r="X19" s="270">
        <v>17.8</v>
      </c>
      <c r="Y19" s="270">
        <v>110093</v>
      </c>
      <c r="Z19" s="269">
        <v>6185</v>
      </c>
      <c r="AA19" s="270">
        <v>19.58</v>
      </c>
      <c r="AB19" s="270">
        <v>121102.3</v>
      </c>
      <c r="AC19" s="271">
        <f t="shared" si="0"/>
        <v>341288.3</v>
      </c>
      <c r="AD19" s="271"/>
      <c r="AE19" s="280" t="s">
        <v>221</v>
      </c>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row>
    <row r="20" spans="1:92" s="109" customFormat="1" ht="153" customHeight="1">
      <c r="A20" s="284"/>
      <c r="B20" s="263" t="s">
        <v>452</v>
      </c>
      <c r="C20" s="264" t="s">
        <v>285</v>
      </c>
      <c r="D20" s="264" t="s">
        <v>453</v>
      </c>
      <c r="E20" s="266" t="s">
        <v>417</v>
      </c>
      <c r="F20" s="264" t="s">
        <v>222</v>
      </c>
      <c r="G20" s="264" t="s">
        <v>411</v>
      </c>
      <c r="H20" s="264" t="s">
        <v>223</v>
      </c>
      <c r="I20" s="266" t="s">
        <v>393</v>
      </c>
      <c r="J20" s="264" t="s">
        <v>405</v>
      </c>
      <c r="K20" s="264"/>
      <c r="L20" s="264" t="s">
        <v>406</v>
      </c>
      <c r="M20" s="266" t="s">
        <v>458</v>
      </c>
      <c r="N20" s="264" t="s">
        <v>206</v>
      </c>
      <c r="O20" s="266">
        <v>54</v>
      </c>
      <c r="P20" s="264" t="s">
        <v>398</v>
      </c>
      <c r="Q20" s="264" t="s">
        <v>224</v>
      </c>
      <c r="R20" s="264"/>
      <c r="S20" s="273" t="s">
        <v>278</v>
      </c>
      <c r="T20" s="282"/>
      <c r="U20" s="291">
        <v>0</v>
      </c>
      <c r="V20" s="287">
        <v>0</v>
      </c>
      <c r="W20" s="282">
        <v>1</v>
      </c>
      <c r="X20" s="283">
        <v>25000</v>
      </c>
      <c r="Y20" s="270">
        <v>25000</v>
      </c>
      <c r="Z20" s="282">
        <v>1</v>
      </c>
      <c r="AA20" s="270">
        <v>27500</v>
      </c>
      <c r="AB20" s="270">
        <v>27500</v>
      </c>
      <c r="AC20" s="271">
        <f t="shared" si="0"/>
        <v>52500</v>
      </c>
      <c r="AD20" s="271"/>
      <c r="AE20" s="280" t="s">
        <v>741</v>
      </c>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row>
    <row r="21" spans="1:92" s="109" customFormat="1" ht="169.5" customHeight="1">
      <c r="A21" s="284"/>
      <c r="B21" s="263" t="s">
        <v>95</v>
      </c>
      <c r="C21" s="264" t="s">
        <v>285</v>
      </c>
      <c r="D21" s="264" t="s">
        <v>453</v>
      </c>
      <c r="E21" s="266" t="s">
        <v>225</v>
      </c>
      <c r="F21" s="264" t="s">
        <v>226</v>
      </c>
      <c r="G21" s="264" t="s">
        <v>411</v>
      </c>
      <c r="H21" s="264" t="s">
        <v>227</v>
      </c>
      <c r="I21" s="266" t="s">
        <v>393</v>
      </c>
      <c r="J21" s="264" t="s">
        <v>228</v>
      </c>
      <c r="K21" s="264"/>
      <c r="L21" s="264" t="s">
        <v>406</v>
      </c>
      <c r="M21" s="266" t="s">
        <v>212</v>
      </c>
      <c r="N21" s="264" t="s">
        <v>206</v>
      </c>
      <c r="O21" s="266">
        <v>51</v>
      </c>
      <c r="P21" s="264" t="s">
        <v>207</v>
      </c>
      <c r="Q21" s="264" t="s">
        <v>229</v>
      </c>
      <c r="R21" s="264"/>
      <c r="S21" s="273"/>
      <c r="T21" s="269">
        <v>5800</v>
      </c>
      <c r="U21" s="287">
        <v>58.59</v>
      </c>
      <c r="V21" s="287">
        <v>339822</v>
      </c>
      <c r="W21" s="269">
        <v>5800</v>
      </c>
      <c r="X21" s="270">
        <v>63.72</v>
      </c>
      <c r="Y21" s="270">
        <v>369576</v>
      </c>
      <c r="Z21" s="269">
        <v>5800</v>
      </c>
      <c r="AA21" s="270">
        <v>70.092</v>
      </c>
      <c r="AB21" s="270">
        <v>406533.6</v>
      </c>
      <c r="AC21" s="271">
        <f t="shared" si="0"/>
        <v>1115931.6</v>
      </c>
      <c r="AD21" s="271"/>
      <c r="AE21" s="280" t="s">
        <v>230</v>
      </c>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row>
    <row r="22" spans="1:92" s="109" customFormat="1" ht="135" customHeight="1">
      <c r="A22" s="284"/>
      <c r="B22" s="263" t="s">
        <v>452</v>
      </c>
      <c r="C22" s="264" t="s">
        <v>285</v>
      </c>
      <c r="D22" s="264" t="s">
        <v>453</v>
      </c>
      <c r="E22" s="266" t="s">
        <v>298</v>
      </c>
      <c r="F22" s="264" t="s">
        <v>231</v>
      </c>
      <c r="G22" s="264" t="s">
        <v>411</v>
      </c>
      <c r="H22" s="264" t="s">
        <v>232</v>
      </c>
      <c r="I22" s="266" t="s">
        <v>393</v>
      </c>
      <c r="J22" s="264" t="s">
        <v>233</v>
      </c>
      <c r="K22" s="264"/>
      <c r="L22" s="264" t="s">
        <v>277</v>
      </c>
      <c r="M22" s="266" t="s">
        <v>458</v>
      </c>
      <c r="N22" s="264" t="s">
        <v>206</v>
      </c>
      <c r="O22" s="266">
        <v>51</v>
      </c>
      <c r="P22" s="264" t="s">
        <v>207</v>
      </c>
      <c r="Q22" s="264" t="s">
        <v>234</v>
      </c>
      <c r="R22" s="264"/>
      <c r="S22" s="273" t="s">
        <v>220</v>
      </c>
      <c r="T22" s="269">
        <v>1000</v>
      </c>
      <c r="U22" s="287">
        <v>58.59</v>
      </c>
      <c r="V22" s="287">
        <v>58590</v>
      </c>
      <c r="W22" s="269">
        <v>1000</v>
      </c>
      <c r="X22" s="270">
        <v>63.72</v>
      </c>
      <c r="Y22" s="270">
        <v>63720</v>
      </c>
      <c r="Z22" s="269">
        <v>1000</v>
      </c>
      <c r="AA22" s="270">
        <v>70.092</v>
      </c>
      <c r="AB22" s="270">
        <v>70092</v>
      </c>
      <c r="AC22" s="271">
        <f t="shared" si="0"/>
        <v>192402</v>
      </c>
      <c r="AD22" s="271"/>
      <c r="AE22" s="279" t="s">
        <v>511</v>
      </c>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row>
    <row r="23" spans="1:92" s="109" customFormat="1" ht="115.5" customHeight="1">
      <c r="A23" s="284"/>
      <c r="B23" s="263" t="s">
        <v>452</v>
      </c>
      <c r="C23" s="264" t="s">
        <v>285</v>
      </c>
      <c r="D23" s="264" t="s">
        <v>512</v>
      </c>
      <c r="E23" s="266" t="s">
        <v>513</v>
      </c>
      <c r="F23" s="264" t="s">
        <v>319</v>
      </c>
      <c r="G23" s="264" t="s">
        <v>411</v>
      </c>
      <c r="H23" s="264" t="s">
        <v>320</v>
      </c>
      <c r="I23" s="266" t="s">
        <v>321</v>
      </c>
      <c r="J23" s="264" t="s">
        <v>322</v>
      </c>
      <c r="K23" s="266"/>
      <c r="L23" s="264" t="s">
        <v>457</v>
      </c>
      <c r="M23" s="266" t="s">
        <v>458</v>
      </c>
      <c r="N23" s="264" t="s">
        <v>206</v>
      </c>
      <c r="O23" s="266">
        <v>54</v>
      </c>
      <c r="P23" s="264" t="s">
        <v>398</v>
      </c>
      <c r="Q23" s="267" t="s">
        <v>235</v>
      </c>
      <c r="R23" s="264"/>
      <c r="S23" s="264"/>
      <c r="T23" s="269">
        <v>5</v>
      </c>
      <c r="U23" s="287">
        <v>1000</v>
      </c>
      <c r="V23" s="287">
        <v>5000</v>
      </c>
      <c r="W23" s="269">
        <v>5</v>
      </c>
      <c r="X23" s="270">
        <v>1000</v>
      </c>
      <c r="Y23" s="270">
        <v>5000</v>
      </c>
      <c r="Z23" s="269">
        <v>5</v>
      </c>
      <c r="AA23" s="270">
        <v>1100</v>
      </c>
      <c r="AB23" s="270">
        <v>5500</v>
      </c>
      <c r="AC23" s="271">
        <f t="shared" si="0"/>
        <v>15500</v>
      </c>
      <c r="AD23" s="271"/>
      <c r="AE23" s="280" t="s">
        <v>236</v>
      </c>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row>
    <row r="24" spans="1:32" ht="219.75" customHeight="1">
      <c r="A24" s="254">
        <v>12</v>
      </c>
      <c r="B24" s="263" t="s">
        <v>452</v>
      </c>
      <c r="C24" s="264" t="s">
        <v>296</v>
      </c>
      <c r="D24" s="265" t="s">
        <v>667</v>
      </c>
      <c r="E24" s="254" t="s">
        <v>193</v>
      </c>
      <c r="F24" s="264" t="s">
        <v>514</v>
      </c>
      <c r="G24" s="264" t="s">
        <v>668</v>
      </c>
      <c r="H24" s="264" t="s">
        <v>669</v>
      </c>
      <c r="I24" s="266" t="s">
        <v>412</v>
      </c>
      <c r="J24" s="264" t="s">
        <v>196</v>
      </c>
      <c r="K24" s="264" t="s">
        <v>197</v>
      </c>
      <c r="L24" s="264" t="s">
        <v>197</v>
      </c>
      <c r="M24" s="266" t="s">
        <v>238</v>
      </c>
      <c r="N24" s="264" t="s">
        <v>397</v>
      </c>
      <c r="O24" s="266">
        <v>54</v>
      </c>
      <c r="P24" s="264" t="s">
        <v>398</v>
      </c>
      <c r="Q24" s="281" t="s">
        <v>662</v>
      </c>
      <c r="R24" s="281"/>
      <c r="S24" s="281"/>
      <c r="T24" s="286">
        <v>15000</v>
      </c>
      <c r="U24" s="292">
        <v>10</v>
      </c>
      <c r="V24" s="292">
        <f>+T24*U24</f>
        <v>150000</v>
      </c>
      <c r="W24" s="286">
        <v>15000</v>
      </c>
      <c r="X24" s="292">
        <v>10</v>
      </c>
      <c r="Y24" s="292">
        <f>+W24*X24</f>
        <v>150000</v>
      </c>
      <c r="Z24" s="286">
        <v>15000</v>
      </c>
      <c r="AA24" s="292">
        <v>10</v>
      </c>
      <c r="AB24" s="292">
        <f>+Z24*AA24</f>
        <v>150000</v>
      </c>
      <c r="AC24" s="271">
        <f t="shared" si="0"/>
        <v>450000</v>
      </c>
      <c r="AD24" s="271" t="s">
        <v>239</v>
      </c>
      <c r="AE24" s="267" t="s">
        <v>704</v>
      </c>
      <c r="AF24" s="234"/>
    </row>
    <row r="25" spans="1:92" s="109" customFormat="1" ht="80.25" customHeight="1">
      <c r="A25" s="284"/>
      <c r="B25" s="263" t="s">
        <v>387</v>
      </c>
      <c r="C25" s="264" t="s">
        <v>241</v>
      </c>
      <c r="D25" s="264" t="s">
        <v>518</v>
      </c>
      <c r="E25" s="266" t="s">
        <v>390</v>
      </c>
      <c r="F25" s="264" t="s">
        <v>519</v>
      </c>
      <c r="G25" s="264" t="s">
        <v>391</v>
      </c>
      <c r="H25" s="264" t="s">
        <v>520</v>
      </c>
      <c r="I25" s="266" t="s">
        <v>393</v>
      </c>
      <c r="J25" s="264" t="s">
        <v>521</v>
      </c>
      <c r="K25" s="264"/>
      <c r="L25" s="266" t="s">
        <v>309</v>
      </c>
      <c r="M25" s="266" t="s">
        <v>522</v>
      </c>
      <c r="N25" s="264" t="s">
        <v>206</v>
      </c>
      <c r="O25" s="266">
        <v>54</v>
      </c>
      <c r="P25" s="264" t="s">
        <v>398</v>
      </c>
      <c r="Q25" s="267" t="s">
        <v>523</v>
      </c>
      <c r="R25" s="264"/>
      <c r="S25" s="264" t="s">
        <v>524</v>
      </c>
      <c r="T25" s="269">
        <v>2829</v>
      </c>
      <c r="U25" s="287">
        <v>22</v>
      </c>
      <c r="V25" s="287">
        <v>62238</v>
      </c>
      <c r="W25" s="269">
        <v>2971</v>
      </c>
      <c r="X25" s="270">
        <v>22</v>
      </c>
      <c r="Y25" s="270">
        <v>65362</v>
      </c>
      <c r="Z25" s="269">
        <v>2971</v>
      </c>
      <c r="AA25" s="270">
        <v>24.2</v>
      </c>
      <c r="AB25" s="270">
        <v>71898.2</v>
      </c>
      <c r="AC25" s="271">
        <f t="shared" si="0"/>
        <v>199498.2</v>
      </c>
      <c r="AD25" s="271"/>
      <c r="AE25" s="279" t="s">
        <v>742</v>
      </c>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row>
    <row r="26" spans="1:92" s="109" customFormat="1" ht="83.25" customHeight="1">
      <c r="A26" s="284"/>
      <c r="B26" s="263" t="s">
        <v>387</v>
      </c>
      <c r="C26" s="264" t="s">
        <v>241</v>
      </c>
      <c r="D26" s="264" t="s">
        <v>518</v>
      </c>
      <c r="E26" s="266" t="s">
        <v>390</v>
      </c>
      <c r="F26" s="264" t="s">
        <v>525</v>
      </c>
      <c r="G26" s="264" t="s">
        <v>391</v>
      </c>
      <c r="H26" s="264" t="s">
        <v>526</v>
      </c>
      <c r="I26" s="266" t="s">
        <v>393</v>
      </c>
      <c r="J26" s="264" t="s">
        <v>521</v>
      </c>
      <c r="K26" s="264"/>
      <c r="L26" s="266" t="s">
        <v>309</v>
      </c>
      <c r="M26" s="266" t="s">
        <v>527</v>
      </c>
      <c r="N26" s="264" t="s">
        <v>528</v>
      </c>
      <c r="O26" s="266">
        <v>54</v>
      </c>
      <c r="P26" s="264" t="s">
        <v>398</v>
      </c>
      <c r="Q26" s="267" t="s">
        <v>523</v>
      </c>
      <c r="R26" s="264"/>
      <c r="S26" s="264" t="s">
        <v>524</v>
      </c>
      <c r="T26" s="269">
        <v>447</v>
      </c>
      <c r="U26" s="287">
        <v>251.64700000000002</v>
      </c>
      <c r="V26" s="287">
        <v>112486.209</v>
      </c>
      <c r="W26" s="269">
        <v>447</v>
      </c>
      <c r="X26" s="270">
        <v>277.2</v>
      </c>
      <c r="Y26" s="270">
        <v>123908.4</v>
      </c>
      <c r="Z26" s="269">
        <v>447</v>
      </c>
      <c r="AA26" s="270">
        <v>304.92</v>
      </c>
      <c r="AB26" s="270">
        <v>136299.24</v>
      </c>
      <c r="AC26" s="271">
        <f t="shared" si="0"/>
        <v>372693.849</v>
      </c>
      <c r="AD26" s="271"/>
      <c r="AE26" s="293" t="s">
        <v>529</v>
      </c>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row>
    <row r="27" spans="1:92" s="109" customFormat="1" ht="96.75" customHeight="1">
      <c r="A27" s="284"/>
      <c r="B27" s="263" t="s">
        <v>387</v>
      </c>
      <c r="C27" s="264" t="s">
        <v>241</v>
      </c>
      <c r="D27" s="264" t="s">
        <v>518</v>
      </c>
      <c r="E27" s="266" t="s">
        <v>390</v>
      </c>
      <c r="F27" s="264" t="s">
        <v>530</v>
      </c>
      <c r="G27" s="264" t="s">
        <v>391</v>
      </c>
      <c r="H27" s="264" t="s">
        <v>531</v>
      </c>
      <c r="I27" s="266" t="s">
        <v>217</v>
      </c>
      <c r="J27" s="264"/>
      <c r="K27" s="264"/>
      <c r="L27" s="266" t="s">
        <v>309</v>
      </c>
      <c r="M27" s="266" t="s">
        <v>522</v>
      </c>
      <c r="N27" s="264" t="s">
        <v>206</v>
      </c>
      <c r="O27" s="254">
        <v>51</v>
      </c>
      <c r="P27" s="273" t="s">
        <v>207</v>
      </c>
      <c r="Q27" s="267" t="s">
        <v>532</v>
      </c>
      <c r="R27" s="264"/>
      <c r="S27" s="264" t="s">
        <v>293</v>
      </c>
      <c r="T27" s="269">
        <v>2852</v>
      </c>
      <c r="U27" s="287">
        <v>416</v>
      </c>
      <c r="V27" s="287">
        <v>1186432</v>
      </c>
      <c r="W27" s="269">
        <v>2852</v>
      </c>
      <c r="X27" s="270">
        <v>416</v>
      </c>
      <c r="Y27" s="270">
        <v>1186432</v>
      </c>
      <c r="Z27" s="269">
        <v>2852</v>
      </c>
      <c r="AA27" s="270">
        <v>457.6</v>
      </c>
      <c r="AB27" s="270">
        <v>1305075.2</v>
      </c>
      <c r="AC27" s="271">
        <f t="shared" si="0"/>
        <v>3677939.2</v>
      </c>
      <c r="AD27" s="271"/>
      <c r="AE27" s="274" t="s">
        <v>533</v>
      </c>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row>
    <row r="28" spans="1:92" s="109" customFormat="1" ht="102.75" customHeight="1">
      <c r="A28" s="284"/>
      <c r="B28" s="263" t="s">
        <v>387</v>
      </c>
      <c r="C28" s="264" t="s">
        <v>241</v>
      </c>
      <c r="D28" s="264" t="s">
        <v>389</v>
      </c>
      <c r="E28" s="266" t="s">
        <v>534</v>
      </c>
      <c r="F28" s="267" t="s">
        <v>535</v>
      </c>
      <c r="G28" s="264" t="s">
        <v>391</v>
      </c>
      <c r="H28" s="264" t="s">
        <v>536</v>
      </c>
      <c r="I28" s="266" t="s">
        <v>393</v>
      </c>
      <c r="J28" s="264" t="s">
        <v>521</v>
      </c>
      <c r="K28" s="264"/>
      <c r="L28" s="266" t="s">
        <v>309</v>
      </c>
      <c r="M28" s="266" t="s">
        <v>522</v>
      </c>
      <c r="N28" s="264" t="s">
        <v>206</v>
      </c>
      <c r="O28" s="266">
        <v>54</v>
      </c>
      <c r="P28" s="264" t="s">
        <v>398</v>
      </c>
      <c r="Q28" s="267" t="s">
        <v>537</v>
      </c>
      <c r="R28" s="264"/>
      <c r="S28" s="264" t="s">
        <v>538</v>
      </c>
      <c r="T28" s="269">
        <v>6987</v>
      </c>
      <c r="U28" s="287">
        <v>20</v>
      </c>
      <c r="V28" s="287">
        <v>139740</v>
      </c>
      <c r="W28" s="269">
        <v>7413</v>
      </c>
      <c r="X28" s="270">
        <v>20</v>
      </c>
      <c r="Y28" s="270">
        <v>148260</v>
      </c>
      <c r="Z28" s="269">
        <v>7413</v>
      </c>
      <c r="AA28" s="270">
        <v>22</v>
      </c>
      <c r="AB28" s="270">
        <v>163086</v>
      </c>
      <c r="AC28" s="271">
        <f t="shared" si="0"/>
        <v>451086</v>
      </c>
      <c r="AD28" s="271"/>
      <c r="AE28" s="293" t="s">
        <v>771</v>
      </c>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row>
    <row r="29" spans="1:92" s="109" customFormat="1" ht="88.5" customHeight="1">
      <c r="A29" s="284"/>
      <c r="B29" s="263" t="s">
        <v>387</v>
      </c>
      <c r="C29" s="264" t="s">
        <v>241</v>
      </c>
      <c r="D29" s="264" t="s">
        <v>389</v>
      </c>
      <c r="E29" s="266" t="s">
        <v>534</v>
      </c>
      <c r="F29" s="264" t="s">
        <v>539</v>
      </c>
      <c r="G29" s="264" t="s">
        <v>391</v>
      </c>
      <c r="H29" s="264" t="s">
        <v>540</v>
      </c>
      <c r="I29" s="266" t="s">
        <v>393</v>
      </c>
      <c r="J29" s="264" t="s">
        <v>521</v>
      </c>
      <c r="K29" s="264"/>
      <c r="L29" s="266" t="s">
        <v>309</v>
      </c>
      <c r="M29" s="266" t="s">
        <v>522</v>
      </c>
      <c r="N29" s="264" t="s">
        <v>206</v>
      </c>
      <c r="O29" s="266">
        <v>54</v>
      </c>
      <c r="P29" s="264" t="s">
        <v>207</v>
      </c>
      <c r="Q29" s="267" t="s">
        <v>541</v>
      </c>
      <c r="R29" s="264"/>
      <c r="S29" s="264" t="s">
        <v>542</v>
      </c>
      <c r="T29" s="269">
        <v>1827</v>
      </c>
      <c r="U29" s="287">
        <v>20</v>
      </c>
      <c r="V29" s="287">
        <v>36540</v>
      </c>
      <c r="W29" s="269">
        <v>1827</v>
      </c>
      <c r="X29" s="270">
        <v>20</v>
      </c>
      <c r="Y29" s="270">
        <v>36540</v>
      </c>
      <c r="Z29" s="269">
        <v>1827</v>
      </c>
      <c r="AA29" s="270">
        <v>22</v>
      </c>
      <c r="AB29" s="270">
        <v>40194</v>
      </c>
      <c r="AC29" s="271">
        <f t="shared" si="0"/>
        <v>113274</v>
      </c>
      <c r="AD29" s="271"/>
      <c r="AE29" s="293" t="s">
        <v>543</v>
      </c>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row>
    <row r="30" spans="1:92" s="109" customFormat="1" ht="128.25" customHeight="1">
      <c r="A30" s="284"/>
      <c r="B30" s="263" t="s">
        <v>387</v>
      </c>
      <c r="C30" s="264" t="s">
        <v>241</v>
      </c>
      <c r="D30" s="264" t="s">
        <v>544</v>
      </c>
      <c r="E30" s="266" t="s">
        <v>225</v>
      </c>
      <c r="F30" s="264" t="s">
        <v>545</v>
      </c>
      <c r="G30" s="264" t="s">
        <v>411</v>
      </c>
      <c r="H30" s="267" t="s">
        <v>546</v>
      </c>
      <c r="I30" s="266" t="s">
        <v>393</v>
      </c>
      <c r="J30" s="264"/>
      <c r="K30" s="264"/>
      <c r="L30" s="264" t="s">
        <v>547</v>
      </c>
      <c r="M30" s="266" t="s">
        <v>522</v>
      </c>
      <c r="N30" s="264" t="s">
        <v>206</v>
      </c>
      <c r="O30" s="266">
        <v>54</v>
      </c>
      <c r="P30" s="264" t="s">
        <v>207</v>
      </c>
      <c r="Q30" s="267" t="s">
        <v>548</v>
      </c>
      <c r="R30" s="264"/>
      <c r="S30" s="264" t="s">
        <v>549</v>
      </c>
      <c r="T30" s="269">
        <v>14145</v>
      </c>
      <c r="U30" s="287">
        <v>4.1</v>
      </c>
      <c r="V30" s="287">
        <v>57994.5</v>
      </c>
      <c r="W30" s="269">
        <v>14855</v>
      </c>
      <c r="X30" s="270">
        <v>4.1</v>
      </c>
      <c r="Y30" s="270">
        <v>60905.5</v>
      </c>
      <c r="Z30" s="269">
        <v>14855</v>
      </c>
      <c r="AA30" s="270">
        <v>4.51</v>
      </c>
      <c r="AB30" s="270">
        <v>66996.05</v>
      </c>
      <c r="AC30" s="271">
        <f t="shared" si="0"/>
        <v>185896.05</v>
      </c>
      <c r="AD30" s="271"/>
      <c r="AE30" s="280" t="s">
        <v>443</v>
      </c>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row>
    <row r="31" spans="1:92" s="109" customFormat="1" ht="129.75" customHeight="1">
      <c r="A31" s="284"/>
      <c r="B31" s="263" t="s">
        <v>387</v>
      </c>
      <c r="C31" s="264" t="s">
        <v>241</v>
      </c>
      <c r="D31" s="264" t="s">
        <v>389</v>
      </c>
      <c r="E31" s="266" t="s">
        <v>225</v>
      </c>
      <c r="F31" s="264" t="s">
        <v>444</v>
      </c>
      <c r="G31" s="264" t="s">
        <v>411</v>
      </c>
      <c r="H31" s="267" t="s">
        <v>445</v>
      </c>
      <c r="I31" s="266" t="s">
        <v>393</v>
      </c>
      <c r="J31" s="264"/>
      <c r="K31" s="264"/>
      <c r="L31" s="264" t="s">
        <v>446</v>
      </c>
      <c r="M31" s="266" t="s">
        <v>527</v>
      </c>
      <c r="N31" s="264" t="s">
        <v>528</v>
      </c>
      <c r="O31" s="266">
        <v>54</v>
      </c>
      <c r="P31" s="264" t="s">
        <v>398</v>
      </c>
      <c r="Q31" s="267" t="s">
        <v>447</v>
      </c>
      <c r="R31" s="264"/>
      <c r="S31" s="264"/>
      <c r="T31" s="269">
        <v>528</v>
      </c>
      <c r="U31" s="287">
        <v>651.92</v>
      </c>
      <c r="V31" s="287">
        <v>344213.76</v>
      </c>
      <c r="W31" s="269">
        <v>528</v>
      </c>
      <c r="X31" s="270">
        <v>651.92</v>
      </c>
      <c r="Y31" s="270">
        <v>344213.76</v>
      </c>
      <c r="Z31" s="269">
        <v>528</v>
      </c>
      <c r="AA31" s="270">
        <v>717.112</v>
      </c>
      <c r="AB31" s="270">
        <v>378635.136</v>
      </c>
      <c r="AC31" s="271">
        <f t="shared" si="0"/>
        <v>1067062.656</v>
      </c>
      <c r="AD31" s="271"/>
      <c r="AE31" s="294" t="s">
        <v>164</v>
      </c>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row>
    <row r="32" spans="1:92" s="109" customFormat="1" ht="87.75" customHeight="1">
      <c r="A32" s="284"/>
      <c r="B32" s="263" t="s">
        <v>387</v>
      </c>
      <c r="C32" s="264" t="s">
        <v>241</v>
      </c>
      <c r="D32" s="264" t="s">
        <v>518</v>
      </c>
      <c r="E32" s="266" t="s">
        <v>390</v>
      </c>
      <c r="F32" s="264" t="s">
        <v>165</v>
      </c>
      <c r="G32" s="264" t="s">
        <v>166</v>
      </c>
      <c r="H32" s="267" t="s">
        <v>167</v>
      </c>
      <c r="I32" s="266" t="s">
        <v>393</v>
      </c>
      <c r="J32" s="264"/>
      <c r="K32" s="266"/>
      <c r="L32" s="264" t="s">
        <v>547</v>
      </c>
      <c r="M32" s="266" t="s">
        <v>522</v>
      </c>
      <c r="N32" s="264" t="s">
        <v>459</v>
      </c>
      <c r="O32" s="254">
        <v>51</v>
      </c>
      <c r="P32" s="273" t="s">
        <v>207</v>
      </c>
      <c r="Q32" s="267" t="s">
        <v>168</v>
      </c>
      <c r="R32" s="264"/>
      <c r="S32" s="281" t="s">
        <v>169</v>
      </c>
      <c r="T32" s="269">
        <v>282900</v>
      </c>
      <c r="U32" s="291">
        <v>5.2379999999999995</v>
      </c>
      <c r="V32" s="287">
        <v>1481830.2</v>
      </c>
      <c r="W32" s="269">
        <v>297100</v>
      </c>
      <c r="X32" s="283">
        <v>5.4</v>
      </c>
      <c r="Y32" s="270">
        <v>1604340</v>
      </c>
      <c r="Z32" s="269">
        <v>297100</v>
      </c>
      <c r="AA32" s="270">
        <v>5.94</v>
      </c>
      <c r="AB32" s="270">
        <v>1764774</v>
      </c>
      <c r="AC32" s="271">
        <f t="shared" si="0"/>
        <v>4850944.2</v>
      </c>
      <c r="AD32" s="271"/>
      <c r="AE32" s="279" t="s">
        <v>170</v>
      </c>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row>
    <row r="33" spans="1:32" ht="219.75" customHeight="1">
      <c r="A33" s="254">
        <v>13</v>
      </c>
      <c r="B33" s="263" t="s">
        <v>452</v>
      </c>
      <c r="C33" s="264" t="s">
        <v>429</v>
      </c>
      <c r="D33" s="264" t="s">
        <v>512</v>
      </c>
      <c r="E33" s="266" t="s">
        <v>171</v>
      </c>
      <c r="F33" s="264" t="s">
        <v>432</v>
      </c>
      <c r="G33" s="264" t="s">
        <v>428</v>
      </c>
      <c r="H33" s="264" t="s">
        <v>433</v>
      </c>
      <c r="I33" s="266" t="s">
        <v>412</v>
      </c>
      <c r="J33" s="264" t="s">
        <v>172</v>
      </c>
      <c r="K33" s="264" t="s">
        <v>325</v>
      </c>
      <c r="L33" s="264" t="s">
        <v>325</v>
      </c>
      <c r="M33" s="266" t="s">
        <v>238</v>
      </c>
      <c r="N33" s="264" t="s">
        <v>397</v>
      </c>
      <c r="O33" s="266">
        <v>54</v>
      </c>
      <c r="P33" s="264" t="s">
        <v>398</v>
      </c>
      <c r="Q33" s="264" t="s">
        <v>173</v>
      </c>
      <c r="R33" s="264"/>
      <c r="S33" s="273" t="s">
        <v>278</v>
      </c>
      <c r="T33" s="286">
        <v>1</v>
      </c>
      <c r="U33" s="270">
        <v>15000</v>
      </c>
      <c r="V33" s="270">
        <v>15000</v>
      </c>
      <c r="W33" s="286">
        <v>1</v>
      </c>
      <c r="X33" s="270">
        <v>15000</v>
      </c>
      <c r="Y33" s="270">
        <v>15000</v>
      </c>
      <c r="Z33" s="286">
        <v>1</v>
      </c>
      <c r="AA33" s="270">
        <v>15000</v>
      </c>
      <c r="AB33" s="270">
        <v>15000</v>
      </c>
      <c r="AC33" s="271">
        <f t="shared" si="0"/>
        <v>45000</v>
      </c>
      <c r="AD33" s="271" t="s">
        <v>402</v>
      </c>
      <c r="AE33" s="264" t="s">
        <v>434</v>
      </c>
      <c r="AF33" s="234"/>
    </row>
    <row r="34" spans="1:32" ht="219.75" customHeight="1">
      <c r="A34" s="254" t="s">
        <v>696</v>
      </c>
      <c r="B34" s="263" t="s">
        <v>295</v>
      </c>
      <c r="C34" s="264" t="s">
        <v>723</v>
      </c>
      <c r="D34" s="264" t="s">
        <v>724</v>
      </c>
      <c r="E34" s="266" t="s">
        <v>174</v>
      </c>
      <c r="F34" s="264" t="s">
        <v>725</v>
      </c>
      <c r="G34" s="264" t="s">
        <v>411</v>
      </c>
      <c r="H34" s="264" t="s">
        <v>726</v>
      </c>
      <c r="I34" s="266" t="s">
        <v>412</v>
      </c>
      <c r="J34" s="264"/>
      <c r="K34" s="264" t="s">
        <v>45</v>
      </c>
      <c r="L34" s="264" t="s">
        <v>45</v>
      </c>
      <c r="M34" s="266" t="s">
        <v>303</v>
      </c>
      <c r="N34" s="264" t="s">
        <v>397</v>
      </c>
      <c r="O34" s="266">
        <v>61</v>
      </c>
      <c r="P34" s="264" t="s">
        <v>176</v>
      </c>
      <c r="Q34" s="281" t="s">
        <v>177</v>
      </c>
      <c r="R34" s="281"/>
      <c r="S34" s="281" t="s">
        <v>178</v>
      </c>
      <c r="T34" s="295">
        <v>3</v>
      </c>
      <c r="U34" s="283">
        <v>35000</v>
      </c>
      <c r="V34" s="270">
        <v>105000</v>
      </c>
      <c r="W34" s="295">
        <v>1</v>
      </c>
      <c r="X34" s="283">
        <v>6000</v>
      </c>
      <c r="Y34" s="270">
        <f>+W34*X34</f>
        <v>6000</v>
      </c>
      <c r="Z34" s="295">
        <v>1</v>
      </c>
      <c r="AA34" s="270">
        <v>6000</v>
      </c>
      <c r="AB34" s="270">
        <f>+Z34*AA34</f>
        <v>6000</v>
      </c>
      <c r="AC34" s="271">
        <f t="shared" si="0"/>
        <v>117000</v>
      </c>
      <c r="AD34" s="271" t="s">
        <v>402</v>
      </c>
      <c r="AE34" s="264" t="s">
        <v>727</v>
      </c>
      <c r="AF34" s="235"/>
    </row>
    <row r="35" spans="1:32" ht="219.75" customHeight="1">
      <c r="A35" s="254">
        <v>16</v>
      </c>
      <c r="B35" s="263" t="s">
        <v>452</v>
      </c>
      <c r="C35" s="264" t="s">
        <v>296</v>
      </c>
      <c r="D35" s="296" t="s">
        <v>237</v>
      </c>
      <c r="E35" s="254" t="s">
        <v>193</v>
      </c>
      <c r="F35" s="264" t="s">
        <v>422</v>
      </c>
      <c r="G35" s="264" t="s">
        <v>411</v>
      </c>
      <c r="H35" s="264" t="s">
        <v>670</v>
      </c>
      <c r="I35" s="266" t="s">
        <v>180</v>
      </c>
      <c r="J35" s="264" t="s">
        <v>196</v>
      </c>
      <c r="K35" s="264" t="s">
        <v>197</v>
      </c>
      <c r="L35" s="264" t="s">
        <v>197</v>
      </c>
      <c r="M35" s="266" t="s">
        <v>238</v>
      </c>
      <c r="N35" s="264" t="s">
        <v>397</v>
      </c>
      <c r="O35" s="266">
        <v>61</v>
      </c>
      <c r="P35" s="264" t="s">
        <v>176</v>
      </c>
      <c r="Q35" s="281" t="s">
        <v>181</v>
      </c>
      <c r="R35" s="281"/>
      <c r="S35" s="281"/>
      <c r="T35" s="295">
        <v>0</v>
      </c>
      <c r="U35" s="292">
        <v>0</v>
      </c>
      <c r="V35" s="297">
        <v>0</v>
      </c>
      <c r="W35" s="295">
        <v>15</v>
      </c>
      <c r="X35" s="292">
        <v>2300</v>
      </c>
      <c r="Y35" s="297">
        <v>34500</v>
      </c>
      <c r="Z35" s="295">
        <v>0</v>
      </c>
      <c r="AA35" s="292">
        <v>0</v>
      </c>
      <c r="AB35" s="297">
        <v>0</v>
      </c>
      <c r="AC35" s="271">
        <f t="shared" si="0"/>
        <v>34500</v>
      </c>
      <c r="AD35" s="271" t="s">
        <v>182</v>
      </c>
      <c r="AE35" s="267" t="s">
        <v>705</v>
      </c>
      <c r="AF35" s="234"/>
    </row>
    <row r="36" spans="1:32" ht="219.75" customHeight="1">
      <c r="A36" s="254">
        <v>17</v>
      </c>
      <c r="B36" s="263" t="s">
        <v>452</v>
      </c>
      <c r="C36" s="267" t="s">
        <v>435</v>
      </c>
      <c r="D36" s="298" t="s">
        <v>436</v>
      </c>
      <c r="E36" s="266" t="s">
        <v>174</v>
      </c>
      <c r="F36" s="264" t="s">
        <v>183</v>
      </c>
      <c r="G36" s="267" t="s">
        <v>428</v>
      </c>
      <c r="H36" s="267" t="s">
        <v>184</v>
      </c>
      <c r="I36" s="266" t="s">
        <v>185</v>
      </c>
      <c r="J36" s="266" t="s">
        <v>394</v>
      </c>
      <c r="K36" s="264" t="s">
        <v>325</v>
      </c>
      <c r="L36" s="264" t="s">
        <v>325</v>
      </c>
      <c r="M36" s="266" t="s">
        <v>238</v>
      </c>
      <c r="N36" s="264" t="s">
        <v>397</v>
      </c>
      <c r="O36" s="266">
        <v>54</v>
      </c>
      <c r="P36" s="264" t="s">
        <v>398</v>
      </c>
      <c r="Q36" s="299" t="s">
        <v>186</v>
      </c>
      <c r="R36" s="281"/>
      <c r="S36" s="281" t="s">
        <v>178</v>
      </c>
      <c r="T36" s="295">
        <v>300</v>
      </c>
      <c r="U36" s="283">
        <v>150</v>
      </c>
      <c r="V36" s="270">
        <v>45000</v>
      </c>
      <c r="W36" s="295">
        <v>0</v>
      </c>
      <c r="X36" s="283">
        <v>0</v>
      </c>
      <c r="Y36" s="283">
        <v>0</v>
      </c>
      <c r="Z36" s="295">
        <v>0</v>
      </c>
      <c r="AA36" s="283">
        <v>0</v>
      </c>
      <c r="AB36" s="297">
        <v>0</v>
      </c>
      <c r="AC36" s="271">
        <f t="shared" si="0"/>
        <v>45000</v>
      </c>
      <c r="AD36" s="271" t="s">
        <v>182</v>
      </c>
      <c r="AE36" s="280" t="s">
        <v>437</v>
      </c>
      <c r="AF36" s="234"/>
    </row>
    <row r="37" spans="1:32" ht="219.75" customHeight="1">
      <c r="A37" s="254">
        <v>18</v>
      </c>
      <c r="B37" s="255" t="s">
        <v>452</v>
      </c>
      <c r="C37" s="264" t="s">
        <v>285</v>
      </c>
      <c r="D37" s="264" t="s">
        <v>453</v>
      </c>
      <c r="E37" s="264" t="s">
        <v>171</v>
      </c>
      <c r="F37" s="264" t="s">
        <v>187</v>
      </c>
      <c r="G37" s="264" t="s">
        <v>411</v>
      </c>
      <c r="H37" s="264" t="s">
        <v>188</v>
      </c>
      <c r="I37" s="266" t="s">
        <v>412</v>
      </c>
      <c r="J37" s="266" t="s">
        <v>189</v>
      </c>
      <c r="K37" s="266" t="s">
        <v>325</v>
      </c>
      <c r="L37" s="266" t="s">
        <v>325</v>
      </c>
      <c r="M37" s="266" t="s">
        <v>238</v>
      </c>
      <c r="N37" s="264" t="s">
        <v>397</v>
      </c>
      <c r="O37" s="266">
        <v>54</v>
      </c>
      <c r="P37" s="266" t="s">
        <v>398</v>
      </c>
      <c r="Q37" s="300" t="s">
        <v>190</v>
      </c>
      <c r="R37" s="266"/>
      <c r="S37" s="254" t="s">
        <v>191</v>
      </c>
      <c r="T37" s="286">
        <v>13</v>
      </c>
      <c r="U37" s="270">
        <v>1475.38</v>
      </c>
      <c r="V37" s="270">
        <v>19179.94</v>
      </c>
      <c r="W37" s="286">
        <v>12</v>
      </c>
      <c r="X37" s="270">
        <v>1538.54</v>
      </c>
      <c r="Y37" s="270">
        <v>18462.48</v>
      </c>
      <c r="Z37" s="286">
        <v>12</v>
      </c>
      <c r="AA37" s="270">
        <v>1485.21</v>
      </c>
      <c r="AB37" s="270">
        <v>17822.52</v>
      </c>
      <c r="AC37" s="271">
        <f t="shared" si="0"/>
        <v>55464.94</v>
      </c>
      <c r="AD37" s="271" t="s">
        <v>402</v>
      </c>
      <c r="AE37" s="264" t="s">
        <v>594</v>
      </c>
      <c r="AF37" s="234"/>
    </row>
    <row r="38" spans="1:32" ht="219.75" customHeight="1">
      <c r="A38" s="254">
        <v>19</v>
      </c>
      <c r="B38" s="263" t="s">
        <v>452</v>
      </c>
      <c r="C38" s="264" t="s">
        <v>296</v>
      </c>
      <c r="D38" s="301" t="s">
        <v>667</v>
      </c>
      <c r="E38" s="254" t="s">
        <v>193</v>
      </c>
      <c r="F38" s="264" t="s">
        <v>423</v>
      </c>
      <c r="G38" s="264" t="s">
        <v>671</v>
      </c>
      <c r="H38" s="264" t="s">
        <v>595</v>
      </c>
      <c r="I38" s="266" t="s">
        <v>290</v>
      </c>
      <c r="J38" s="264" t="s">
        <v>196</v>
      </c>
      <c r="K38" s="264" t="s">
        <v>197</v>
      </c>
      <c r="L38" s="264" t="s">
        <v>197</v>
      </c>
      <c r="M38" s="266" t="s">
        <v>238</v>
      </c>
      <c r="N38" s="264" t="s">
        <v>397</v>
      </c>
      <c r="O38" s="266">
        <v>61</v>
      </c>
      <c r="P38" s="264" t="s">
        <v>176</v>
      </c>
      <c r="Q38" s="281" t="s">
        <v>596</v>
      </c>
      <c r="R38" s="281"/>
      <c r="S38" s="281"/>
      <c r="T38" s="295"/>
      <c r="U38" s="291"/>
      <c r="V38" s="287">
        <v>0</v>
      </c>
      <c r="W38" s="295">
        <v>0</v>
      </c>
      <c r="X38" s="283">
        <v>0</v>
      </c>
      <c r="Y38" s="270">
        <v>0</v>
      </c>
      <c r="Z38" s="295">
        <v>6</v>
      </c>
      <c r="AA38" s="302">
        <v>11300</v>
      </c>
      <c r="AB38" s="297">
        <v>67800</v>
      </c>
      <c r="AC38" s="271">
        <f t="shared" si="0"/>
        <v>67800</v>
      </c>
      <c r="AD38" s="271" t="s">
        <v>182</v>
      </c>
      <c r="AE38" s="267" t="s">
        <v>706</v>
      </c>
      <c r="AF38" s="234"/>
    </row>
    <row r="39" spans="1:92" s="109" customFormat="1" ht="148.5" customHeight="1">
      <c r="A39" s="284"/>
      <c r="B39" s="263" t="s">
        <v>597</v>
      </c>
      <c r="C39" s="264" t="s">
        <v>421</v>
      </c>
      <c r="D39" s="264" t="s">
        <v>598</v>
      </c>
      <c r="E39" s="266" t="s">
        <v>599</v>
      </c>
      <c r="F39" s="264" t="s">
        <v>600</v>
      </c>
      <c r="G39" s="264" t="s">
        <v>601</v>
      </c>
      <c r="H39" s="264" t="s">
        <v>602</v>
      </c>
      <c r="I39" s="266" t="s">
        <v>603</v>
      </c>
      <c r="J39" s="264" t="s">
        <v>196</v>
      </c>
      <c r="K39" s="264"/>
      <c r="L39" s="264" t="s">
        <v>197</v>
      </c>
      <c r="M39" s="266" t="s">
        <v>604</v>
      </c>
      <c r="N39" s="264" t="s">
        <v>206</v>
      </c>
      <c r="O39" s="266">
        <v>54</v>
      </c>
      <c r="P39" s="264" t="s">
        <v>398</v>
      </c>
      <c r="Q39" s="281" t="s">
        <v>605</v>
      </c>
      <c r="R39" s="281"/>
      <c r="S39" s="281" t="s">
        <v>606</v>
      </c>
      <c r="T39" s="282">
        <v>8000</v>
      </c>
      <c r="U39" s="283">
        <v>12.43</v>
      </c>
      <c r="V39" s="270">
        <v>99440</v>
      </c>
      <c r="W39" s="282">
        <v>8000</v>
      </c>
      <c r="X39" s="283">
        <v>12.43</v>
      </c>
      <c r="Y39" s="270">
        <v>99440</v>
      </c>
      <c r="Z39" s="282">
        <v>8000</v>
      </c>
      <c r="AA39" s="270">
        <v>13.673</v>
      </c>
      <c r="AB39" s="270">
        <v>109384</v>
      </c>
      <c r="AC39" s="271">
        <f t="shared" si="0"/>
        <v>308264</v>
      </c>
      <c r="AD39" s="271"/>
      <c r="AE39" s="293" t="s">
        <v>607</v>
      </c>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row>
    <row r="40" spans="1:92" s="109" customFormat="1" ht="87.75" customHeight="1">
      <c r="A40" s="284"/>
      <c r="B40" s="263" t="s">
        <v>597</v>
      </c>
      <c r="C40" s="264" t="s">
        <v>296</v>
      </c>
      <c r="D40" s="264" t="s">
        <v>598</v>
      </c>
      <c r="E40" s="303" t="s">
        <v>599</v>
      </c>
      <c r="F40" s="264" t="s">
        <v>600</v>
      </c>
      <c r="G40" s="264" t="s">
        <v>601</v>
      </c>
      <c r="H40" s="264" t="s">
        <v>608</v>
      </c>
      <c r="I40" s="266" t="s">
        <v>603</v>
      </c>
      <c r="J40" s="264" t="s">
        <v>609</v>
      </c>
      <c r="K40" s="266"/>
      <c r="L40" s="264" t="s">
        <v>197</v>
      </c>
      <c r="M40" s="266" t="s">
        <v>610</v>
      </c>
      <c r="N40" s="264" t="s">
        <v>528</v>
      </c>
      <c r="O40" s="266">
        <v>54</v>
      </c>
      <c r="P40" s="264" t="s">
        <v>398</v>
      </c>
      <c r="Q40" s="281" t="s">
        <v>605</v>
      </c>
      <c r="R40" s="281"/>
      <c r="S40" s="281" t="s">
        <v>606</v>
      </c>
      <c r="T40" s="282">
        <v>2000</v>
      </c>
      <c r="U40" s="283">
        <v>12.43</v>
      </c>
      <c r="V40" s="270">
        <v>24860</v>
      </c>
      <c r="W40" s="282">
        <v>2000</v>
      </c>
      <c r="X40" s="283">
        <v>12.43</v>
      </c>
      <c r="Y40" s="270">
        <v>24860</v>
      </c>
      <c r="Z40" s="282">
        <v>2000</v>
      </c>
      <c r="AA40" s="270">
        <v>13.673</v>
      </c>
      <c r="AB40" s="270">
        <v>27346</v>
      </c>
      <c r="AC40" s="271">
        <f t="shared" si="0"/>
        <v>77066</v>
      </c>
      <c r="AD40" s="271"/>
      <c r="AE40" s="294" t="s">
        <v>611</v>
      </c>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row>
    <row r="41" spans="1:92" s="109" customFormat="1" ht="99" customHeight="1">
      <c r="A41" s="284"/>
      <c r="B41" s="263" t="s">
        <v>597</v>
      </c>
      <c r="C41" s="264" t="s">
        <v>296</v>
      </c>
      <c r="D41" s="264" t="s">
        <v>598</v>
      </c>
      <c r="E41" s="303" t="s">
        <v>599</v>
      </c>
      <c r="F41" s="264" t="s">
        <v>600</v>
      </c>
      <c r="G41" s="264" t="s">
        <v>601</v>
      </c>
      <c r="H41" s="264" t="s">
        <v>608</v>
      </c>
      <c r="I41" s="266" t="s">
        <v>603</v>
      </c>
      <c r="J41" s="264" t="s">
        <v>394</v>
      </c>
      <c r="K41" s="264"/>
      <c r="L41" s="264" t="s">
        <v>197</v>
      </c>
      <c r="M41" s="266" t="s">
        <v>604</v>
      </c>
      <c r="N41" s="264" t="s">
        <v>206</v>
      </c>
      <c r="O41" s="266">
        <v>54</v>
      </c>
      <c r="P41" s="264" t="s">
        <v>398</v>
      </c>
      <c r="Q41" s="281" t="s">
        <v>612</v>
      </c>
      <c r="R41" s="281"/>
      <c r="S41" s="281" t="s">
        <v>606</v>
      </c>
      <c r="T41" s="282">
        <v>1</v>
      </c>
      <c r="U41" s="283">
        <v>58000</v>
      </c>
      <c r="V41" s="270">
        <v>58000</v>
      </c>
      <c r="W41" s="282">
        <v>1</v>
      </c>
      <c r="X41" s="283">
        <v>58000</v>
      </c>
      <c r="Y41" s="270">
        <v>58000</v>
      </c>
      <c r="Z41" s="282">
        <v>1</v>
      </c>
      <c r="AA41" s="270">
        <v>63800</v>
      </c>
      <c r="AB41" s="270">
        <v>63800</v>
      </c>
      <c r="AC41" s="271">
        <f t="shared" si="0"/>
        <v>179800</v>
      </c>
      <c r="AD41" s="271"/>
      <c r="AE41" s="294" t="s">
        <v>613</v>
      </c>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row>
    <row r="42" spans="1:92" s="109" customFormat="1" ht="91.5" customHeight="1">
      <c r="A42" s="284"/>
      <c r="B42" s="263" t="s">
        <v>597</v>
      </c>
      <c r="C42" s="264" t="s">
        <v>296</v>
      </c>
      <c r="D42" s="264" t="s">
        <v>598</v>
      </c>
      <c r="E42" s="303" t="s">
        <v>599</v>
      </c>
      <c r="F42" s="264" t="s">
        <v>600</v>
      </c>
      <c r="G42" s="264" t="s">
        <v>601</v>
      </c>
      <c r="H42" s="264" t="s">
        <v>614</v>
      </c>
      <c r="I42" s="266" t="s">
        <v>393</v>
      </c>
      <c r="J42" s="264" t="s">
        <v>394</v>
      </c>
      <c r="K42" s="264"/>
      <c r="L42" s="264" t="s">
        <v>197</v>
      </c>
      <c r="M42" s="266" t="s">
        <v>604</v>
      </c>
      <c r="N42" s="264" t="s">
        <v>206</v>
      </c>
      <c r="O42" s="266">
        <v>54</v>
      </c>
      <c r="P42" s="264" t="s">
        <v>398</v>
      </c>
      <c r="Q42" s="281" t="s">
        <v>615</v>
      </c>
      <c r="R42" s="281"/>
      <c r="S42" s="281" t="s">
        <v>606</v>
      </c>
      <c r="T42" s="282">
        <v>175000</v>
      </c>
      <c r="U42" s="283">
        <v>0.5</v>
      </c>
      <c r="V42" s="270">
        <v>87500</v>
      </c>
      <c r="W42" s="282">
        <v>175000</v>
      </c>
      <c r="X42" s="283">
        <v>0.5</v>
      </c>
      <c r="Y42" s="270">
        <v>87500</v>
      </c>
      <c r="Z42" s="282">
        <v>175000</v>
      </c>
      <c r="AA42" s="270">
        <v>0.55</v>
      </c>
      <c r="AB42" s="270">
        <v>96250</v>
      </c>
      <c r="AC42" s="271">
        <f t="shared" si="0"/>
        <v>271250</v>
      </c>
      <c r="AD42" s="271"/>
      <c r="AE42" s="294" t="s">
        <v>616</v>
      </c>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row>
    <row r="43" spans="1:92" s="109" customFormat="1" ht="93.75" customHeight="1">
      <c r="A43" s="284"/>
      <c r="B43" s="263" t="s">
        <v>597</v>
      </c>
      <c r="C43" s="264" t="s">
        <v>296</v>
      </c>
      <c r="D43" s="264" t="s">
        <v>598</v>
      </c>
      <c r="E43" s="303" t="s">
        <v>599</v>
      </c>
      <c r="F43" s="264" t="s">
        <v>600</v>
      </c>
      <c r="G43" s="264" t="s">
        <v>601</v>
      </c>
      <c r="H43" s="264" t="s">
        <v>614</v>
      </c>
      <c r="I43" s="266" t="s">
        <v>393</v>
      </c>
      <c r="J43" s="264" t="s">
        <v>609</v>
      </c>
      <c r="K43" s="264"/>
      <c r="L43" s="264" t="s">
        <v>197</v>
      </c>
      <c r="M43" s="266" t="s">
        <v>610</v>
      </c>
      <c r="N43" s="264" t="s">
        <v>528</v>
      </c>
      <c r="O43" s="266">
        <v>54</v>
      </c>
      <c r="P43" s="264" t="s">
        <v>398</v>
      </c>
      <c r="Q43" s="281" t="s">
        <v>617</v>
      </c>
      <c r="R43" s="281"/>
      <c r="S43" s="281" t="s">
        <v>606</v>
      </c>
      <c r="T43" s="282">
        <v>25000</v>
      </c>
      <c r="U43" s="283">
        <v>0.5</v>
      </c>
      <c r="V43" s="270">
        <v>12500</v>
      </c>
      <c r="W43" s="282">
        <v>25000</v>
      </c>
      <c r="X43" s="283">
        <v>0.5</v>
      </c>
      <c r="Y43" s="270">
        <v>12500</v>
      </c>
      <c r="Z43" s="282">
        <v>25000</v>
      </c>
      <c r="AA43" s="270">
        <v>0.55</v>
      </c>
      <c r="AB43" s="270">
        <v>13750</v>
      </c>
      <c r="AC43" s="271">
        <f t="shared" si="0"/>
        <v>38750</v>
      </c>
      <c r="AD43" s="304"/>
      <c r="AE43" s="294" t="s">
        <v>618</v>
      </c>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row>
    <row r="44" spans="1:92" s="109" customFormat="1" ht="88.5" customHeight="1">
      <c r="A44" s="284"/>
      <c r="B44" s="263" t="s">
        <v>597</v>
      </c>
      <c r="C44" s="264" t="s">
        <v>619</v>
      </c>
      <c r="D44" s="264" t="s">
        <v>598</v>
      </c>
      <c r="E44" s="254" t="s">
        <v>599</v>
      </c>
      <c r="F44" s="264" t="s">
        <v>620</v>
      </c>
      <c r="G44" s="264" t="s">
        <v>601</v>
      </c>
      <c r="H44" s="267" t="s">
        <v>621</v>
      </c>
      <c r="I44" s="266" t="s">
        <v>393</v>
      </c>
      <c r="J44" s="264" t="s">
        <v>521</v>
      </c>
      <c r="K44" s="266"/>
      <c r="L44" s="266" t="s">
        <v>309</v>
      </c>
      <c r="M44" s="266" t="s">
        <v>604</v>
      </c>
      <c r="N44" s="264" t="s">
        <v>206</v>
      </c>
      <c r="O44" s="266">
        <v>54</v>
      </c>
      <c r="P44" s="264" t="s">
        <v>398</v>
      </c>
      <c r="Q44" s="281" t="s">
        <v>622</v>
      </c>
      <c r="R44" s="281"/>
      <c r="S44" s="281" t="s">
        <v>278</v>
      </c>
      <c r="T44" s="282">
        <v>30</v>
      </c>
      <c r="U44" s="291">
        <v>24</v>
      </c>
      <c r="V44" s="287">
        <v>720</v>
      </c>
      <c r="W44" s="282">
        <v>30</v>
      </c>
      <c r="X44" s="283">
        <v>24</v>
      </c>
      <c r="Y44" s="270">
        <v>720</v>
      </c>
      <c r="Z44" s="282">
        <v>30</v>
      </c>
      <c r="AA44" s="270">
        <v>26.4</v>
      </c>
      <c r="AB44" s="270">
        <v>792</v>
      </c>
      <c r="AC44" s="271">
        <f t="shared" si="0"/>
        <v>2232</v>
      </c>
      <c r="AD44" s="271"/>
      <c r="AE44" s="293" t="s">
        <v>623</v>
      </c>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row>
    <row r="45" spans="1:92" s="109" customFormat="1" ht="90" customHeight="1">
      <c r="A45" s="284"/>
      <c r="B45" s="263" t="s">
        <v>597</v>
      </c>
      <c r="C45" s="264" t="s">
        <v>619</v>
      </c>
      <c r="D45" s="264" t="s">
        <v>598</v>
      </c>
      <c r="E45" s="254" t="s">
        <v>599</v>
      </c>
      <c r="F45" s="264" t="s">
        <v>620</v>
      </c>
      <c r="G45" s="264" t="s">
        <v>601</v>
      </c>
      <c r="H45" s="267" t="s">
        <v>624</v>
      </c>
      <c r="I45" s="266" t="s">
        <v>393</v>
      </c>
      <c r="J45" s="264" t="s">
        <v>521</v>
      </c>
      <c r="K45" s="264"/>
      <c r="L45" s="266" t="s">
        <v>309</v>
      </c>
      <c r="M45" s="266" t="s">
        <v>610</v>
      </c>
      <c r="N45" s="264" t="s">
        <v>528</v>
      </c>
      <c r="O45" s="266">
        <v>54</v>
      </c>
      <c r="P45" s="264" t="s">
        <v>398</v>
      </c>
      <c r="Q45" s="281" t="s">
        <v>625</v>
      </c>
      <c r="R45" s="281"/>
      <c r="S45" s="281" t="s">
        <v>278</v>
      </c>
      <c r="T45" s="282">
        <v>10</v>
      </c>
      <c r="U45" s="291">
        <v>24</v>
      </c>
      <c r="V45" s="287">
        <v>240</v>
      </c>
      <c r="W45" s="282">
        <v>10</v>
      </c>
      <c r="X45" s="283">
        <v>24</v>
      </c>
      <c r="Y45" s="270">
        <v>240</v>
      </c>
      <c r="Z45" s="282">
        <v>10</v>
      </c>
      <c r="AA45" s="270">
        <v>26.4</v>
      </c>
      <c r="AB45" s="270">
        <v>264</v>
      </c>
      <c r="AC45" s="271">
        <f t="shared" si="0"/>
        <v>744</v>
      </c>
      <c r="AD45" s="271"/>
      <c r="AE45" s="293" t="s">
        <v>626</v>
      </c>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row>
    <row r="46" spans="1:92" s="109" customFormat="1" ht="74.25" customHeight="1">
      <c r="A46" s="284"/>
      <c r="B46" s="263" t="s">
        <v>745</v>
      </c>
      <c r="C46" s="264" t="s">
        <v>619</v>
      </c>
      <c r="D46" s="264" t="s">
        <v>628</v>
      </c>
      <c r="E46" s="254" t="s">
        <v>629</v>
      </c>
      <c r="F46" s="264" t="s">
        <v>630</v>
      </c>
      <c r="G46" s="264" t="s">
        <v>631</v>
      </c>
      <c r="H46" s="267" t="s">
        <v>636</v>
      </c>
      <c r="I46" s="266" t="s">
        <v>393</v>
      </c>
      <c r="J46" s="264" t="s">
        <v>521</v>
      </c>
      <c r="K46" s="264"/>
      <c r="L46" s="266" t="s">
        <v>309</v>
      </c>
      <c r="M46" s="266" t="s">
        <v>637</v>
      </c>
      <c r="N46" s="264" t="s">
        <v>206</v>
      </c>
      <c r="O46" s="266">
        <v>54</v>
      </c>
      <c r="P46" s="264" t="s">
        <v>398</v>
      </c>
      <c r="Q46" s="267" t="s">
        <v>638</v>
      </c>
      <c r="R46" s="264"/>
      <c r="S46" s="264" t="s">
        <v>639</v>
      </c>
      <c r="T46" s="282">
        <v>34</v>
      </c>
      <c r="U46" s="283">
        <v>700</v>
      </c>
      <c r="V46" s="270">
        <f>23800+200000</f>
        <v>223800</v>
      </c>
      <c r="W46" s="282">
        <v>38</v>
      </c>
      <c r="X46" s="283">
        <v>700</v>
      </c>
      <c r="Y46" s="270">
        <f>26600+200000</f>
        <v>226600</v>
      </c>
      <c r="Z46" s="282">
        <v>38</v>
      </c>
      <c r="AA46" s="270">
        <v>770</v>
      </c>
      <c r="AB46" s="270">
        <f>29260+200000</f>
        <v>229260</v>
      </c>
      <c r="AC46" s="271">
        <f t="shared" si="0"/>
        <v>679660</v>
      </c>
      <c r="AD46" s="271"/>
      <c r="AE46" s="279" t="s">
        <v>731</v>
      </c>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row>
    <row r="47" spans="1:92" s="109" customFormat="1" ht="51" customHeight="1">
      <c r="A47" s="284"/>
      <c r="B47" s="263" t="s">
        <v>627</v>
      </c>
      <c r="C47" s="264" t="s">
        <v>619</v>
      </c>
      <c r="D47" s="264" t="s">
        <v>628</v>
      </c>
      <c r="E47" s="254" t="s">
        <v>629</v>
      </c>
      <c r="F47" s="264" t="s">
        <v>630</v>
      </c>
      <c r="G47" s="264" t="s">
        <v>631</v>
      </c>
      <c r="H47" s="267" t="s">
        <v>636</v>
      </c>
      <c r="I47" s="266" t="s">
        <v>393</v>
      </c>
      <c r="J47" s="264" t="s">
        <v>521</v>
      </c>
      <c r="K47" s="264"/>
      <c r="L47" s="266" t="s">
        <v>309</v>
      </c>
      <c r="M47" s="266" t="s">
        <v>640</v>
      </c>
      <c r="N47" s="264" t="s">
        <v>528</v>
      </c>
      <c r="O47" s="266">
        <v>54</v>
      </c>
      <c r="P47" s="264" t="s">
        <v>398</v>
      </c>
      <c r="Q47" s="267" t="s">
        <v>638</v>
      </c>
      <c r="R47" s="264"/>
      <c r="S47" s="264" t="s">
        <v>639</v>
      </c>
      <c r="T47" s="282">
        <v>3</v>
      </c>
      <c r="U47" s="291">
        <v>1391</v>
      </c>
      <c r="V47" s="287">
        <v>4173</v>
      </c>
      <c r="W47" s="282">
        <v>3</v>
      </c>
      <c r="X47" s="283">
        <v>1391</v>
      </c>
      <c r="Y47" s="270">
        <v>4173</v>
      </c>
      <c r="Z47" s="282">
        <v>3</v>
      </c>
      <c r="AA47" s="270">
        <v>1530.1</v>
      </c>
      <c r="AB47" s="270">
        <v>4590.3</v>
      </c>
      <c r="AC47" s="271">
        <f t="shared" si="0"/>
        <v>12936.3</v>
      </c>
      <c r="AD47" s="271"/>
      <c r="AE47" s="293" t="s">
        <v>772</v>
      </c>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row>
    <row r="48" spans="1:32" ht="219.75" customHeight="1">
      <c r="A48" s="254">
        <v>20</v>
      </c>
      <c r="B48" s="263" t="s">
        <v>452</v>
      </c>
      <c r="C48" s="264" t="s">
        <v>296</v>
      </c>
      <c r="D48" s="301" t="s">
        <v>667</v>
      </c>
      <c r="E48" s="254" t="s">
        <v>193</v>
      </c>
      <c r="F48" s="264" t="s">
        <v>424</v>
      </c>
      <c r="G48" s="264" t="s">
        <v>668</v>
      </c>
      <c r="H48" s="264" t="s">
        <v>595</v>
      </c>
      <c r="I48" s="266" t="s">
        <v>290</v>
      </c>
      <c r="J48" s="264" t="s">
        <v>196</v>
      </c>
      <c r="K48" s="264" t="s">
        <v>197</v>
      </c>
      <c r="L48" s="264" t="s">
        <v>197</v>
      </c>
      <c r="M48" s="266" t="s">
        <v>238</v>
      </c>
      <c r="N48" s="264" t="s">
        <v>397</v>
      </c>
      <c r="O48" s="266">
        <v>61</v>
      </c>
      <c r="P48" s="264" t="s">
        <v>176</v>
      </c>
      <c r="Q48" s="281" t="s">
        <v>51</v>
      </c>
      <c r="R48" s="281"/>
      <c r="S48" s="281" t="s">
        <v>639</v>
      </c>
      <c r="T48" s="295">
        <v>0</v>
      </c>
      <c r="U48" s="302">
        <v>0</v>
      </c>
      <c r="V48" s="297">
        <v>0</v>
      </c>
      <c r="W48" s="295">
        <v>2</v>
      </c>
      <c r="X48" s="302">
        <v>16000</v>
      </c>
      <c r="Y48" s="297">
        <v>32000</v>
      </c>
      <c r="Z48" s="295">
        <v>0</v>
      </c>
      <c r="AA48" s="270">
        <v>0</v>
      </c>
      <c r="AB48" s="270">
        <v>0</v>
      </c>
      <c r="AC48" s="271">
        <f t="shared" si="0"/>
        <v>32000</v>
      </c>
      <c r="AD48" s="271" t="s">
        <v>182</v>
      </c>
      <c r="AE48" s="279" t="s">
        <v>663</v>
      </c>
      <c r="AF48" s="234"/>
    </row>
    <row r="49" spans="1:32" ht="219.75" customHeight="1">
      <c r="A49" s="254">
        <v>21</v>
      </c>
      <c r="B49" s="263" t="s">
        <v>452</v>
      </c>
      <c r="C49" s="264" t="s">
        <v>388</v>
      </c>
      <c r="D49" s="296" t="s">
        <v>237</v>
      </c>
      <c r="E49" s="266" t="s">
        <v>298</v>
      </c>
      <c r="F49" s="264" t="s">
        <v>242</v>
      </c>
      <c r="G49" s="264" t="s">
        <v>411</v>
      </c>
      <c r="H49" s="264" t="s">
        <v>243</v>
      </c>
      <c r="I49" s="266" t="s">
        <v>244</v>
      </c>
      <c r="J49" s="264" t="s">
        <v>394</v>
      </c>
      <c r="K49" s="264" t="s">
        <v>457</v>
      </c>
      <c r="L49" s="264" t="s">
        <v>457</v>
      </c>
      <c r="M49" s="266" t="s">
        <v>238</v>
      </c>
      <c r="N49" s="264" t="s">
        <v>397</v>
      </c>
      <c r="O49" s="266">
        <v>54</v>
      </c>
      <c r="P49" s="264" t="s">
        <v>398</v>
      </c>
      <c r="Q49" s="264" t="s">
        <v>682</v>
      </c>
      <c r="R49" s="264"/>
      <c r="S49" s="264" t="s">
        <v>245</v>
      </c>
      <c r="T49" s="286">
        <v>67</v>
      </c>
      <c r="U49" s="270">
        <v>252.24</v>
      </c>
      <c r="V49" s="270">
        <f>+T49*U49</f>
        <v>16900.08</v>
      </c>
      <c r="W49" s="286">
        <v>67</v>
      </c>
      <c r="X49" s="270">
        <v>252.24</v>
      </c>
      <c r="Y49" s="270">
        <f>+W49*X49</f>
        <v>16900.08</v>
      </c>
      <c r="Z49" s="286">
        <v>67</v>
      </c>
      <c r="AA49" s="270">
        <v>252.24</v>
      </c>
      <c r="AB49" s="270">
        <f>+Z49*AA49</f>
        <v>16900.08</v>
      </c>
      <c r="AC49" s="271">
        <f t="shared" si="0"/>
        <v>50700.240000000005</v>
      </c>
      <c r="AD49" s="271" t="s">
        <v>402</v>
      </c>
      <c r="AE49" s="264" t="s">
        <v>717</v>
      </c>
      <c r="AF49" s="234"/>
    </row>
    <row r="50" spans="1:92" s="109" customFormat="1" ht="98.25" customHeight="1">
      <c r="A50" s="284"/>
      <c r="B50" s="263" t="s">
        <v>246</v>
      </c>
      <c r="C50" s="264" t="s">
        <v>408</v>
      </c>
      <c r="D50" s="264" t="s">
        <v>247</v>
      </c>
      <c r="E50" s="266" t="s">
        <v>312</v>
      </c>
      <c r="F50" s="264" t="s">
        <v>248</v>
      </c>
      <c r="G50" s="264" t="s">
        <v>313</v>
      </c>
      <c r="H50" s="264" t="s">
        <v>249</v>
      </c>
      <c r="I50" s="266" t="s">
        <v>393</v>
      </c>
      <c r="J50" s="264"/>
      <c r="K50" s="264"/>
      <c r="L50" s="264" t="s">
        <v>406</v>
      </c>
      <c r="M50" s="266" t="s">
        <v>250</v>
      </c>
      <c r="N50" s="264" t="s">
        <v>206</v>
      </c>
      <c r="O50" s="266">
        <v>54</v>
      </c>
      <c r="P50" s="264" t="s">
        <v>398</v>
      </c>
      <c r="Q50" s="264" t="s">
        <v>251</v>
      </c>
      <c r="R50" s="264"/>
      <c r="S50" s="264" t="s">
        <v>639</v>
      </c>
      <c r="T50" s="282">
        <v>1256</v>
      </c>
      <c r="U50" s="283">
        <v>1.95</v>
      </c>
      <c r="V50" s="270">
        <v>2449.2</v>
      </c>
      <c r="W50" s="282">
        <v>30</v>
      </c>
      <c r="X50" s="283">
        <v>290</v>
      </c>
      <c r="Y50" s="270">
        <v>8700</v>
      </c>
      <c r="Z50" s="282">
        <v>30</v>
      </c>
      <c r="AA50" s="270">
        <v>319</v>
      </c>
      <c r="AB50" s="270">
        <v>9570</v>
      </c>
      <c r="AC50" s="271">
        <f t="shared" si="0"/>
        <v>20719.2</v>
      </c>
      <c r="AD50" s="271"/>
      <c r="AE50" s="280" t="s">
        <v>252</v>
      </c>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row>
    <row r="51" spans="1:92" s="109" customFormat="1" ht="88.5" customHeight="1">
      <c r="A51" s="284"/>
      <c r="B51" s="263" t="s">
        <v>246</v>
      </c>
      <c r="C51" s="264" t="s">
        <v>408</v>
      </c>
      <c r="D51" s="264" t="s">
        <v>247</v>
      </c>
      <c r="E51" s="266" t="s">
        <v>312</v>
      </c>
      <c r="F51" s="264" t="s">
        <v>248</v>
      </c>
      <c r="G51" s="264" t="s">
        <v>313</v>
      </c>
      <c r="H51" s="264" t="s">
        <v>249</v>
      </c>
      <c r="I51" s="266" t="s">
        <v>393</v>
      </c>
      <c r="J51" s="264"/>
      <c r="K51" s="266"/>
      <c r="L51" s="264" t="s">
        <v>406</v>
      </c>
      <c r="M51" s="266" t="s">
        <v>250</v>
      </c>
      <c r="N51" s="264" t="s">
        <v>206</v>
      </c>
      <c r="O51" s="266">
        <v>54</v>
      </c>
      <c r="P51" s="264" t="s">
        <v>398</v>
      </c>
      <c r="Q51" s="264" t="s">
        <v>253</v>
      </c>
      <c r="R51" s="264"/>
      <c r="S51" s="264" t="s">
        <v>178</v>
      </c>
      <c r="T51" s="269">
        <v>30</v>
      </c>
      <c r="U51" s="283">
        <v>7000</v>
      </c>
      <c r="V51" s="270">
        <v>210000</v>
      </c>
      <c r="W51" s="269">
        <v>1</v>
      </c>
      <c r="X51" s="270">
        <v>26000</v>
      </c>
      <c r="Y51" s="270">
        <v>26000</v>
      </c>
      <c r="Z51" s="269">
        <v>1</v>
      </c>
      <c r="AA51" s="270">
        <v>28600</v>
      </c>
      <c r="AB51" s="270">
        <v>28600</v>
      </c>
      <c r="AC51" s="271">
        <f t="shared" si="0"/>
        <v>264600</v>
      </c>
      <c r="AD51" s="271"/>
      <c r="AE51" s="280" t="s">
        <v>254</v>
      </c>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row>
    <row r="52" spans="1:92" s="109" customFormat="1" ht="92.25" customHeight="1">
      <c r="A52" s="284"/>
      <c r="B52" s="263" t="s">
        <v>246</v>
      </c>
      <c r="C52" s="264" t="s">
        <v>408</v>
      </c>
      <c r="D52" s="264" t="s">
        <v>247</v>
      </c>
      <c r="E52" s="266" t="s">
        <v>312</v>
      </c>
      <c r="F52" s="264" t="s">
        <v>248</v>
      </c>
      <c r="G52" s="264" t="s">
        <v>313</v>
      </c>
      <c r="H52" s="264" t="s">
        <v>249</v>
      </c>
      <c r="I52" s="266" t="s">
        <v>290</v>
      </c>
      <c r="J52" s="264"/>
      <c r="K52" s="264"/>
      <c r="L52" s="264" t="s">
        <v>406</v>
      </c>
      <c r="M52" s="266" t="s">
        <v>250</v>
      </c>
      <c r="N52" s="264" t="s">
        <v>206</v>
      </c>
      <c r="O52" s="266">
        <v>54</v>
      </c>
      <c r="P52" s="264" t="s">
        <v>398</v>
      </c>
      <c r="Q52" s="264" t="s">
        <v>255</v>
      </c>
      <c r="R52" s="264"/>
      <c r="S52" s="264" t="s">
        <v>178</v>
      </c>
      <c r="T52" s="269">
        <v>708</v>
      </c>
      <c r="U52" s="270">
        <v>75</v>
      </c>
      <c r="V52" s="270">
        <v>53100</v>
      </c>
      <c r="W52" s="282"/>
      <c r="X52" s="283">
        <v>0</v>
      </c>
      <c r="Y52" s="270">
        <v>0</v>
      </c>
      <c r="Z52" s="282"/>
      <c r="AA52" s="270">
        <v>0</v>
      </c>
      <c r="AB52" s="270">
        <v>0</v>
      </c>
      <c r="AC52" s="271">
        <f t="shared" si="0"/>
        <v>53100</v>
      </c>
      <c r="AD52" s="271"/>
      <c r="AE52" s="280" t="s">
        <v>256</v>
      </c>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row>
    <row r="53" spans="1:92" s="109" customFormat="1" ht="121.5" customHeight="1">
      <c r="A53" s="284"/>
      <c r="B53" s="263" t="s">
        <v>246</v>
      </c>
      <c r="C53" s="264" t="s">
        <v>408</v>
      </c>
      <c r="D53" s="264" t="s">
        <v>257</v>
      </c>
      <c r="E53" s="266" t="s">
        <v>258</v>
      </c>
      <c r="F53" s="264" t="s">
        <v>259</v>
      </c>
      <c r="G53" s="264" t="s">
        <v>313</v>
      </c>
      <c r="H53" s="264" t="s">
        <v>260</v>
      </c>
      <c r="I53" s="266" t="s">
        <v>261</v>
      </c>
      <c r="J53" s="264" t="s">
        <v>262</v>
      </c>
      <c r="K53" s="264"/>
      <c r="L53" s="264" t="s">
        <v>406</v>
      </c>
      <c r="M53" s="266" t="s">
        <v>250</v>
      </c>
      <c r="N53" s="264" t="s">
        <v>206</v>
      </c>
      <c r="O53" s="266">
        <v>54</v>
      </c>
      <c r="P53" s="264" t="s">
        <v>398</v>
      </c>
      <c r="Q53" s="264" t="s">
        <v>263</v>
      </c>
      <c r="R53" s="264"/>
      <c r="S53" s="264" t="s">
        <v>639</v>
      </c>
      <c r="T53" s="269">
        <v>1918</v>
      </c>
      <c r="U53" s="270">
        <v>15</v>
      </c>
      <c r="V53" s="270">
        <v>28770</v>
      </c>
      <c r="W53" s="282">
        <v>1404000</v>
      </c>
      <c r="X53" s="283">
        <v>0.015</v>
      </c>
      <c r="Y53" s="270">
        <v>21060</v>
      </c>
      <c r="Z53" s="282">
        <v>1404000</v>
      </c>
      <c r="AA53" s="270">
        <v>0.0165</v>
      </c>
      <c r="AB53" s="270">
        <v>23166</v>
      </c>
      <c r="AC53" s="271">
        <f t="shared" si="0"/>
        <v>72996</v>
      </c>
      <c r="AD53" s="271"/>
      <c r="AE53" s="280" t="s">
        <v>264</v>
      </c>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row>
    <row r="54" spans="1:92" s="109" customFormat="1" ht="117.75" customHeight="1">
      <c r="A54" s="284"/>
      <c r="B54" s="263" t="s">
        <v>246</v>
      </c>
      <c r="C54" s="264" t="s">
        <v>408</v>
      </c>
      <c r="D54" s="264" t="s">
        <v>247</v>
      </c>
      <c r="E54" s="266" t="s">
        <v>312</v>
      </c>
      <c r="F54" s="264" t="s">
        <v>265</v>
      </c>
      <c r="G54" s="264" t="s">
        <v>313</v>
      </c>
      <c r="H54" s="264" t="s">
        <v>260</v>
      </c>
      <c r="I54" s="266" t="s">
        <v>290</v>
      </c>
      <c r="J54" s="264"/>
      <c r="K54" s="264"/>
      <c r="L54" s="264" t="s">
        <v>406</v>
      </c>
      <c r="M54" s="266" t="s">
        <v>250</v>
      </c>
      <c r="N54" s="264" t="s">
        <v>206</v>
      </c>
      <c r="O54" s="266">
        <v>54</v>
      </c>
      <c r="P54" s="264" t="s">
        <v>398</v>
      </c>
      <c r="Q54" s="264" t="s">
        <v>266</v>
      </c>
      <c r="R54" s="264"/>
      <c r="S54" s="264" t="s">
        <v>178</v>
      </c>
      <c r="T54" s="269">
        <v>1473</v>
      </c>
      <c r="U54" s="270">
        <v>24</v>
      </c>
      <c r="V54" s="270">
        <v>35352</v>
      </c>
      <c r="W54" s="282"/>
      <c r="X54" s="283">
        <v>0</v>
      </c>
      <c r="Y54" s="270">
        <v>0</v>
      </c>
      <c r="Z54" s="282"/>
      <c r="AA54" s="270">
        <v>0</v>
      </c>
      <c r="AB54" s="270">
        <v>0</v>
      </c>
      <c r="AC54" s="271">
        <f t="shared" si="0"/>
        <v>35352</v>
      </c>
      <c r="AD54" s="271"/>
      <c r="AE54" s="280" t="s">
        <v>267</v>
      </c>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row>
    <row r="55" spans="1:92" s="109" customFormat="1" ht="119.25" customHeight="1">
      <c r="A55" s="284"/>
      <c r="B55" s="263" t="s">
        <v>246</v>
      </c>
      <c r="C55" s="264" t="s">
        <v>408</v>
      </c>
      <c r="D55" s="264" t="s">
        <v>247</v>
      </c>
      <c r="E55" s="266" t="s">
        <v>312</v>
      </c>
      <c r="F55" s="264" t="s">
        <v>268</v>
      </c>
      <c r="G55" s="264" t="s">
        <v>313</v>
      </c>
      <c r="H55" s="264" t="s">
        <v>269</v>
      </c>
      <c r="I55" s="266" t="s">
        <v>261</v>
      </c>
      <c r="J55" s="264" t="s">
        <v>270</v>
      </c>
      <c r="K55" s="264"/>
      <c r="L55" s="264" t="s">
        <v>406</v>
      </c>
      <c r="M55" s="266" t="s">
        <v>250</v>
      </c>
      <c r="N55" s="264" t="s">
        <v>206</v>
      </c>
      <c r="O55" s="266">
        <v>54</v>
      </c>
      <c r="P55" s="264" t="s">
        <v>398</v>
      </c>
      <c r="Q55" s="264" t="s">
        <v>271</v>
      </c>
      <c r="R55" s="264"/>
      <c r="S55" s="264" t="s">
        <v>178</v>
      </c>
      <c r="T55" s="269">
        <v>900</v>
      </c>
      <c r="U55" s="283">
        <v>24</v>
      </c>
      <c r="V55" s="270">
        <v>21600</v>
      </c>
      <c r="W55" s="282">
        <v>1</v>
      </c>
      <c r="X55" s="283">
        <v>20000</v>
      </c>
      <c r="Y55" s="270">
        <v>20000</v>
      </c>
      <c r="Z55" s="282">
        <v>1</v>
      </c>
      <c r="AA55" s="270">
        <v>22000</v>
      </c>
      <c r="AB55" s="270">
        <v>22000</v>
      </c>
      <c r="AC55" s="271">
        <f t="shared" si="0"/>
        <v>63600</v>
      </c>
      <c r="AD55" s="271"/>
      <c r="AE55" s="280" t="s">
        <v>272</v>
      </c>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row>
    <row r="56" spans="1:92" s="109" customFormat="1" ht="90.75" customHeight="1">
      <c r="A56" s="284"/>
      <c r="B56" s="263" t="s">
        <v>246</v>
      </c>
      <c r="C56" s="264" t="s">
        <v>408</v>
      </c>
      <c r="D56" s="264" t="s">
        <v>247</v>
      </c>
      <c r="E56" s="266" t="s">
        <v>312</v>
      </c>
      <c r="F56" s="264" t="s">
        <v>273</v>
      </c>
      <c r="G56" s="264" t="s">
        <v>313</v>
      </c>
      <c r="H56" s="264" t="s">
        <v>274</v>
      </c>
      <c r="I56" s="266" t="s">
        <v>393</v>
      </c>
      <c r="J56" s="264"/>
      <c r="K56" s="264"/>
      <c r="L56" s="264" t="s">
        <v>406</v>
      </c>
      <c r="M56" s="266" t="s">
        <v>250</v>
      </c>
      <c r="N56" s="264" t="s">
        <v>206</v>
      </c>
      <c r="O56" s="266">
        <v>54</v>
      </c>
      <c r="P56" s="264" t="s">
        <v>398</v>
      </c>
      <c r="Q56" s="264" t="s">
        <v>275</v>
      </c>
      <c r="R56" s="264"/>
      <c r="S56" s="264" t="s">
        <v>178</v>
      </c>
      <c r="T56" s="282">
        <v>1150</v>
      </c>
      <c r="U56" s="283">
        <v>16</v>
      </c>
      <c r="V56" s="270">
        <v>18400</v>
      </c>
      <c r="W56" s="282">
        <v>200</v>
      </c>
      <c r="X56" s="283">
        <v>3.6</v>
      </c>
      <c r="Y56" s="270">
        <v>720</v>
      </c>
      <c r="Z56" s="282">
        <v>200</v>
      </c>
      <c r="AA56" s="270">
        <v>3.96</v>
      </c>
      <c r="AB56" s="270">
        <v>792</v>
      </c>
      <c r="AC56" s="271">
        <f t="shared" si="0"/>
        <v>19912</v>
      </c>
      <c r="AD56" s="271"/>
      <c r="AE56" s="280" t="s">
        <v>550</v>
      </c>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row>
    <row r="57" spans="1:92" s="109" customFormat="1" ht="114" customHeight="1">
      <c r="A57" s="284"/>
      <c r="B57" s="263" t="s">
        <v>246</v>
      </c>
      <c r="C57" s="264" t="s">
        <v>408</v>
      </c>
      <c r="D57" s="264" t="s">
        <v>257</v>
      </c>
      <c r="E57" s="266" t="s">
        <v>312</v>
      </c>
      <c r="F57" s="264" t="s">
        <v>551</v>
      </c>
      <c r="G57" s="264" t="s">
        <v>313</v>
      </c>
      <c r="H57" s="264" t="s">
        <v>552</v>
      </c>
      <c r="I57" s="266" t="s">
        <v>393</v>
      </c>
      <c r="J57" s="264"/>
      <c r="K57" s="264"/>
      <c r="L57" s="264" t="s">
        <v>406</v>
      </c>
      <c r="M57" s="266" t="s">
        <v>250</v>
      </c>
      <c r="N57" s="264" t="s">
        <v>206</v>
      </c>
      <c r="O57" s="266">
        <v>54</v>
      </c>
      <c r="P57" s="264" t="s">
        <v>398</v>
      </c>
      <c r="Q57" s="264" t="s">
        <v>553</v>
      </c>
      <c r="R57" s="264"/>
      <c r="S57" s="264" t="s">
        <v>554</v>
      </c>
      <c r="T57" s="269">
        <v>27</v>
      </c>
      <c r="U57" s="270">
        <v>1600</v>
      </c>
      <c r="V57" s="270">
        <v>43200</v>
      </c>
      <c r="W57" s="282">
        <v>200</v>
      </c>
      <c r="X57" s="283">
        <v>82.8</v>
      </c>
      <c r="Y57" s="270">
        <v>16560</v>
      </c>
      <c r="Z57" s="282">
        <v>200</v>
      </c>
      <c r="AA57" s="270">
        <v>91.08</v>
      </c>
      <c r="AB57" s="270">
        <v>18216</v>
      </c>
      <c r="AC57" s="271">
        <f t="shared" si="0"/>
        <v>77976</v>
      </c>
      <c r="AD57" s="271"/>
      <c r="AE57" s="280" t="s">
        <v>555</v>
      </c>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row>
    <row r="58" spans="1:92" s="109" customFormat="1" ht="176.25" customHeight="1">
      <c r="A58" s="284"/>
      <c r="B58" s="263" t="s">
        <v>246</v>
      </c>
      <c r="C58" s="264" t="s">
        <v>285</v>
      </c>
      <c r="D58" s="264" t="s">
        <v>247</v>
      </c>
      <c r="E58" s="266" t="s">
        <v>312</v>
      </c>
      <c r="F58" s="264" t="s">
        <v>556</v>
      </c>
      <c r="G58" s="264" t="s">
        <v>313</v>
      </c>
      <c r="H58" s="264" t="s">
        <v>557</v>
      </c>
      <c r="I58" s="266" t="s">
        <v>558</v>
      </c>
      <c r="J58" s="264" t="s">
        <v>559</v>
      </c>
      <c r="K58" s="264"/>
      <c r="L58" s="264" t="s">
        <v>406</v>
      </c>
      <c r="M58" s="266" t="s">
        <v>250</v>
      </c>
      <c r="N58" s="264" t="s">
        <v>206</v>
      </c>
      <c r="O58" s="266">
        <v>54</v>
      </c>
      <c r="P58" s="264" t="s">
        <v>398</v>
      </c>
      <c r="Q58" s="267" t="s">
        <v>560</v>
      </c>
      <c r="R58" s="264"/>
      <c r="S58" s="264" t="s">
        <v>178</v>
      </c>
      <c r="T58" s="269">
        <v>708</v>
      </c>
      <c r="U58" s="270">
        <v>48</v>
      </c>
      <c r="V58" s="270">
        <v>33984</v>
      </c>
      <c r="W58" s="269">
        <v>0</v>
      </c>
      <c r="X58" s="270">
        <v>0</v>
      </c>
      <c r="Y58" s="270">
        <v>0</v>
      </c>
      <c r="Z58" s="269">
        <v>0</v>
      </c>
      <c r="AA58" s="270">
        <v>0</v>
      </c>
      <c r="AB58" s="270">
        <v>0</v>
      </c>
      <c r="AC58" s="271">
        <f t="shared" si="0"/>
        <v>33984</v>
      </c>
      <c r="AD58" s="271"/>
      <c r="AE58" s="280" t="s">
        <v>561</v>
      </c>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row>
    <row r="59" spans="1:92" s="109" customFormat="1" ht="147" customHeight="1">
      <c r="A59" s="284"/>
      <c r="B59" s="263" t="s">
        <v>407</v>
      </c>
      <c r="C59" s="264" t="s">
        <v>296</v>
      </c>
      <c r="D59" s="264" t="s">
        <v>773</v>
      </c>
      <c r="E59" s="266" t="s">
        <v>276</v>
      </c>
      <c r="F59" s="267" t="s">
        <v>562</v>
      </c>
      <c r="G59" s="267" t="s">
        <v>411</v>
      </c>
      <c r="H59" s="267" t="s">
        <v>563</v>
      </c>
      <c r="I59" s="267" t="s">
        <v>564</v>
      </c>
      <c r="J59" s="266" t="s">
        <v>394</v>
      </c>
      <c r="K59" s="264"/>
      <c r="L59" s="266" t="s">
        <v>565</v>
      </c>
      <c r="M59" s="266" t="s">
        <v>566</v>
      </c>
      <c r="N59" s="267" t="s">
        <v>206</v>
      </c>
      <c r="O59" s="267">
        <v>54</v>
      </c>
      <c r="P59" s="264" t="s">
        <v>398</v>
      </c>
      <c r="Q59" s="267" t="s">
        <v>567</v>
      </c>
      <c r="R59" s="264"/>
      <c r="S59" s="264" t="s">
        <v>568</v>
      </c>
      <c r="T59" s="282">
        <v>54</v>
      </c>
      <c r="U59" s="287">
        <v>98</v>
      </c>
      <c r="V59" s="287">
        <v>5292</v>
      </c>
      <c r="W59" s="282">
        <v>54</v>
      </c>
      <c r="X59" s="270">
        <v>98</v>
      </c>
      <c r="Y59" s="270">
        <v>5292</v>
      </c>
      <c r="Z59" s="282">
        <v>54</v>
      </c>
      <c r="AA59" s="270">
        <v>107.8</v>
      </c>
      <c r="AB59" s="270">
        <v>5821.2</v>
      </c>
      <c r="AC59" s="271">
        <f t="shared" si="0"/>
        <v>16405.2</v>
      </c>
      <c r="AD59" s="271"/>
      <c r="AE59" s="267" t="s">
        <v>774</v>
      </c>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row>
    <row r="60" spans="1:92" s="109" customFormat="1" ht="153" customHeight="1">
      <c r="A60" s="284"/>
      <c r="B60" s="263" t="s">
        <v>407</v>
      </c>
      <c r="C60" s="264" t="s">
        <v>296</v>
      </c>
      <c r="D60" s="264" t="s">
        <v>773</v>
      </c>
      <c r="E60" s="266" t="s">
        <v>276</v>
      </c>
      <c r="F60" s="267" t="s">
        <v>569</v>
      </c>
      <c r="G60" s="267" t="s">
        <v>411</v>
      </c>
      <c r="H60" s="267" t="s">
        <v>570</v>
      </c>
      <c r="I60" s="267" t="s">
        <v>564</v>
      </c>
      <c r="J60" s="267" t="s">
        <v>196</v>
      </c>
      <c r="K60" s="264"/>
      <c r="L60" s="266" t="s">
        <v>565</v>
      </c>
      <c r="M60" s="266" t="s">
        <v>566</v>
      </c>
      <c r="N60" s="267" t="s">
        <v>206</v>
      </c>
      <c r="O60" s="267">
        <v>54</v>
      </c>
      <c r="P60" s="264" t="s">
        <v>398</v>
      </c>
      <c r="Q60" s="282" t="s">
        <v>571</v>
      </c>
      <c r="R60" s="281"/>
      <c r="S60" s="281" t="s">
        <v>278</v>
      </c>
      <c r="T60" s="282">
        <v>1</v>
      </c>
      <c r="U60" s="291">
        <v>4000</v>
      </c>
      <c r="V60" s="287">
        <v>4000</v>
      </c>
      <c r="W60" s="282">
        <v>1</v>
      </c>
      <c r="X60" s="283">
        <v>4000</v>
      </c>
      <c r="Y60" s="270">
        <v>4000</v>
      </c>
      <c r="Z60" s="282">
        <v>1</v>
      </c>
      <c r="AA60" s="270">
        <v>4400</v>
      </c>
      <c r="AB60" s="270">
        <v>4400</v>
      </c>
      <c r="AC60" s="271">
        <f t="shared" si="0"/>
        <v>12400</v>
      </c>
      <c r="AD60" s="271"/>
      <c r="AE60" s="294" t="s">
        <v>572</v>
      </c>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row>
    <row r="61" spans="1:92" s="109" customFormat="1" ht="153" customHeight="1">
      <c r="A61" s="284"/>
      <c r="B61" s="263" t="s">
        <v>407</v>
      </c>
      <c r="C61" s="264" t="s">
        <v>296</v>
      </c>
      <c r="D61" s="264" t="s">
        <v>773</v>
      </c>
      <c r="E61" s="266" t="s">
        <v>276</v>
      </c>
      <c r="F61" s="267" t="s">
        <v>573</v>
      </c>
      <c r="G61" s="267" t="s">
        <v>411</v>
      </c>
      <c r="H61" s="267" t="s">
        <v>570</v>
      </c>
      <c r="I61" s="267" t="s">
        <v>564</v>
      </c>
      <c r="J61" s="267" t="s">
        <v>394</v>
      </c>
      <c r="K61" s="264"/>
      <c r="L61" s="266" t="s">
        <v>565</v>
      </c>
      <c r="M61" s="266" t="s">
        <v>566</v>
      </c>
      <c r="N61" s="267" t="s">
        <v>206</v>
      </c>
      <c r="O61" s="267">
        <v>54</v>
      </c>
      <c r="P61" s="264" t="s">
        <v>398</v>
      </c>
      <c r="Q61" s="282" t="s">
        <v>574</v>
      </c>
      <c r="R61" s="281"/>
      <c r="S61" s="281" t="s">
        <v>278</v>
      </c>
      <c r="T61" s="282">
        <v>1</v>
      </c>
      <c r="U61" s="283">
        <v>2752.68</v>
      </c>
      <c r="V61" s="287">
        <v>2752.68</v>
      </c>
      <c r="W61" s="282">
        <v>1</v>
      </c>
      <c r="X61" s="283">
        <v>2752.68</v>
      </c>
      <c r="Y61" s="270">
        <v>2752.68</v>
      </c>
      <c r="Z61" s="282">
        <v>1</v>
      </c>
      <c r="AA61" s="270">
        <v>3027.948</v>
      </c>
      <c r="AB61" s="270">
        <v>3027.948</v>
      </c>
      <c r="AC61" s="271">
        <f t="shared" si="0"/>
        <v>8533.307999999999</v>
      </c>
      <c r="AD61" s="271"/>
      <c r="AE61" s="280" t="s">
        <v>775</v>
      </c>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row>
    <row r="62" spans="1:92" s="109" customFormat="1" ht="112.5" customHeight="1">
      <c r="A62" s="284"/>
      <c r="B62" s="263" t="s">
        <v>407</v>
      </c>
      <c r="C62" s="264" t="s">
        <v>388</v>
      </c>
      <c r="D62" s="264" t="s">
        <v>773</v>
      </c>
      <c r="E62" s="266" t="s">
        <v>276</v>
      </c>
      <c r="F62" s="264" t="s">
        <v>575</v>
      </c>
      <c r="G62" s="264" t="s">
        <v>411</v>
      </c>
      <c r="H62" s="264" t="s">
        <v>576</v>
      </c>
      <c r="I62" s="266" t="s">
        <v>393</v>
      </c>
      <c r="J62" s="264" t="s">
        <v>394</v>
      </c>
      <c r="K62" s="264"/>
      <c r="L62" s="266" t="s">
        <v>309</v>
      </c>
      <c r="M62" s="266" t="s">
        <v>566</v>
      </c>
      <c r="N62" s="264" t="s">
        <v>206</v>
      </c>
      <c r="O62" s="266">
        <v>54</v>
      </c>
      <c r="P62" s="264" t="s">
        <v>398</v>
      </c>
      <c r="Q62" s="264" t="s">
        <v>577</v>
      </c>
      <c r="R62" s="264"/>
      <c r="S62" s="264" t="s">
        <v>578</v>
      </c>
      <c r="T62" s="269">
        <v>4000</v>
      </c>
      <c r="U62" s="287">
        <v>7.59</v>
      </c>
      <c r="V62" s="287">
        <v>30360</v>
      </c>
      <c r="W62" s="269">
        <v>4000</v>
      </c>
      <c r="X62" s="270">
        <v>7.59</v>
      </c>
      <c r="Y62" s="270">
        <v>30360</v>
      </c>
      <c r="Z62" s="269">
        <v>4000</v>
      </c>
      <c r="AA62" s="270">
        <v>8.349</v>
      </c>
      <c r="AB62" s="270">
        <v>33396</v>
      </c>
      <c r="AC62" s="271">
        <f t="shared" si="0"/>
        <v>94116</v>
      </c>
      <c r="AD62" s="271"/>
      <c r="AE62" s="279" t="s">
        <v>579</v>
      </c>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row>
    <row r="63" spans="1:32" ht="219.75" customHeight="1">
      <c r="A63" s="254" t="s">
        <v>734</v>
      </c>
      <c r="B63" s="263" t="s">
        <v>452</v>
      </c>
      <c r="C63" s="264" t="s">
        <v>296</v>
      </c>
      <c r="D63" s="301" t="s">
        <v>667</v>
      </c>
      <c r="E63" s="254" t="s">
        <v>193</v>
      </c>
      <c r="F63" s="264" t="s">
        <v>580</v>
      </c>
      <c r="G63" s="264" t="s">
        <v>668</v>
      </c>
      <c r="H63" s="264" t="s">
        <v>581</v>
      </c>
      <c r="I63" s="266"/>
      <c r="J63" s="264" t="s">
        <v>196</v>
      </c>
      <c r="K63" s="264" t="s">
        <v>197</v>
      </c>
      <c r="L63" s="264" t="s">
        <v>197</v>
      </c>
      <c r="M63" s="266" t="s">
        <v>238</v>
      </c>
      <c r="N63" s="264" t="s">
        <v>397</v>
      </c>
      <c r="O63" s="266">
        <v>61</v>
      </c>
      <c r="P63" s="264" t="s">
        <v>176</v>
      </c>
      <c r="Q63" s="281" t="s">
        <v>732</v>
      </c>
      <c r="R63" s="281"/>
      <c r="S63" s="281"/>
      <c r="T63" s="286"/>
      <c r="U63" s="287">
        <v>0</v>
      </c>
      <c r="V63" s="287">
        <v>0</v>
      </c>
      <c r="W63" s="286">
        <v>7</v>
      </c>
      <c r="X63" s="297">
        <v>1500</v>
      </c>
      <c r="Y63" s="297">
        <v>10500</v>
      </c>
      <c r="Z63" s="286"/>
      <c r="AA63" s="270">
        <v>0</v>
      </c>
      <c r="AB63" s="270">
        <v>0</v>
      </c>
      <c r="AC63" s="271">
        <f t="shared" si="0"/>
        <v>10500</v>
      </c>
      <c r="AD63" s="271" t="s">
        <v>196</v>
      </c>
      <c r="AE63" s="279" t="s">
        <v>733</v>
      </c>
      <c r="AF63" s="234"/>
    </row>
    <row r="64" spans="1:92" s="109" customFormat="1" ht="159" customHeight="1">
      <c r="A64" s="284"/>
      <c r="B64" s="263" t="s">
        <v>407</v>
      </c>
      <c r="C64" s="264" t="s">
        <v>388</v>
      </c>
      <c r="D64" s="264" t="s">
        <v>773</v>
      </c>
      <c r="E64" s="266" t="s">
        <v>276</v>
      </c>
      <c r="F64" s="264" t="s">
        <v>582</v>
      </c>
      <c r="G64" s="264" t="s">
        <v>411</v>
      </c>
      <c r="H64" s="264" t="s">
        <v>583</v>
      </c>
      <c r="I64" s="266" t="s">
        <v>393</v>
      </c>
      <c r="J64" s="264"/>
      <c r="K64" s="264"/>
      <c r="L64" s="264" t="s">
        <v>281</v>
      </c>
      <c r="M64" s="266" t="s">
        <v>566</v>
      </c>
      <c r="N64" s="264" t="s">
        <v>206</v>
      </c>
      <c r="O64" s="266">
        <v>54</v>
      </c>
      <c r="P64" s="264" t="s">
        <v>398</v>
      </c>
      <c r="Q64" s="267" t="s">
        <v>584</v>
      </c>
      <c r="R64" s="264"/>
      <c r="S64" s="264"/>
      <c r="T64" s="269">
        <v>6</v>
      </c>
      <c r="U64" s="270">
        <v>2616.6</v>
      </c>
      <c r="V64" s="270">
        <v>15699.6</v>
      </c>
      <c r="W64" s="269">
        <v>6</v>
      </c>
      <c r="X64" s="270">
        <v>2825.92</v>
      </c>
      <c r="Y64" s="270">
        <v>16955.52</v>
      </c>
      <c r="Z64" s="269">
        <v>6</v>
      </c>
      <c r="AA64" s="270">
        <v>3108.512</v>
      </c>
      <c r="AB64" s="270">
        <v>18651.072</v>
      </c>
      <c r="AC64" s="271">
        <f t="shared" si="0"/>
        <v>51306.192</v>
      </c>
      <c r="AD64" s="271"/>
      <c r="AE64" s="279" t="s">
        <v>585</v>
      </c>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row>
    <row r="65" spans="1:92" s="109" customFormat="1" ht="120.75" customHeight="1">
      <c r="A65" s="284"/>
      <c r="B65" s="263" t="s">
        <v>407</v>
      </c>
      <c r="C65" s="264" t="s">
        <v>388</v>
      </c>
      <c r="D65" s="264" t="s">
        <v>773</v>
      </c>
      <c r="E65" s="266" t="s">
        <v>276</v>
      </c>
      <c r="F65" s="264" t="s">
        <v>586</v>
      </c>
      <c r="G65" s="264" t="s">
        <v>411</v>
      </c>
      <c r="H65" s="264" t="s">
        <v>587</v>
      </c>
      <c r="I65" s="266" t="s">
        <v>393</v>
      </c>
      <c r="J65" s="264"/>
      <c r="K65" s="266"/>
      <c r="L65" s="264" t="s">
        <v>406</v>
      </c>
      <c r="M65" s="266" t="s">
        <v>566</v>
      </c>
      <c r="N65" s="264" t="s">
        <v>206</v>
      </c>
      <c r="O65" s="266">
        <v>54</v>
      </c>
      <c r="P65" s="264" t="s">
        <v>398</v>
      </c>
      <c r="Q65" s="264" t="s">
        <v>588</v>
      </c>
      <c r="R65" s="264"/>
      <c r="S65" s="264" t="s">
        <v>178</v>
      </c>
      <c r="T65" s="269">
        <v>93480</v>
      </c>
      <c r="U65" s="270">
        <v>0.37</v>
      </c>
      <c r="V65" s="287">
        <v>34587.6</v>
      </c>
      <c r="W65" s="269">
        <v>93480</v>
      </c>
      <c r="X65" s="270">
        <v>0.37</v>
      </c>
      <c r="Y65" s="270">
        <v>34587.6</v>
      </c>
      <c r="Z65" s="269">
        <v>93480</v>
      </c>
      <c r="AA65" s="270">
        <v>0.40700000000000003</v>
      </c>
      <c r="AB65" s="270">
        <v>38046.36</v>
      </c>
      <c r="AC65" s="271">
        <f t="shared" si="0"/>
        <v>107221.56</v>
      </c>
      <c r="AD65" s="271"/>
      <c r="AE65" s="280" t="s">
        <v>589</v>
      </c>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122"/>
      <c r="CK65" s="122"/>
      <c r="CL65" s="122"/>
      <c r="CM65" s="122"/>
      <c r="CN65" s="122"/>
    </row>
    <row r="66" spans="1:92" s="109" customFormat="1" ht="123.75" customHeight="1">
      <c r="A66" s="284"/>
      <c r="B66" s="263" t="s">
        <v>407</v>
      </c>
      <c r="C66" s="264" t="s">
        <v>241</v>
      </c>
      <c r="D66" s="264" t="s">
        <v>773</v>
      </c>
      <c r="E66" s="266" t="s">
        <v>276</v>
      </c>
      <c r="F66" s="264" t="s">
        <v>590</v>
      </c>
      <c r="G66" s="264" t="s">
        <v>411</v>
      </c>
      <c r="H66" s="264" t="s">
        <v>587</v>
      </c>
      <c r="I66" s="266" t="s">
        <v>393</v>
      </c>
      <c r="J66" s="264"/>
      <c r="K66" s="264"/>
      <c r="L66" s="264" t="s">
        <v>406</v>
      </c>
      <c r="M66" s="266" t="s">
        <v>591</v>
      </c>
      <c r="N66" s="264" t="s">
        <v>528</v>
      </c>
      <c r="O66" s="266">
        <v>54</v>
      </c>
      <c r="P66" s="264" t="s">
        <v>398</v>
      </c>
      <c r="Q66" s="264" t="s">
        <v>588</v>
      </c>
      <c r="R66" s="264"/>
      <c r="S66" s="264" t="s">
        <v>178</v>
      </c>
      <c r="T66" s="269">
        <v>29520</v>
      </c>
      <c r="U66" s="270">
        <v>0.37</v>
      </c>
      <c r="V66" s="287">
        <v>10922.4</v>
      </c>
      <c r="W66" s="269">
        <v>29520</v>
      </c>
      <c r="X66" s="270">
        <v>0.37</v>
      </c>
      <c r="Y66" s="270">
        <v>10922.4</v>
      </c>
      <c r="Z66" s="269">
        <v>29520</v>
      </c>
      <c r="AA66" s="270">
        <v>0.40700000000000003</v>
      </c>
      <c r="AB66" s="270">
        <v>12014.64</v>
      </c>
      <c r="AC66" s="271">
        <f t="shared" si="0"/>
        <v>33859.44</v>
      </c>
      <c r="AD66" s="271"/>
      <c r="AE66" s="280" t="s">
        <v>632</v>
      </c>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2"/>
      <c r="CK66" s="122"/>
      <c r="CL66" s="122"/>
      <c r="CM66" s="122"/>
      <c r="CN66" s="122"/>
    </row>
    <row r="67" spans="1:92" s="109" customFormat="1" ht="120.75" customHeight="1">
      <c r="A67" s="284"/>
      <c r="B67" s="263" t="s">
        <v>407</v>
      </c>
      <c r="C67" s="264" t="s">
        <v>241</v>
      </c>
      <c r="D67" s="264" t="s">
        <v>409</v>
      </c>
      <c r="E67" s="266" t="s">
        <v>276</v>
      </c>
      <c r="F67" s="264" t="s">
        <v>365</v>
      </c>
      <c r="G67" s="264" t="s">
        <v>411</v>
      </c>
      <c r="H67" s="264" t="s">
        <v>366</v>
      </c>
      <c r="I67" s="266" t="s">
        <v>393</v>
      </c>
      <c r="J67" s="264"/>
      <c r="K67" s="264"/>
      <c r="L67" s="264" t="s">
        <v>281</v>
      </c>
      <c r="M67" s="266" t="s">
        <v>566</v>
      </c>
      <c r="N67" s="264" t="s">
        <v>206</v>
      </c>
      <c r="O67" s="266">
        <v>54</v>
      </c>
      <c r="P67" s="264" t="s">
        <v>398</v>
      </c>
      <c r="Q67" s="264" t="s">
        <v>367</v>
      </c>
      <c r="R67" s="264"/>
      <c r="S67" s="264" t="s">
        <v>191</v>
      </c>
      <c r="T67" s="269">
        <v>1</v>
      </c>
      <c r="U67" s="287">
        <v>1000</v>
      </c>
      <c r="V67" s="287">
        <v>1000</v>
      </c>
      <c r="W67" s="269">
        <v>3</v>
      </c>
      <c r="X67" s="270">
        <v>2341.66</v>
      </c>
      <c r="Y67" s="270">
        <v>7024.98</v>
      </c>
      <c r="Z67" s="269">
        <v>3</v>
      </c>
      <c r="AA67" s="270">
        <v>2575.826</v>
      </c>
      <c r="AB67" s="270">
        <v>7727.478</v>
      </c>
      <c r="AC67" s="271">
        <f t="shared" si="0"/>
        <v>15752.457999999999</v>
      </c>
      <c r="AD67" s="271"/>
      <c r="AE67" s="279" t="s">
        <v>318</v>
      </c>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2"/>
      <c r="CK67" s="122"/>
      <c r="CL67" s="122"/>
      <c r="CM67" s="122"/>
      <c r="CN67" s="122"/>
    </row>
    <row r="68" spans="1:92" s="109" customFormat="1" ht="153" customHeight="1">
      <c r="A68" s="284"/>
      <c r="B68" s="263" t="s">
        <v>407</v>
      </c>
      <c r="C68" s="264" t="s">
        <v>421</v>
      </c>
      <c r="D68" s="264" t="s">
        <v>409</v>
      </c>
      <c r="E68" s="266" t="s">
        <v>276</v>
      </c>
      <c r="F68" s="264" t="s">
        <v>337</v>
      </c>
      <c r="G68" s="264" t="s">
        <v>411</v>
      </c>
      <c r="H68" s="264" t="s">
        <v>338</v>
      </c>
      <c r="I68" s="266" t="s">
        <v>393</v>
      </c>
      <c r="J68" s="264" t="s">
        <v>405</v>
      </c>
      <c r="K68" s="264"/>
      <c r="L68" s="264" t="s">
        <v>277</v>
      </c>
      <c r="M68" s="266" t="s">
        <v>566</v>
      </c>
      <c r="N68" s="264" t="s">
        <v>206</v>
      </c>
      <c r="O68" s="266">
        <v>51</v>
      </c>
      <c r="P68" s="264" t="s">
        <v>207</v>
      </c>
      <c r="Q68" s="264" t="s">
        <v>339</v>
      </c>
      <c r="R68" s="264"/>
      <c r="S68" s="264" t="s">
        <v>340</v>
      </c>
      <c r="T68" s="269">
        <v>27551</v>
      </c>
      <c r="U68" s="287">
        <v>58.7196</v>
      </c>
      <c r="V68" s="287">
        <v>1617783.6996</v>
      </c>
      <c r="W68" s="269">
        <v>27551</v>
      </c>
      <c r="X68" s="270">
        <v>63.72</v>
      </c>
      <c r="Y68" s="270">
        <v>1755549.72</v>
      </c>
      <c r="Z68" s="269">
        <v>27551</v>
      </c>
      <c r="AA68" s="270">
        <v>70.092</v>
      </c>
      <c r="AB68" s="270">
        <v>1931104.692</v>
      </c>
      <c r="AC68" s="271">
        <f t="shared" si="0"/>
        <v>5304438.1115999995</v>
      </c>
      <c r="AD68" s="271"/>
      <c r="AE68" s="280" t="s">
        <v>341</v>
      </c>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row>
    <row r="69" spans="1:92" s="109" customFormat="1" ht="153" customHeight="1">
      <c r="A69" s="284"/>
      <c r="B69" s="263" t="s">
        <v>407</v>
      </c>
      <c r="C69" s="264" t="s">
        <v>421</v>
      </c>
      <c r="D69" s="264" t="s">
        <v>773</v>
      </c>
      <c r="E69" s="266" t="s">
        <v>276</v>
      </c>
      <c r="F69" s="264" t="s">
        <v>342</v>
      </c>
      <c r="G69" s="264" t="s">
        <v>411</v>
      </c>
      <c r="H69" s="264" t="s">
        <v>338</v>
      </c>
      <c r="I69" s="266" t="s">
        <v>393</v>
      </c>
      <c r="J69" s="264" t="s">
        <v>405</v>
      </c>
      <c r="K69" s="264"/>
      <c r="L69" s="264" t="s">
        <v>277</v>
      </c>
      <c r="M69" s="266" t="s">
        <v>591</v>
      </c>
      <c r="N69" s="264" t="s">
        <v>528</v>
      </c>
      <c r="O69" s="266">
        <v>51</v>
      </c>
      <c r="P69" s="264" t="s">
        <v>207</v>
      </c>
      <c r="Q69" s="264" t="s">
        <v>343</v>
      </c>
      <c r="R69" s="264"/>
      <c r="S69" s="264" t="s">
        <v>340</v>
      </c>
      <c r="T69" s="269">
        <v>1</v>
      </c>
      <c r="U69" s="287">
        <v>655949.87</v>
      </c>
      <c r="V69" s="287">
        <v>655949.87</v>
      </c>
      <c r="W69" s="269">
        <v>1</v>
      </c>
      <c r="X69" s="270">
        <v>695306.86</v>
      </c>
      <c r="Y69" s="270">
        <v>695306.86</v>
      </c>
      <c r="Z69" s="269">
        <v>1</v>
      </c>
      <c r="AA69" s="270">
        <v>764837.5460000001</v>
      </c>
      <c r="AB69" s="270">
        <v>764837.5460000001</v>
      </c>
      <c r="AC69" s="271">
        <f t="shared" si="0"/>
        <v>2116094.276</v>
      </c>
      <c r="AD69" s="271"/>
      <c r="AE69" s="294" t="s">
        <v>344</v>
      </c>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c r="CJ69" s="122"/>
      <c r="CK69" s="122"/>
      <c r="CL69" s="122"/>
      <c r="CM69" s="122"/>
      <c r="CN69" s="122"/>
    </row>
    <row r="70" spans="1:32" ht="219.75" customHeight="1">
      <c r="A70" s="254">
        <v>23</v>
      </c>
      <c r="B70" s="263" t="s">
        <v>295</v>
      </c>
      <c r="C70" s="264" t="s">
        <v>285</v>
      </c>
      <c r="D70" s="264" t="s">
        <v>345</v>
      </c>
      <c r="E70" s="266" t="s">
        <v>410</v>
      </c>
      <c r="F70" s="264" t="s">
        <v>647</v>
      </c>
      <c r="G70" s="264" t="s">
        <v>327</v>
      </c>
      <c r="H70" s="264" t="s">
        <v>328</v>
      </c>
      <c r="I70" s="266" t="s">
        <v>412</v>
      </c>
      <c r="J70" s="264" t="s">
        <v>347</v>
      </c>
      <c r="K70" s="264" t="s">
        <v>309</v>
      </c>
      <c r="L70" s="264" t="s">
        <v>309</v>
      </c>
      <c r="M70" s="266" t="s">
        <v>303</v>
      </c>
      <c r="N70" s="264" t="s">
        <v>397</v>
      </c>
      <c r="O70" s="266">
        <v>54</v>
      </c>
      <c r="P70" s="264" t="s">
        <v>398</v>
      </c>
      <c r="Q70" s="279" t="s">
        <v>776</v>
      </c>
      <c r="R70" s="264"/>
      <c r="S70" s="273" t="s">
        <v>348</v>
      </c>
      <c r="T70" s="269">
        <v>1</v>
      </c>
      <c r="U70" s="287">
        <v>50000</v>
      </c>
      <c r="V70" s="287">
        <v>50000</v>
      </c>
      <c r="W70" s="269">
        <v>1</v>
      </c>
      <c r="X70" s="287">
        <v>50000</v>
      </c>
      <c r="Y70" s="287">
        <v>50000</v>
      </c>
      <c r="Z70" s="269">
        <v>0</v>
      </c>
      <c r="AA70" s="287">
        <v>0</v>
      </c>
      <c r="AB70" s="287">
        <v>0</v>
      </c>
      <c r="AC70" s="271">
        <f t="shared" si="0"/>
        <v>100000</v>
      </c>
      <c r="AD70" s="271" t="s">
        <v>402</v>
      </c>
      <c r="AE70" s="279" t="s">
        <v>329</v>
      </c>
      <c r="AF70" s="235"/>
    </row>
    <row r="71" spans="1:92" s="109" customFormat="1" ht="102.75" customHeight="1">
      <c r="A71" s="284"/>
      <c r="B71" s="263" t="s">
        <v>407</v>
      </c>
      <c r="C71" s="264" t="s">
        <v>285</v>
      </c>
      <c r="D71" s="264" t="s">
        <v>773</v>
      </c>
      <c r="E71" s="266" t="s">
        <v>417</v>
      </c>
      <c r="F71" s="264" t="s">
        <v>349</v>
      </c>
      <c r="G71" s="264" t="s">
        <v>411</v>
      </c>
      <c r="H71" s="264" t="s">
        <v>350</v>
      </c>
      <c r="I71" s="266" t="s">
        <v>393</v>
      </c>
      <c r="J71" s="264"/>
      <c r="K71" s="264"/>
      <c r="L71" s="264" t="s">
        <v>406</v>
      </c>
      <c r="M71" s="266" t="s">
        <v>566</v>
      </c>
      <c r="N71" s="264" t="s">
        <v>206</v>
      </c>
      <c r="O71" s="266">
        <v>54</v>
      </c>
      <c r="P71" s="264" t="s">
        <v>398</v>
      </c>
      <c r="Q71" s="264" t="s">
        <v>351</v>
      </c>
      <c r="R71" s="264"/>
      <c r="S71" s="264" t="s">
        <v>352</v>
      </c>
      <c r="T71" s="269">
        <v>30</v>
      </c>
      <c r="U71" s="287">
        <v>100</v>
      </c>
      <c r="V71" s="287">
        <v>3000</v>
      </c>
      <c r="W71" s="269">
        <v>30</v>
      </c>
      <c r="X71" s="270">
        <v>100</v>
      </c>
      <c r="Y71" s="270">
        <v>3000</v>
      </c>
      <c r="Z71" s="269">
        <v>30</v>
      </c>
      <c r="AA71" s="270">
        <v>110</v>
      </c>
      <c r="AB71" s="270">
        <v>3300</v>
      </c>
      <c r="AC71" s="271">
        <f t="shared" si="0"/>
        <v>9300</v>
      </c>
      <c r="AD71" s="271"/>
      <c r="AE71" s="280" t="s">
        <v>353</v>
      </c>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c r="CL71" s="122"/>
      <c r="CM71" s="122"/>
      <c r="CN71" s="122"/>
    </row>
    <row r="72" spans="1:92" s="109" customFormat="1" ht="114.75" customHeight="1">
      <c r="A72" s="284"/>
      <c r="B72" s="263" t="s">
        <v>407</v>
      </c>
      <c r="C72" s="264" t="s">
        <v>285</v>
      </c>
      <c r="D72" s="264" t="s">
        <v>773</v>
      </c>
      <c r="E72" s="266" t="s">
        <v>276</v>
      </c>
      <c r="F72" s="264" t="s">
        <v>354</v>
      </c>
      <c r="G72" s="264" t="s">
        <v>411</v>
      </c>
      <c r="H72" s="264" t="s">
        <v>355</v>
      </c>
      <c r="I72" s="266" t="s">
        <v>558</v>
      </c>
      <c r="J72" s="264" t="s">
        <v>356</v>
      </c>
      <c r="K72" s="264"/>
      <c r="L72" s="264" t="s">
        <v>406</v>
      </c>
      <c r="M72" s="266" t="s">
        <v>566</v>
      </c>
      <c r="N72" s="264" t="s">
        <v>206</v>
      </c>
      <c r="O72" s="254">
        <v>51</v>
      </c>
      <c r="P72" s="273" t="s">
        <v>207</v>
      </c>
      <c r="Q72" s="264" t="s">
        <v>357</v>
      </c>
      <c r="R72" s="264"/>
      <c r="S72" s="273" t="s">
        <v>220</v>
      </c>
      <c r="T72" s="269">
        <v>25</v>
      </c>
      <c r="U72" s="287">
        <v>58.59</v>
      </c>
      <c r="V72" s="287">
        <v>1464.75</v>
      </c>
      <c r="W72" s="269">
        <v>25</v>
      </c>
      <c r="X72" s="270">
        <v>63.72</v>
      </c>
      <c r="Y72" s="270">
        <v>1593</v>
      </c>
      <c r="Z72" s="269">
        <v>25</v>
      </c>
      <c r="AA72" s="270">
        <v>70.092</v>
      </c>
      <c r="AB72" s="270">
        <v>1752.3</v>
      </c>
      <c r="AC72" s="271">
        <f t="shared" si="0"/>
        <v>4810.05</v>
      </c>
      <c r="AD72" s="271"/>
      <c r="AE72" s="280" t="s">
        <v>358</v>
      </c>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row>
    <row r="73" spans="1:92" s="109" customFormat="1" ht="104.25" customHeight="1">
      <c r="A73" s="284"/>
      <c r="B73" s="263" t="s">
        <v>407</v>
      </c>
      <c r="C73" s="264" t="s">
        <v>285</v>
      </c>
      <c r="D73" s="264" t="s">
        <v>773</v>
      </c>
      <c r="E73" s="266" t="s">
        <v>276</v>
      </c>
      <c r="F73" s="264" t="s">
        <v>359</v>
      </c>
      <c r="G73" s="264" t="s">
        <v>411</v>
      </c>
      <c r="H73" s="264" t="s">
        <v>360</v>
      </c>
      <c r="I73" s="266" t="s">
        <v>393</v>
      </c>
      <c r="J73" s="264" t="s">
        <v>361</v>
      </c>
      <c r="K73" s="264"/>
      <c r="L73" s="264" t="s">
        <v>362</v>
      </c>
      <c r="M73" s="266" t="s">
        <v>566</v>
      </c>
      <c r="N73" s="264" t="s">
        <v>206</v>
      </c>
      <c r="O73" s="254">
        <v>51</v>
      </c>
      <c r="P73" s="273" t="s">
        <v>207</v>
      </c>
      <c r="Q73" s="264" t="s">
        <v>363</v>
      </c>
      <c r="R73" s="264"/>
      <c r="S73" s="273" t="s">
        <v>364</v>
      </c>
      <c r="T73" s="269">
        <v>800</v>
      </c>
      <c r="U73" s="287">
        <v>58.59</v>
      </c>
      <c r="V73" s="287">
        <v>46872</v>
      </c>
      <c r="W73" s="269">
        <v>800</v>
      </c>
      <c r="X73" s="270">
        <v>63.72</v>
      </c>
      <c r="Y73" s="270">
        <v>50976</v>
      </c>
      <c r="Z73" s="269">
        <v>800</v>
      </c>
      <c r="AA73" s="270">
        <v>70.092</v>
      </c>
      <c r="AB73" s="270">
        <v>56073.6</v>
      </c>
      <c r="AC73" s="271">
        <f t="shared" si="0"/>
        <v>153921.6</v>
      </c>
      <c r="AD73" s="271"/>
      <c r="AE73" s="274" t="s">
        <v>465</v>
      </c>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c r="CJ73" s="122"/>
      <c r="CK73" s="122"/>
      <c r="CL73" s="122"/>
      <c r="CM73" s="122"/>
      <c r="CN73" s="122"/>
    </row>
    <row r="74" spans="1:92" s="109" customFormat="1" ht="110.25" customHeight="1">
      <c r="A74" s="284"/>
      <c r="B74" s="263" t="s">
        <v>407</v>
      </c>
      <c r="C74" s="264" t="s">
        <v>285</v>
      </c>
      <c r="D74" s="264" t="s">
        <v>409</v>
      </c>
      <c r="E74" s="266" t="s">
        <v>410</v>
      </c>
      <c r="F74" s="264" t="s">
        <v>466</v>
      </c>
      <c r="G74" s="264" t="s">
        <v>411</v>
      </c>
      <c r="H74" s="264" t="s">
        <v>467</v>
      </c>
      <c r="I74" s="266" t="s">
        <v>393</v>
      </c>
      <c r="J74" s="264" t="s">
        <v>468</v>
      </c>
      <c r="K74" s="264"/>
      <c r="L74" s="264" t="s">
        <v>277</v>
      </c>
      <c r="M74" s="266" t="s">
        <v>566</v>
      </c>
      <c r="N74" s="264" t="s">
        <v>206</v>
      </c>
      <c r="O74" s="254">
        <v>51</v>
      </c>
      <c r="P74" s="264" t="s">
        <v>207</v>
      </c>
      <c r="Q74" s="264" t="s">
        <v>469</v>
      </c>
      <c r="R74" s="264"/>
      <c r="S74" s="273" t="s">
        <v>364</v>
      </c>
      <c r="T74" s="269">
        <v>50</v>
      </c>
      <c r="U74" s="287">
        <v>58.59</v>
      </c>
      <c r="V74" s="287">
        <v>2929.5</v>
      </c>
      <c r="W74" s="269">
        <v>50</v>
      </c>
      <c r="X74" s="270">
        <v>63.72</v>
      </c>
      <c r="Y74" s="270">
        <v>3186</v>
      </c>
      <c r="Z74" s="269">
        <v>50</v>
      </c>
      <c r="AA74" s="270">
        <v>70.092</v>
      </c>
      <c r="AB74" s="270">
        <v>3504.6</v>
      </c>
      <c r="AC74" s="271">
        <f t="shared" si="0"/>
        <v>9620.1</v>
      </c>
      <c r="AD74" s="271"/>
      <c r="AE74" s="279" t="s">
        <v>470</v>
      </c>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c r="CJ74" s="122"/>
      <c r="CK74" s="122"/>
      <c r="CL74" s="122"/>
      <c r="CM74" s="122"/>
      <c r="CN74" s="122"/>
    </row>
    <row r="75" spans="1:32" ht="266.25" customHeight="1">
      <c r="A75" s="254" t="s">
        <v>697</v>
      </c>
      <c r="B75" s="263" t="s">
        <v>452</v>
      </c>
      <c r="C75" s="264" t="s">
        <v>285</v>
      </c>
      <c r="D75" s="264" t="s">
        <v>769</v>
      </c>
      <c r="E75" s="266" t="s">
        <v>410</v>
      </c>
      <c r="F75" s="264" t="s">
        <v>471</v>
      </c>
      <c r="G75" s="264" t="s">
        <v>411</v>
      </c>
      <c r="H75" s="264" t="s">
        <v>346</v>
      </c>
      <c r="I75" s="266" t="s">
        <v>472</v>
      </c>
      <c r="J75" s="264" t="s">
        <v>347</v>
      </c>
      <c r="K75" s="264" t="s">
        <v>330</v>
      </c>
      <c r="L75" s="264" t="s">
        <v>330</v>
      </c>
      <c r="M75" s="266" t="s">
        <v>238</v>
      </c>
      <c r="N75" s="264" t="s">
        <v>397</v>
      </c>
      <c r="O75" s="266">
        <v>54</v>
      </c>
      <c r="P75" s="264" t="s">
        <v>398</v>
      </c>
      <c r="Q75" s="267" t="s">
        <v>680</v>
      </c>
      <c r="R75" s="264"/>
      <c r="S75" s="273" t="s">
        <v>473</v>
      </c>
      <c r="T75" s="286">
        <v>1</v>
      </c>
      <c r="U75" s="287">
        <f>63150-18000-1500</f>
        <v>43650</v>
      </c>
      <c r="V75" s="287">
        <f>+T75*U75</f>
        <v>43650</v>
      </c>
      <c r="W75" s="286">
        <v>1</v>
      </c>
      <c r="X75" s="270">
        <f>15900-1764</f>
        <v>14136</v>
      </c>
      <c r="Y75" s="270">
        <f>+W75*X75</f>
        <v>14136</v>
      </c>
      <c r="Z75" s="286">
        <v>1</v>
      </c>
      <c r="AA75" s="270">
        <f>93150-1800+1</f>
        <v>91351</v>
      </c>
      <c r="AB75" s="270">
        <f>+Z75*AA75</f>
        <v>91351</v>
      </c>
      <c r="AC75" s="271">
        <f t="shared" si="0"/>
        <v>149137</v>
      </c>
      <c r="AD75" s="271" t="s">
        <v>402</v>
      </c>
      <c r="AE75" s="305" t="s">
        <v>679</v>
      </c>
      <c r="AF75" s="234"/>
    </row>
    <row r="76" spans="1:92" s="109" customFormat="1" ht="159" customHeight="1">
      <c r="A76" s="284"/>
      <c r="B76" s="263" t="s">
        <v>407</v>
      </c>
      <c r="C76" s="264" t="s">
        <v>285</v>
      </c>
      <c r="D76" s="264" t="s">
        <v>409</v>
      </c>
      <c r="E76" s="266" t="s">
        <v>410</v>
      </c>
      <c r="F76" s="264" t="s">
        <v>474</v>
      </c>
      <c r="G76" s="264" t="s">
        <v>411</v>
      </c>
      <c r="H76" s="264" t="s">
        <v>475</v>
      </c>
      <c r="I76" s="266" t="s">
        <v>393</v>
      </c>
      <c r="J76" s="264" t="s">
        <v>476</v>
      </c>
      <c r="K76" s="264"/>
      <c r="L76" s="264" t="s">
        <v>281</v>
      </c>
      <c r="M76" s="266" t="s">
        <v>566</v>
      </c>
      <c r="N76" s="264" t="s">
        <v>206</v>
      </c>
      <c r="O76" s="254">
        <v>51</v>
      </c>
      <c r="P76" s="273" t="s">
        <v>207</v>
      </c>
      <c r="Q76" s="267" t="s">
        <v>477</v>
      </c>
      <c r="R76" s="264"/>
      <c r="S76" s="273" t="s">
        <v>478</v>
      </c>
      <c r="T76" s="269">
        <v>5050</v>
      </c>
      <c r="U76" s="287">
        <v>58.59</v>
      </c>
      <c r="V76" s="287">
        <v>295879.5</v>
      </c>
      <c r="W76" s="269">
        <v>5051</v>
      </c>
      <c r="X76" s="270">
        <v>63.72</v>
      </c>
      <c r="Y76" s="270">
        <v>321849.72</v>
      </c>
      <c r="Z76" s="269">
        <v>5051</v>
      </c>
      <c r="AA76" s="270">
        <v>70.092</v>
      </c>
      <c r="AB76" s="270">
        <v>354034.692</v>
      </c>
      <c r="AC76" s="271">
        <f t="shared" si="0"/>
        <v>971763.912</v>
      </c>
      <c r="AD76" s="271"/>
      <c r="AE76" s="293" t="s">
        <v>358</v>
      </c>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c r="CJ76" s="122"/>
      <c r="CK76" s="122"/>
      <c r="CL76" s="122"/>
      <c r="CM76" s="122"/>
      <c r="CN76" s="122"/>
    </row>
    <row r="77" spans="1:32" ht="266.25" customHeight="1">
      <c r="A77" s="254">
        <v>28</v>
      </c>
      <c r="B77" s="263" t="s">
        <v>452</v>
      </c>
      <c r="C77" s="264" t="s">
        <v>285</v>
      </c>
      <c r="D77" s="264" t="s">
        <v>769</v>
      </c>
      <c r="E77" s="266" t="s">
        <v>410</v>
      </c>
      <c r="F77" s="264" t="s">
        <v>471</v>
      </c>
      <c r="G77" s="264" t="s">
        <v>411</v>
      </c>
      <c r="H77" s="264" t="s">
        <v>346</v>
      </c>
      <c r="I77" s="266" t="s">
        <v>472</v>
      </c>
      <c r="J77" s="264" t="s">
        <v>347</v>
      </c>
      <c r="K77" s="264" t="s">
        <v>330</v>
      </c>
      <c r="L77" s="264" t="s">
        <v>330</v>
      </c>
      <c r="M77" s="266" t="s">
        <v>238</v>
      </c>
      <c r="N77" s="264" t="s">
        <v>397</v>
      </c>
      <c r="O77" s="266">
        <v>61</v>
      </c>
      <c r="P77" s="264" t="s">
        <v>176</v>
      </c>
      <c r="Q77" s="267" t="s">
        <v>677</v>
      </c>
      <c r="R77" s="264"/>
      <c r="S77" s="273" t="s">
        <v>178</v>
      </c>
      <c r="T77" s="286">
        <v>1</v>
      </c>
      <c r="U77" s="287">
        <v>18000</v>
      </c>
      <c r="V77" s="287">
        <f>+T77*U77</f>
        <v>18000</v>
      </c>
      <c r="W77" s="286">
        <v>0</v>
      </c>
      <c r="X77" s="270">
        <v>0</v>
      </c>
      <c r="Y77" s="270">
        <v>0</v>
      </c>
      <c r="Z77" s="286">
        <v>0</v>
      </c>
      <c r="AA77" s="270">
        <v>0</v>
      </c>
      <c r="AB77" s="270">
        <v>0</v>
      </c>
      <c r="AC77" s="271">
        <f>+V77+Y77+AB77</f>
        <v>18000</v>
      </c>
      <c r="AD77" s="271" t="s">
        <v>402</v>
      </c>
      <c r="AE77" s="266" t="s">
        <v>678</v>
      </c>
      <c r="AF77" s="234"/>
    </row>
    <row r="78" spans="1:32" ht="219.75" customHeight="1">
      <c r="A78" s="254">
        <v>29</v>
      </c>
      <c r="B78" s="263" t="s">
        <v>387</v>
      </c>
      <c r="C78" s="264" t="s">
        <v>285</v>
      </c>
      <c r="D78" s="264" t="s">
        <v>389</v>
      </c>
      <c r="E78" s="266" t="s">
        <v>225</v>
      </c>
      <c r="F78" s="264" t="s">
        <v>479</v>
      </c>
      <c r="G78" s="264" t="s">
        <v>411</v>
      </c>
      <c r="H78" s="264" t="s">
        <v>480</v>
      </c>
      <c r="I78" s="266" t="s">
        <v>393</v>
      </c>
      <c r="J78" s="264" t="s">
        <v>481</v>
      </c>
      <c r="K78" s="264" t="s">
        <v>395</v>
      </c>
      <c r="L78" s="264" t="s">
        <v>395</v>
      </c>
      <c r="M78" s="266" t="s">
        <v>396</v>
      </c>
      <c r="N78" s="264" t="s">
        <v>397</v>
      </c>
      <c r="O78" s="266">
        <v>54</v>
      </c>
      <c r="P78" s="264" t="s">
        <v>398</v>
      </c>
      <c r="Q78" s="264" t="s">
        <v>482</v>
      </c>
      <c r="R78" s="264"/>
      <c r="S78" s="273" t="s">
        <v>178</v>
      </c>
      <c r="T78" s="269">
        <v>12872</v>
      </c>
      <c r="U78" s="270">
        <v>7</v>
      </c>
      <c r="V78" s="270">
        <v>90104</v>
      </c>
      <c r="W78" s="269">
        <v>14212</v>
      </c>
      <c r="X78" s="270">
        <v>7</v>
      </c>
      <c r="Y78" s="270">
        <v>99484</v>
      </c>
      <c r="Z78" s="269">
        <v>15552</v>
      </c>
      <c r="AA78" s="270">
        <v>7</v>
      </c>
      <c r="AB78" s="270">
        <v>108864</v>
      </c>
      <c r="AC78" s="271">
        <f t="shared" si="0"/>
        <v>298452</v>
      </c>
      <c r="AD78" s="271" t="s">
        <v>402</v>
      </c>
      <c r="AE78" s="280" t="s">
        <v>698</v>
      </c>
      <c r="AF78" s="234"/>
    </row>
    <row r="79" spans="1:32" ht="219.75" customHeight="1">
      <c r="A79" s="254">
        <v>30</v>
      </c>
      <c r="B79" s="263" t="s">
        <v>387</v>
      </c>
      <c r="C79" s="264" t="s">
        <v>285</v>
      </c>
      <c r="D79" s="264" t="s">
        <v>484</v>
      </c>
      <c r="E79" s="266" t="s">
        <v>485</v>
      </c>
      <c r="F79" s="267" t="s">
        <v>486</v>
      </c>
      <c r="G79" s="267" t="s">
        <v>487</v>
      </c>
      <c r="H79" s="267" t="s">
        <v>488</v>
      </c>
      <c r="I79" s="266" t="s">
        <v>489</v>
      </c>
      <c r="J79" s="264" t="s">
        <v>490</v>
      </c>
      <c r="K79" s="266" t="s">
        <v>309</v>
      </c>
      <c r="L79" s="266" t="s">
        <v>309</v>
      </c>
      <c r="M79" s="266" t="s">
        <v>396</v>
      </c>
      <c r="N79" s="264" t="s">
        <v>397</v>
      </c>
      <c r="O79" s="266">
        <v>54</v>
      </c>
      <c r="P79" s="264" t="s">
        <v>398</v>
      </c>
      <c r="Q79" s="264" t="s">
        <v>331</v>
      </c>
      <c r="R79" s="264"/>
      <c r="S79" s="264" t="s">
        <v>278</v>
      </c>
      <c r="T79" s="269">
        <v>1</v>
      </c>
      <c r="U79" s="270">
        <v>27000</v>
      </c>
      <c r="V79" s="270">
        <v>27000</v>
      </c>
      <c r="W79" s="269">
        <v>1</v>
      </c>
      <c r="X79" s="270">
        <v>27000</v>
      </c>
      <c r="Y79" s="270">
        <v>27000</v>
      </c>
      <c r="Z79" s="269">
        <v>1</v>
      </c>
      <c r="AA79" s="270">
        <v>27000</v>
      </c>
      <c r="AB79" s="270">
        <v>27000</v>
      </c>
      <c r="AC79" s="271">
        <f t="shared" si="0"/>
        <v>81000</v>
      </c>
      <c r="AD79" s="271" t="s">
        <v>402</v>
      </c>
      <c r="AE79" s="306" t="s">
        <v>491</v>
      </c>
      <c r="AF79" s="234"/>
    </row>
    <row r="80" spans="1:33" ht="219.75" customHeight="1">
      <c r="A80" s="254">
        <v>32</v>
      </c>
      <c r="B80" s="263" t="s">
        <v>407</v>
      </c>
      <c r="C80" s="264" t="s">
        <v>285</v>
      </c>
      <c r="D80" s="264" t="s">
        <v>409</v>
      </c>
      <c r="E80" s="266" t="s">
        <v>152</v>
      </c>
      <c r="F80" s="264" t="s">
        <v>62</v>
      </c>
      <c r="G80" s="264" t="s">
        <v>411</v>
      </c>
      <c r="H80" s="264" t="s">
        <v>150</v>
      </c>
      <c r="I80" s="266" t="s">
        <v>412</v>
      </c>
      <c r="J80" s="264" t="s">
        <v>476</v>
      </c>
      <c r="K80" s="266" t="s">
        <v>309</v>
      </c>
      <c r="L80" s="266" t="s">
        <v>309</v>
      </c>
      <c r="M80" s="266" t="s">
        <v>414</v>
      </c>
      <c r="N80" s="264" t="s">
        <v>397</v>
      </c>
      <c r="O80" s="266">
        <v>61</v>
      </c>
      <c r="P80" s="264" t="s">
        <v>176</v>
      </c>
      <c r="Q80" s="267" t="s">
        <v>777</v>
      </c>
      <c r="R80" s="264"/>
      <c r="S80" s="273" t="s">
        <v>153</v>
      </c>
      <c r="T80" s="277">
        <v>39</v>
      </c>
      <c r="U80" s="278">
        <v>2500</v>
      </c>
      <c r="V80" s="278">
        <v>97500</v>
      </c>
      <c r="W80" s="269">
        <v>0</v>
      </c>
      <c r="X80" s="270">
        <v>0</v>
      </c>
      <c r="Y80" s="270">
        <v>0</v>
      </c>
      <c r="Z80" s="269">
        <v>0</v>
      </c>
      <c r="AA80" s="270">
        <v>0</v>
      </c>
      <c r="AB80" s="270">
        <v>0</v>
      </c>
      <c r="AC80" s="271">
        <f t="shared" si="0"/>
        <v>97500</v>
      </c>
      <c r="AD80" s="271" t="s">
        <v>402</v>
      </c>
      <c r="AE80" s="279" t="s">
        <v>151</v>
      </c>
      <c r="AG80" s="109"/>
    </row>
    <row r="81" spans="1:32" ht="219.75" customHeight="1">
      <c r="A81" s="254">
        <v>33</v>
      </c>
      <c r="B81" s="263" t="s">
        <v>387</v>
      </c>
      <c r="C81" s="264" t="s">
        <v>285</v>
      </c>
      <c r="D81" s="264" t="s">
        <v>389</v>
      </c>
      <c r="E81" s="266" t="s">
        <v>492</v>
      </c>
      <c r="F81" s="264" t="s">
        <v>493</v>
      </c>
      <c r="G81" s="307" t="s">
        <v>391</v>
      </c>
      <c r="H81" s="264" t="s">
        <v>494</v>
      </c>
      <c r="I81" s="266"/>
      <c r="J81" s="264"/>
      <c r="K81" s="264" t="s">
        <v>446</v>
      </c>
      <c r="L81" s="264" t="s">
        <v>446</v>
      </c>
      <c r="M81" s="266" t="s">
        <v>396</v>
      </c>
      <c r="N81" s="264" t="s">
        <v>397</v>
      </c>
      <c r="O81" s="266">
        <v>54</v>
      </c>
      <c r="P81" s="264" t="s">
        <v>398</v>
      </c>
      <c r="Q81" s="308" t="s">
        <v>495</v>
      </c>
      <c r="R81" s="273"/>
      <c r="S81" s="309">
        <v>0</v>
      </c>
      <c r="T81" s="269">
        <v>6</v>
      </c>
      <c r="U81" s="270">
        <v>3250</v>
      </c>
      <c r="V81" s="270">
        <f>+T81*U81</f>
        <v>19500</v>
      </c>
      <c r="W81" s="269">
        <v>6</v>
      </c>
      <c r="X81" s="270">
        <v>3250</v>
      </c>
      <c r="Y81" s="270">
        <f>+W81*X81</f>
        <v>19500</v>
      </c>
      <c r="Z81" s="269">
        <v>6</v>
      </c>
      <c r="AA81" s="270">
        <v>3250</v>
      </c>
      <c r="AB81" s="270">
        <f>+Z81*AA81</f>
        <v>19500</v>
      </c>
      <c r="AC81" s="271">
        <f t="shared" si="0"/>
        <v>58500</v>
      </c>
      <c r="AD81" s="271" t="s">
        <v>196</v>
      </c>
      <c r="AE81" s="280" t="s">
        <v>496</v>
      </c>
      <c r="AF81" s="234"/>
    </row>
    <row r="82" spans="1:32" ht="219.75" customHeight="1">
      <c r="A82" s="254">
        <v>34</v>
      </c>
      <c r="B82" s="255" t="s">
        <v>452</v>
      </c>
      <c r="C82" s="267" t="s">
        <v>435</v>
      </c>
      <c r="D82" s="264" t="s">
        <v>544</v>
      </c>
      <c r="E82" s="266" t="s">
        <v>404</v>
      </c>
      <c r="F82" s="264" t="s">
        <v>497</v>
      </c>
      <c r="G82" s="267" t="s">
        <v>428</v>
      </c>
      <c r="H82" s="285" t="s">
        <v>778</v>
      </c>
      <c r="I82" s="266" t="s">
        <v>393</v>
      </c>
      <c r="J82" s="264" t="s">
        <v>324</v>
      </c>
      <c r="K82" s="264" t="s">
        <v>325</v>
      </c>
      <c r="L82" s="264" t="s">
        <v>325</v>
      </c>
      <c r="M82" s="266" t="s">
        <v>238</v>
      </c>
      <c r="N82" s="264" t="s">
        <v>397</v>
      </c>
      <c r="O82" s="266">
        <v>54</v>
      </c>
      <c r="P82" s="264" t="s">
        <v>398</v>
      </c>
      <c r="Q82" s="264" t="s">
        <v>498</v>
      </c>
      <c r="R82" s="264"/>
      <c r="S82" s="273" t="s">
        <v>606</v>
      </c>
      <c r="T82" s="286">
        <v>1</v>
      </c>
      <c r="U82" s="270">
        <v>4322.46</v>
      </c>
      <c r="V82" s="270">
        <v>4322.46</v>
      </c>
      <c r="W82" s="286">
        <v>1</v>
      </c>
      <c r="X82" s="270">
        <v>4322.46</v>
      </c>
      <c r="Y82" s="270">
        <v>4322.46</v>
      </c>
      <c r="Z82" s="286">
        <v>1</v>
      </c>
      <c r="AA82" s="270">
        <v>4322.46</v>
      </c>
      <c r="AB82" s="270">
        <v>4322.46</v>
      </c>
      <c r="AC82" s="271">
        <f t="shared" si="0"/>
        <v>12967.380000000001</v>
      </c>
      <c r="AD82" s="271" t="s">
        <v>402</v>
      </c>
      <c r="AE82" s="280" t="s">
        <v>438</v>
      </c>
      <c r="AF82" s="234"/>
    </row>
    <row r="83" spans="1:31" ht="219.75" customHeight="1">
      <c r="A83" s="254">
        <v>35</v>
      </c>
      <c r="B83" s="263" t="s">
        <v>597</v>
      </c>
      <c r="C83" s="264" t="s">
        <v>421</v>
      </c>
      <c r="D83" s="264" t="s">
        <v>499</v>
      </c>
      <c r="E83" s="266" t="s">
        <v>500</v>
      </c>
      <c r="F83" s="264" t="s">
        <v>425</v>
      </c>
      <c r="G83" s="264" t="s">
        <v>672</v>
      </c>
      <c r="H83" s="264" t="s">
        <v>195</v>
      </c>
      <c r="I83" s="266" t="s">
        <v>180</v>
      </c>
      <c r="J83" s="264" t="s">
        <v>196</v>
      </c>
      <c r="K83" s="264" t="s">
        <v>197</v>
      </c>
      <c r="L83" s="264" t="s">
        <v>197</v>
      </c>
      <c r="M83" s="266" t="s">
        <v>502</v>
      </c>
      <c r="N83" s="264" t="s">
        <v>397</v>
      </c>
      <c r="O83" s="266">
        <v>61</v>
      </c>
      <c r="P83" s="264" t="s">
        <v>176</v>
      </c>
      <c r="Q83" s="281" t="s">
        <v>503</v>
      </c>
      <c r="R83" s="281"/>
      <c r="S83" s="281" t="s">
        <v>178</v>
      </c>
      <c r="T83" s="310">
        <v>0</v>
      </c>
      <c r="U83" s="292">
        <v>0</v>
      </c>
      <c r="V83" s="297">
        <v>0</v>
      </c>
      <c r="W83" s="310">
        <v>2</v>
      </c>
      <c r="X83" s="292">
        <v>72500</v>
      </c>
      <c r="Y83" s="297">
        <v>145000</v>
      </c>
      <c r="Z83" s="282"/>
      <c r="AA83" s="270">
        <v>79750</v>
      </c>
      <c r="AB83" s="270">
        <v>0</v>
      </c>
      <c r="AC83" s="271">
        <f t="shared" si="0"/>
        <v>145000</v>
      </c>
      <c r="AD83" s="271" t="s">
        <v>239</v>
      </c>
      <c r="AE83" s="294" t="s">
        <v>779</v>
      </c>
    </row>
    <row r="84" spans="1:31" ht="219.75" customHeight="1">
      <c r="A84" s="254">
        <v>36</v>
      </c>
      <c r="B84" s="263" t="s">
        <v>597</v>
      </c>
      <c r="C84" s="264" t="s">
        <v>421</v>
      </c>
      <c r="D84" s="264" t="s">
        <v>499</v>
      </c>
      <c r="E84" s="266" t="s">
        <v>500</v>
      </c>
      <c r="F84" s="264" t="s">
        <v>425</v>
      </c>
      <c r="G84" s="264" t="s">
        <v>672</v>
      </c>
      <c r="H84" s="264" t="s">
        <v>195</v>
      </c>
      <c r="I84" s="266" t="s">
        <v>180</v>
      </c>
      <c r="J84" s="264" t="s">
        <v>196</v>
      </c>
      <c r="K84" s="264" t="s">
        <v>197</v>
      </c>
      <c r="L84" s="264" t="s">
        <v>197</v>
      </c>
      <c r="M84" s="266" t="s">
        <v>502</v>
      </c>
      <c r="N84" s="264" t="s">
        <v>397</v>
      </c>
      <c r="O84" s="266">
        <v>61</v>
      </c>
      <c r="P84" s="264" t="s">
        <v>176</v>
      </c>
      <c r="Q84" s="311" t="s">
        <v>504</v>
      </c>
      <c r="R84" s="311"/>
      <c r="S84" s="311" t="s">
        <v>178</v>
      </c>
      <c r="T84" s="310">
        <v>17</v>
      </c>
      <c r="U84" s="292">
        <v>500</v>
      </c>
      <c r="V84" s="297">
        <v>8500</v>
      </c>
      <c r="W84" s="310">
        <v>25</v>
      </c>
      <c r="X84" s="302">
        <v>500</v>
      </c>
      <c r="Y84" s="297">
        <v>12500</v>
      </c>
      <c r="Z84" s="310">
        <v>25</v>
      </c>
      <c r="AA84" s="312">
        <v>500</v>
      </c>
      <c r="AB84" s="297">
        <v>12500</v>
      </c>
      <c r="AC84" s="271">
        <f t="shared" si="0"/>
        <v>33500</v>
      </c>
      <c r="AD84" s="313" t="s">
        <v>239</v>
      </c>
      <c r="AE84" s="314" t="s">
        <v>664</v>
      </c>
    </row>
    <row r="85" spans="1:31" ht="219.75" customHeight="1">
      <c r="A85" s="254">
        <v>37</v>
      </c>
      <c r="B85" s="263" t="s">
        <v>597</v>
      </c>
      <c r="C85" s="264" t="s">
        <v>421</v>
      </c>
      <c r="D85" s="264" t="s">
        <v>426</v>
      </c>
      <c r="E85" s="266" t="s">
        <v>500</v>
      </c>
      <c r="F85" s="264" t="s">
        <v>501</v>
      </c>
      <c r="G85" s="264" t="s">
        <v>672</v>
      </c>
      <c r="H85" s="264" t="s">
        <v>195</v>
      </c>
      <c r="I85" s="266" t="s">
        <v>180</v>
      </c>
      <c r="J85" s="264" t="s">
        <v>196</v>
      </c>
      <c r="K85" s="264" t="s">
        <v>197</v>
      </c>
      <c r="L85" s="264" t="s">
        <v>197</v>
      </c>
      <c r="M85" s="266" t="s">
        <v>502</v>
      </c>
      <c r="N85" s="264" t="s">
        <v>397</v>
      </c>
      <c r="O85" s="266">
        <v>61</v>
      </c>
      <c r="P85" s="264" t="s">
        <v>176</v>
      </c>
      <c r="Q85" s="311" t="s">
        <v>505</v>
      </c>
      <c r="R85" s="311"/>
      <c r="S85" s="311" t="s">
        <v>178</v>
      </c>
      <c r="T85" s="310">
        <v>5</v>
      </c>
      <c r="U85" s="292">
        <v>1000</v>
      </c>
      <c r="V85" s="297">
        <v>5000</v>
      </c>
      <c r="W85" s="310">
        <v>5</v>
      </c>
      <c r="X85" s="302">
        <v>1000</v>
      </c>
      <c r="Y85" s="297">
        <v>5000</v>
      </c>
      <c r="Z85" s="310">
        <v>5</v>
      </c>
      <c r="AA85" s="312">
        <v>1000</v>
      </c>
      <c r="AB85" s="297">
        <v>5000</v>
      </c>
      <c r="AC85" s="271">
        <f t="shared" si="0"/>
        <v>15000</v>
      </c>
      <c r="AD85" s="313" t="s">
        <v>239</v>
      </c>
      <c r="AE85" s="280" t="s">
        <v>644</v>
      </c>
    </row>
    <row r="86" spans="1:92" s="109" customFormat="1" ht="141" customHeight="1">
      <c r="A86" s="284"/>
      <c r="B86" s="263" t="s">
        <v>407</v>
      </c>
      <c r="C86" s="264" t="s">
        <v>421</v>
      </c>
      <c r="D86" s="264" t="s">
        <v>512</v>
      </c>
      <c r="E86" s="266" t="s">
        <v>507</v>
      </c>
      <c r="F86" s="264" t="s">
        <v>508</v>
      </c>
      <c r="G86" s="264" t="s">
        <v>411</v>
      </c>
      <c r="H86" s="264" t="s">
        <v>509</v>
      </c>
      <c r="I86" s="266" t="s">
        <v>290</v>
      </c>
      <c r="J86" s="264"/>
      <c r="K86" s="264"/>
      <c r="L86" s="264" t="s">
        <v>277</v>
      </c>
      <c r="M86" s="266" t="s">
        <v>566</v>
      </c>
      <c r="N86" s="264" t="s">
        <v>206</v>
      </c>
      <c r="O86" s="266">
        <v>54</v>
      </c>
      <c r="P86" s="264" t="s">
        <v>398</v>
      </c>
      <c r="Q86" s="264" t="s">
        <v>510</v>
      </c>
      <c r="R86" s="264"/>
      <c r="S86" s="264" t="s">
        <v>178</v>
      </c>
      <c r="T86" s="269">
        <v>1</v>
      </c>
      <c r="U86" s="270">
        <v>4000</v>
      </c>
      <c r="V86" s="270">
        <v>4000</v>
      </c>
      <c r="W86" s="269">
        <v>1500</v>
      </c>
      <c r="X86" s="283">
        <v>5</v>
      </c>
      <c r="Y86" s="270">
        <v>7500</v>
      </c>
      <c r="Z86" s="269">
        <v>1500</v>
      </c>
      <c r="AA86" s="270">
        <v>5.5</v>
      </c>
      <c r="AB86" s="270">
        <v>8250</v>
      </c>
      <c r="AC86" s="271">
        <f t="shared" si="0"/>
        <v>19750</v>
      </c>
      <c r="AD86" s="271"/>
      <c r="AE86" s="294" t="s">
        <v>780</v>
      </c>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c r="CJ86" s="122"/>
      <c r="CK86" s="122"/>
      <c r="CL86" s="122"/>
      <c r="CM86" s="122"/>
      <c r="CN86" s="122"/>
    </row>
    <row r="87" spans="1:33" ht="361.5" customHeight="1">
      <c r="A87" s="254" t="s">
        <v>720</v>
      </c>
      <c r="B87" s="263" t="s">
        <v>246</v>
      </c>
      <c r="C87" s="264" t="s">
        <v>408</v>
      </c>
      <c r="D87" s="264" t="s">
        <v>247</v>
      </c>
      <c r="E87" s="266" t="s">
        <v>312</v>
      </c>
      <c r="F87" s="272" t="s">
        <v>60</v>
      </c>
      <c r="G87" s="264" t="s">
        <v>313</v>
      </c>
      <c r="H87" s="264" t="s">
        <v>781</v>
      </c>
      <c r="I87" s="266" t="s">
        <v>412</v>
      </c>
      <c r="J87" s="264" t="s">
        <v>262</v>
      </c>
      <c r="K87" s="264" t="s">
        <v>406</v>
      </c>
      <c r="L87" s="264" t="s">
        <v>406</v>
      </c>
      <c r="M87" s="266" t="s">
        <v>506</v>
      </c>
      <c r="N87" s="264" t="s">
        <v>397</v>
      </c>
      <c r="O87" s="266">
        <v>61</v>
      </c>
      <c r="P87" s="264" t="s">
        <v>176</v>
      </c>
      <c r="Q87" s="308" t="s">
        <v>719</v>
      </c>
      <c r="R87" s="264"/>
      <c r="S87" s="281" t="s">
        <v>712</v>
      </c>
      <c r="T87" s="282">
        <v>2</v>
      </c>
      <c r="U87" s="283">
        <v>40000</v>
      </c>
      <c r="V87" s="270">
        <f>+T87*U87</f>
        <v>80000</v>
      </c>
      <c r="W87" s="282">
        <v>1</v>
      </c>
      <c r="X87" s="283">
        <v>40000</v>
      </c>
      <c r="Y87" s="270">
        <f>+W87*X87</f>
        <v>40000</v>
      </c>
      <c r="Z87" s="282">
        <v>0</v>
      </c>
      <c r="AA87" s="283">
        <v>0</v>
      </c>
      <c r="AB87" s="270">
        <f>+Z87*AA87</f>
        <v>0</v>
      </c>
      <c r="AC87" s="271">
        <f t="shared" si="0"/>
        <v>120000</v>
      </c>
      <c r="AD87" s="271" t="s">
        <v>402</v>
      </c>
      <c r="AE87" s="276" t="s">
        <v>765</v>
      </c>
      <c r="AG87" s="109"/>
    </row>
    <row r="88" spans="1:92" s="109" customFormat="1" ht="219.75" customHeight="1">
      <c r="A88" s="284"/>
      <c r="B88" s="263" t="s">
        <v>407</v>
      </c>
      <c r="C88" s="264" t="s">
        <v>296</v>
      </c>
      <c r="D88" s="264" t="s">
        <v>409</v>
      </c>
      <c r="E88" s="266" t="s">
        <v>417</v>
      </c>
      <c r="F88" s="264" t="s">
        <v>154</v>
      </c>
      <c r="G88" s="264" t="s">
        <v>411</v>
      </c>
      <c r="H88" s="264" t="s">
        <v>155</v>
      </c>
      <c r="I88" s="266" t="s">
        <v>412</v>
      </c>
      <c r="J88" s="264" t="s">
        <v>196</v>
      </c>
      <c r="K88" s="264"/>
      <c r="L88" s="264" t="s">
        <v>197</v>
      </c>
      <c r="M88" s="266" t="s">
        <v>755</v>
      </c>
      <c r="N88" s="264" t="s">
        <v>156</v>
      </c>
      <c r="O88" s="266">
        <v>54</v>
      </c>
      <c r="P88" s="264" t="s">
        <v>398</v>
      </c>
      <c r="Q88" s="281" t="s">
        <v>157</v>
      </c>
      <c r="R88" s="281"/>
      <c r="S88" s="281" t="s">
        <v>178</v>
      </c>
      <c r="T88" s="310">
        <v>800</v>
      </c>
      <c r="U88" s="292">
        <v>16</v>
      </c>
      <c r="V88" s="297">
        <v>12800</v>
      </c>
      <c r="W88" s="310">
        <v>800</v>
      </c>
      <c r="X88" s="292">
        <v>16</v>
      </c>
      <c r="Y88" s="297">
        <v>12800</v>
      </c>
      <c r="Z88" s="310">
        <v>800</v>
      </c>
      <c r="AA88" s="292">
        <v>16</v>
      </c>
      <c r="AB88" s="297">
        <v>12800</v>
      </c>
      <c r="AC88" s="271">
        <f t="shared" si="0"/>
        <v>38400</v>
      </c>
      <c r="AD88" s="271"/>
      <c r="AE88" s="279" t="s">
        <v>782</v>
      </c>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c r="CJ88" s="122"/>
      <c r="CK88" s="122"/>
      <c r="CL88" s="122"/>
      <c r="CM88" s="122"/>
      <c r="CN88" s="122"/>
    </row>
    <row r="89" spans="1:92" s="109" customFormat="1" ht="219.75" customHeight="1">
      <c r="A89" s="284"/>
      <c r="B89" s="263" t="s">
        <v>407</v>
      </c>
      <c r="C89" s="264" t="s">
        <v>296</v>
      </c>
      <c r="D89" s="264" t="s">
        <v>409</v>
      </c>
      <c r="E89" s="266" t="s">
        <v>417</v>
      </c>
      <c r="F89" s="264" t="s">
        <v>154</v>
      </c>
      <c r="G89" s="264" t="s">
        <v>411</v>
      </c>
      <c r="H89" s="264" t="s">
        <v>155</v>
      </c>
      <c r="I89" s="266" t="s">
        <v>412</v>
      </c>
      <c r="J89" s="264" t="s">
        <v>196</v>
      </c>
      <c r="K89" s="264"/>
      <c r="L89" s="264" t="s">
        <v>197</v>
      </c>
      <c r="M89" s="266" t="s">
        <v>755</v>
      </c>
      <c r="N89" s="264" t="s">
        <v>156</v>
      </c>
      <c r="O89" s="266">
        <v>54</v>
      </c>
      <c r="P89" s="264" t="s">
        <v>398</v>
      </c>
      <c r="Q89" s="311" t="s">
        <v>158</v>
      </c>
      <c r="R89" s="311"/>
      <c r="S89" s="311" t="s">
        <v>178</v>
      </c>
      <c r="T89" s="310">
        <v>1</v>
      </c>
      <c r="U89" s="292">
        <v>150000</v>
      </c>
      <c r="V89" s="297">
        <v>150000</v>
      </c>
      <c r="W89" s="310">
        <v>0</v>
      </c>
      <c r="X89" s="292">
        <v>0</v>
      </c>
      <c r="Y89" s="297">
        <v>0</v>
      </c>
      <c r="Z89" s="310">
        <v>0</v>
      </c>
      <c r="AA89" s="292">
        <v>0</v>
      </c>
      <c r="AB89" s="297">
        <v>0</v>
      </c>
      <c r="AC89" s="271">
        <f t="shared" si="0"/>
        <v>150000</v>
      </c>
      <c r="AD89" s="313"/>
      <c r="AE89" s="279"/>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c r="CJ89" s="122"/>
      <c r="CK89" s="122"/>
      <c r="CL89" s="122"/>
      <c r="CM89" s="122"/>
      <c r="CN89" s="122"/>
    </row>
    <row r="90" spans="1:32" ht="219.75" customHeight="1">
      <c r="A90" s="254">
        <v>39</v>
      </c>
      <c r="B90" s="263" t="s">
        <v>452</v>
      </c>
      <c r="C90" s="264" t="s">
        <v>296</v>
      </c>
      <c r="D90" s="264" t="s">
        <v>667</v>
      </c>
      <c r="E90" s="266" t="s">
        <v>417</v>
      </c>
      <c r="F90" s="264" t="s">
        <v>159</v>
      </c>
      <c r="G90" s="264" t="s">
        <v>668</v>
      </c>
      <c r="H90" s="264" t="s">
        <v>160</v>
      </c>
      <c r="I90" s="266" t="s">
        <v>412</v>
      </c>
      <c r="J90" s="264" t="s">
        <v>196</v>
      </c>
      <c r="K90" s="264" t="s">
        <v>197</v>
      </c>
      <c r="L90" s="264" t="s">
        <v>197</v>
      </c>
      <c r="M90" s="266" t="s">
        <v>238</v>
      </c>
      <c r="N90" s="264" t="s">
        <v>397</v>
      </c>
      <c r="O90" s="266">
        <v>61</v>
      </c>
      <c r="P90" s="264" t="s">
        <v>176</v>
      </c>
      <c r="Q90" s="311" t="s">
        <v>161</v>
      </c>
      <c r="R90" s="311"/>
      <c r="S90" s="311" t="s">
        <v>178</v>
      </c>
      <c r="T90" s="295">
        <v>1</v>
      </c>
      <c r="U90" s="292">
        <v>70000</v>
      </c>
      <c r="V90" s="297">
        <v>70000</v>
      </c>
      <c r="W90" s="295">
        <v>1</v>
      </c>
      <c r="X90" s="292">
        <v>20000</v>
      </c>
      <c r="Y90" s="297">
        <v>20000</v>
      </c>
      <c r="Z90" s="295">
        <v>0</v>
      </c>
      <c r="AA90" s="292">
        <v>0</v>
      </c>
      <c r="AB90" s="297">
        <v>0</v>
      </c>
      <c r="AC90" s="271">
        <f t="shared" si="0"/>
        <v>90000</v>
      </c>
      <c r="AD90" s="313" t="s">
        <v>402</v>
      </c>
      <c r="AE90" s="279" t="s">
        <v>648</v>
      </c>
      <c r="AF90" s="234"/>
    </row>
    <row r="91" spans="1:32" ht="219.75" customHeight="1">
      <c r="A91" s="254">
        <v>40</v>
      </c>
      <c r="B91" s="263" t="s">
        <v>452</v>
      </c>
      <c r="C91" s="264" t="s">
        <v>296</v>
      </c>
      <c r="D91" s="264" t="s">
        <v>427</v>
      </c>
      <c r="E91" s="266" t="s">
        <v>417</v>
      </c>
      <c r="F91" s="264" t="s">
        <v>162</v>
      </c>
      <c r="G91" s="264" t="s">
        <v>428</v>
      </c>
      <c r="H91" s="264" t="s">
        <v>595</v>
      </c>
      <c r="I91" s="266" t="s">
        <v>412</v>
      </c>
      <c r="J91" s="264" t="s">
        <v>196</v>
      </c>
      <c r="K91" s="264" t="s">
        <v>197</v>
      </c>
      <c r="L91" s="264" t="s">
        <v>197</v>
      </c>
      <c r="M91" s="266" t="s">
        <v>238</v>
      </c>
      <c r="N91" s="264" t="s">
        <v>397</v>
      </c>
      <c r="O91" s="266">
        <v>54</v>
      </c>
      <c r="P91" s="264" t="s">
        <v>398</v>
      </c>
      <c r="Q91" s="311" t="s">
        <v>163</v>
      </c>
      <c r="R91" s="311"/>
      <c r="S91" s="311" t="s">
        <v>178</v>
      </c>
      <c r="T91" s="295">
        <v>200</v>
      </c>
      <c r="U91" s="292">
        <v>150</v>
      </c>
      <c r="V91" s="297">
        <v>30000</v>
      </c>
      <c r="W91" s="295">
        <v>0</v>
      </c>
      <c r="X91" s="292">
        <v>0</v>
      </c>
      <c r="Y91" s="297">
        <v>0</v>
      </c>
      <c r="Z91" s="295">
        <v>100</v>
      </c>
      <c r="AA91" s="292">
        <v>150</v>
      </c>
      <c r="AB91" s="297">
        <v>15000</v>
      </c>
      <c r="AC91" s="271">
        <f t="shared" si="0"/>
        <v>45000</v>
      </c>
      <c r="AD91" s="313" t="s">
        <v>402</v>
      </c>
      <c r="AE91" s="279" t="s">
        <v>645</v>
      </c>
      <c r="AF91" s="234"/>
    </row>
    <row r="92" spans="1:92" s="109" customFormat="1" ht="219.75" customHeight="1">
      <c r="A92" s="284"/>
      <c r="B92" s="263" t="s">
        <v>407</v>
      </c>
      <c r="C92" s="264" t="s">
        <v>296</v>
      </c>
      <c r="D92" s="264" t="s">
        <v>409</v>
      </c>
      <c r="E92" s="266" t="s">
        <v>417</v>
      </c>
      <c r="F92" s="264" t="s">
        <v>162</v>
      </c>
      <c r="G92" s="264" t="s">
        <v>411</v>
      </c>
      <c r="H92" s="264" t="s">
        <v>595</v>
      </c>
      <c r="I92" s="266" t="s">
        <v>412</v>
      </c>
      <c r="J92" s="264" t="s">
        <v>196</v>
      </c>
      <c r="K92" s="264"/>
      <c r="L92" s="264" t="s">
        <v>197</v>
      </c>
      <c r="M92" s="266" t="s">
        <v>755</v>
      </c>
      <c r="N92" s="264" t="s">
        <v>156</v>
      </c>
      <c r="O92" s="266">
        <v>54</v>
      </c>
      <c r="P92" s="264" t="s">
        <v>398</v>
      </c>
      <c r="Q92" s="311" t="s">
        <v>0</v>
      </c>
      <c r="R92" s="311"/>
      <c r="S92" s="311" t="s">
        <v>178</v>
      </c>
      <c r="T92" s="310">
        <v>5</v>
      </c>
      <c r="U92" s="292">
        <v>8000</v>
      </c>
      <c r="V92" s="297">
        <v>40000</v>
      </c>
      <c r="W92" s="310">
        <v>5</v>
      </c>
      <c r="X92" s="292">
        <v>8000</v>
      </c>
      <c r="Y92" s="297">
        <v>40000</v>
      </c>
      <c r="Z92" s="310">
        <v>5</v>
      </c>
      <c r="AA92" s="292">
        <v>8000</v>
      </c>
      <c r="AB92" s="297">
        <v>40000</v>
      </c>
      <c r="AC92" s="271">
        <f t="shared" si="0"/>
        <v>120000</v>
      </c>
      <c r="AD92" s="313"/>
      <c r="AE92" s="279" t="s">
        <v>1</v>
      </c>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c r="CJ92" s="122"/>
      <c r="CK92" s="122"/>
      <c r="CL92" s="122"/>
      <c r="CM92" s="122"/>
      <c r="CN92" s="122"/>
    </row>
    <row r="93" spans="1:33" ht="219.75" customHeight="1">
      <c r="A93" s="254">
        <v>41</v>
      </c>
      <c r="B93" s="263" t="s">
        <v>407</v>
      </c>
      <c r="C93" s="264" t="s">
        <v>285</v>
      </c>
      <c r="D93" s="264" t="s">
        <v>769</v>
      </c>
      <c r="E93" s="266" t="s">
        <v>410</v>
      </c>
      <c r="F93" s="264" t="s">
        <v>63</v>
      </c>
      <c r="G93" s="264" t="s">
        <v>411</v>
      </c>
      <c r="H93" s="264" t="s">
        <v>333</v>
      </c>
      <c r="I93" s="266" t="s">
        <v>412</v>
      </c>
      <c r="J93" s="264" t="s">
        <v>476</v>
      </c>
      <c r="K93" s="266" t="s">
        <v>332</v>
      </c>
      <c r="L93" s="266" t="s">
        <v>332</v>
      </c>
      <c r="M93" s="266" t="s">
        <v>414</v>
      </c>
      <c r="N93" s="264" t="s">
        <v>397</v>
      </c>
      <c r="O93" s="254">
        <v>54</v>
      </c>
      <c r="P93" s="273" t="s">
        <v>398</v>
      </c>
      <c r="Q93" s="267" t="s">
        <v>334</v>
      </c>
      <c r="R93" s="264"/>
      <c r="S93" s="273" t="s">
        <v>639</v>
      </c>
      <c r="T93" s="269">
        <v>341</v>
      </c>
      <c r="U93" s="315">
        <v>117.59</v>
      </c>
      <c r="V93" s="287">
        <f>+T93*U93</f>
        <v>40098.19</v>
      </c>
      <c r="W93" s="269">
        <v>341</v>
      </c>
      <c r="X93" s="315">
        <v>117.59</v>
      </c>
      <c r="Y93" s="287">
        <f>+W93*X93</f>
        <v>40098.19</v>
      </c>
      <c r="Z93" s="269">
        <v>341</v>
      </c>
      <c r="AA93" s="315">
        <v>117.59</v>
      </c>
      <c r="AB93" s="287">
        <f>+Z93*AA93</f>
        <v>40098.19</v>
      </c>
      <c r="AC93" s="271">
        <f t="shared" si="0"/>
        <v>120294.57</v>
      </c>
      <c r="AD93" s="271" t="s">
        <v>402</v>
      </c>
      <c r="AE93" s="279" t="s">
        <v>713</v>
      </c>
      <c r="AG93" s="109"/>
    </row>
    <row r="94" spans="1:33" ht="219.75" customHeight="1">
      <c r="A94" s="254">
        <v>42</v>
      </c>
      <c r="B94" s="263" t="s">
        <v>407</v>
      </c>
      <c r="C94" s="264" t="s">
        <v>296</v>
      </c>
      <c r="D94" s="264" t="s">
        <v>409</v>
      </c>
      <c r="E94" s="266" t="s">
        <v>417</v>
      </c>
      <c r="F94" s="264" t="s">
        <v>154</v>
      </c>
      <c r="G94" s="264" t="s">
        <v>411</v>
      </c>
      <c r="H94" s="264" t="s">
        <v>155</v>
      </c>
      <c r="I94" s="266" t="s">
        <v>412</v>
      </c>
      <c r="J94" s="264" t="s">
        <v>113</v>
      </c>
      <c r="K94" s="264" t="s">
        <v>197</v>
      </c>
      <c r="L94" s="264" t="s">
        <v>197</v>
      </c>
      <c r="M94" s="266" t="s">
        <v>414</v>
      </c>
      <c r="N94" s="264" t="s">
        <v>397</v>
      </c>
      <c r="O94" s="254">
        <v>54</v>
      </c>
      <c r="P94" s="273" t="s">
        <v>398</v>
      </c>
      <c r="Q94" s="281" t="s">
        <v>157</v>
      </c>
      <c r="R94" s="264"/>
      <c r="S94" s="281" t="s">
        <v>178</v>
      </c>
      <c r="T94" s="282">
        <v>1150</v>
      </c>
      <c r="U94" s="283">
        <v>16</v>
      </c>
      <c r="V94" s="270">
        <f>+T94*U94</f>
        <v>18400</v>
      </c>
      <c r="W94" s="282">
        <v>1150</v>
      </c>
      <c r="X94" s="283">
        <v>16</v>
      </c>
      <c r="Y94" s="270">
        <f>+W94*X94</f>
        <v>18400</v>
      </c>
      <c r="Z94" s="282">
        <v>1150</v>
      </c>
      <c r="AA94" s="283">
        <v>16</v>
      </c>
      <c r="AB94" s="270">
        <f>+Z94*AA94</f>
        <v>18400</v>
      </c>
      <c r="AC94" s="271">
        <f t="shared" si="0"/>
        <v>55200</v>
      </c>
      <c r="AD94" s="271" t="s">
        <v>402</v>
      </c>
      <c r="AE94" s="283" t="s">
        <v>685</v>
      </c>
      <c r="AG94" s="109"/>
    </row>
    <row r="95" spans="1:32" ht="219.75" customHeight="1">
      <c r="A95" s="254">
        <v>43</v>
      </c>
      <c r="B95" s="263" t="s">
        <v>284</v>
      </c>
      <c r="C95" s="264" t="s">
        <v>440</v>
      </c>
      <c r="D95" s="266" t="s">
        <v>441</v>
      </c>
      <c r="E95" s="284"/>
      <c r="F95" s="264" t="s">
        <v>2</v>
      </c>
      <c r="G95" s="264" t="s">
        <v>411</v>
      </c>
      <c r="H95" s="264" t="s">
        <v>442</v>
      </c>
      <c r="I95" s="266"/>
      <c r="J95" s="264"/>
      <c r="K95" s="266" t="s">
        <v>565</v>
      </c>
      <c r="L95" s="266" t="s">
        <v>565</v>
      </c>
      <c r="M95" s="266" t="s">
        <v>292</v>
      </c>
      <c r="N95" s="264" t="s">
        <v>397</v>
      </c>
      <c r="O95" s="254">
        <v>54</v>
      </c>
      <c r="P95" s="273" t="s">
        <v>398</v>
      </c>
      <c r="Q95" s="267" t="s">
        <v>58</v>
      </c>
      <c r="R95" s="264"/>
      <c r="S95" s="273">
        <v>1</v>
      </c>
      <c r="T95" s="269">
        <v>1</v>
      </c>
      <c r="U95" s="287">
        <v>10000</v>
      </c>
      <c r="V95" s="316">
        <v>10000</v>
      </c>
      <c r="W95" s="269">
        <v>1</v>
      </c>
      <c r="X95" s="287">
        <v>10000</v>
      </c>
      <c r="Y95" s="316">
        <v>10000</v>
      </c>
      <c r="Z95" s="269">
        <v>1</v>
      </c>
      <c r="AA95" s="287">
        <v>10000</v>
      </c>
      <c r="AB95" s="316">
        <v>10000</v>
      </c>
      <c r="AC95" s="271">
        <f t="shared" si="0"/>
        <v>30000</v>
      </c>
      <c r="AD95" s="271" t="s">
        <v>402</v>
      </c>
      <c r="AE95" s="279" t="s">
        <v>59</v>
      </c>
      <c r="AF95" s="235"/>
    </row>
    <row r="96" spans="1:33" ht="219.75" customHeight="1">
      <c r="A96" s="254">
        <v>44</v>
      </c>
      <c r="B96" s="263" t="s">
        <v>407</v>
      </c>
      <c r="C96" s="264" t="s">
        <v>296</v>
      </c>
      <c r="D96" s="264" t="s">
        <v>769</v>
      </c>
      <c r="E96" s="266" t="s">
        <v>276</v>
      </c>
      <c r="F96" s="267" t="s">
        <v>562</v>
      </c>
      <c r="G96" s="267" t="s">
        <v>411</v>
      </c>
      <c r="H96" s="267" t="s">
        <v>3</v>
      </c>
      <c r="I96" s="267" t="s">
        <v>564</v>
      </c>
      <c r="J96" s="266" t="s">
        <v>4</v>
      </c>
      <c r="K96" s="266" t="s">
        <v>565</v>
      </c>
      <c r="L96" s="266" t="s">
        <v>565</v>
      </c>
      <c r="M96" s="266" t="s">
        <v>414</v>
      </c>
      <c r="N96" s="264" t="s">
        <v>397</v>
      </c>
      <c r="O96" s="267">
        <v>54</v>
      </c>
      <c r="P96" s="264" t="s">
        <v>398</v>
      </c>
      <c r="Q96" s="267" t="s">
        <v>5</v>
      </c>
      <c r="R96" s="281"/>
      <c r="S96" s="281" t="s">
        <v>568</v>
      </c>
      <c r="T96" s="282">
        <v>30</v>
      </c>
      <c r="U96" s="291">
        <v>290</v>
      </c>
      <c r="V96" s="287">
        <v>8700</v>
      </c>
      <c r="W96" s="282">
        <v>30</v>
      </c>
      <c r="X96" s="291">
        <v>290</v>
      </c>
      <c r="Y96" s="287">
        <v>8700</v>
      </c>
      <c r="Z96" s="282">
        <v>30</v>
      </c>
      <c r="AA96" s="291">
        <v>290</v>
      </c>
      <c r="AB96" s="287">
        <v>8700</v>
      </c>
      <c r="AC96" s="271">
        <f t="shared" si="0"/>
        <v>26100</v>
      </c>
      <c r="AD96" s="271" t="s">
        <v>402</v>
      </c>
      <c r="AE96" s="279" t="s">
        <v>6</v>
      </c>
      <c r="AG96" s="109"/>
    </row>
    <row r="97" spans="1:31" ht="219.75" customHeight="1">
      <c r="A97" s="254" t="s">
        <v>711</v>
      </c>
      <c r="B97" s="256" t="s">
        <v>627</v>
      </c>
      <c r="C97" s="264" t="s">
        <v>699</v>
      </c>
      <c r="D97" s="305" t="s">
        <v>700</v>
      </c>
      <c r="E97" s="266"/>
      <c r="F97" s="267" t="s">
        <v>710</v>
      </c>
      <c r="G97" s="305" t="s">
        <v>701</v>
      </c>
      <c r="H97" s="267" t="s">
        <v>702</v>
      </c>
      <c r="I97" s="267" t="s">
        <v>180</v>
      </c>
      <c r="J97" s="266"/>
      <c r="K97" s="264" t="s">
        <v>281</v>
      </c>
      <c r="L97" s="264" t="s">
        <v>281</v>
      </c>
      <c r="M97" s="266" t="s">
        <v>137</v>
      </c>
      <c r="N97" s="264" t="s">
        <v>397</v>
      </c>
      <c r="O97" s="266">
        <v>61</v>
      </c>
      <c r="P97" s="264" t="s">
        <v>176</v>
      </c>
      <c r="Q97" s="267" t="s">
        <v>703</v>
      </c>
      <c r="R97" s="281"/>
      <c r="S97" s="281"/>
      <c r="T97" s="282">
        <v>1</v>
      </c>
      <c r="U97" s="291">
        <f>38187.1-0.98</f>
        <v>38186.119999999995</v>
      </c>
      <c r="V97" s="287">
        <f>+T97*U97</f>
        <v>38186.119999999995</v>
      </c>
      <c r="W97" s="282"/>
      <c r="X97" s="291"/>
      <c r="Y97" s="287"/>
      <c r="Z97" s="282"/>
      <c r="AA97" s="291"/>
      <c r="AB97" s="287"/>
      <c r="AC97" s="271">
        <f t="shared" si="0"/>
        <v>38186.119999999995</v>
      </c>
      <c r="AD97" s="271" t="s">
        <v>196</v>
      </c>
      <c r="AE97" s="279" t="s">
        <v>709</v>
      </c>
    </row>
    <row r="98" spans="1:31" ht="219.75" customHeight="1">
      <c r="A98" s="254">
        <v>46</v>
      </c>
      <c r="B98" s="263" t="s">
        <v>246</v>
      </c>
      <c r="C98" s="264" t="s">
        <v>421</v>
      </c>
      <c r="D98" s="298" t="s">
        <v>783</v>
      </c>
      <c r="E98" s="266"/>
      <c r="F98" s="267" t="s">
        <v>61</v>
      </c>
      <c r="G98" s="266" t="s">
        <v>633</v>
      </c>
      <c r="H98" s="267" t="s">
        <v>634</v>
      </c>
      <c r="I98" s="267"/>
      <c r="J98" s="264"/>
      <c r="K98" s="264" t="s">
        <v>281</v>
      </c>
      <c r="L98" s="264" t="s">
        <v>281</v>
      </c>
      <c r="M98" s="266" t="s">
        <v>506</v>
      </c>
      <c r="N98" s="264" t="s">
        <v>397</v>
      </c>
      <c r="O98" s="267">
        <v>54</v>
      </c>
      <c r="P98" s="264" t="s">
        <v>398</v>
      </c>
      <c r="Q98" s="264" t="s">
        <v>282</v>
      </c>
      <c r="R98" s="281"/>
      <c r="S98" s="281"/>
      <c r="T98" s="282">
        <v>270</v>
      </c>
      <c r="U98" s="291">
        <v>24</v>
      </c>
      <c r="V98" s="287">
        <v>6480</v>
      </c>
      <c r="W98" s="282">
        <v>270</v>
      </c>
      <c r="X98" s="291">
        <v>24</v>
      </c>
      <c r="Y98" s="287">
        <v>6480</v>
      </c>
      <c r="Z98" s="282">
        <v>270</v>
      </c>
      <c r="AA98" s="291">
        <v>24</v>
      </c>
      <c r="AB98" s="287">
        <v>6480</v>
      </c>
      <c r="AC98" s="271">
        <f t="shared" si="0"/>
        <v>19440</v>
      </c>
      <c r="AD98" s="271" t="s">
        <v>402</v>
      </c>
      <c r="AE98" s="279" t="s">
        <v>635</v>
      </c>
    </row>
    <row r="99" spans="1:92" s="109" customFormat="1" ht="114.75" customHeight="1">
      <c r="A99" s="284"/>
      <c r="B99" s="263" t="s">
        <v>284</v>
      </c>
      <c r="C99" s="264" t="s">
        <v>421</v>
      </c>
      <c r="D99" s="264" t="s">
        <v>7</v>
      </c>
      <c r="E99" s="266" t="s">
        <v>276</v>
      </c>
      <c r="F99" s="264" t="s">
        <v>8</v>
      </c>
      <c r="G99" s="264" t="s">
        <v>411</v>
      </c>
      <c r="H99" s="264" t="s">
        <v>9</v>
      </c>
      <c r="I99" s="266" t="s">
        <v>393</v>
      </c>
      <c r="J99" s="264" t="s">
        <v>405</v>
      </c>
      <c r="K99" s="264"/>
      <c r="L99" s="264" t="s">
        <v>277</v>
      </c>
      <c r="M99" s="266" t="s">
        <v>591</v>
      </c>
      <c r="N99" s="264" t="s">
        <v>528</v>
      </c>
      <c r="O99" s="266">
        <v>61</v>
      </c>
      <c r="P99" s="264" t="s">
        <v>176</v>
      </c>
      <c r="Q99" s="264" t="s">
        <v>10</v>
      </c>
      <c r="R99" s="264"/>
      <c r="S99" s="264"/>
      <c r="T99" s="269">
        <v>2</v>
      </c>
      <c r="U99" s="283">
        <v>7000</v>
      </c>
      <c r="V99" s="270">
        <v>14000</v>
      </c>
      <c r="W99" s="269">
        <v>2</v>
      </c>
      <c r="X99" s="283">
        <v>7000</v>
      </c>
      <c r="Y99" s="270">
        <v>14000</v>
      </c>
      <c r="Z99" s="269">
        <v>2</v>
      </c>
      <c r="AA99" s="270">
        <v>7700</v>
      </c>
      <c r="AB99" s="270">
        <v>15400</v>
      </c>
      <c r="AC99" s="271">
        <f t="shared" si="0"/>
        <v>43400</v>
      </c>
      <c r="AD99" s="271"/>
      <c r="AE99" s="264" t="s">
        <v>11</v>
      </c>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c r="CJ99" s="122"/>
      <c r="CK99" s="122"/>
      <c r="CL99" s="122"/>
      <c r="CM99" s="122"/>
      <c r="CN99" s="122"/>
    </row>
    <row r="100" spans="1:92" s="109" customFormat="1" ht="121.5" customHeight="1">
      <c r="A100" s="284"/>
      <c r="B100" s="263" t="s">
        <v>284</v>
      </c>
      <c r="C100" s="264" t="s">
        <v>285</v>
      </c>
      <c r="D100" s="298" t="s">
        <v>286</v>
      </c>
      <c r="E100" s="266" t="s">
        <v>287</v>
      </c>
      <c r="F100" s="264" t="s">
        <v>13</v>
      </c>
      <c r="G100" s="264" t="s">
        <v>411</v>
      </c>
      <c r="H100" s="264" t="s">
        <v>289</v>
      </c>
      <c r="I100" s="266" t="s">
        <v>14</v>
      </c>
      <c r="J100" s="264" t="s">
        <v>15</v>
      </c>
      <c r="K100" s="264"/>
      <c r="L100" s="264" t="s">
        <v>291</v>
      </c>
      <c r="M100" s="266" t="s">
        <v>212</v>
      </c>
      <c r="N100" s="266" t="s">
        <v>206</v>
      </c>
      <c r="O100" s="266">
        <v>51</v>
      </c>
      <c r="P100" s="273" t="s">
        <v>207</v>
      </c>
      <c r="Q100" s="264" t="s">
        <v>16</v>
      </c>
      <c r="R100" s="264"/>
      <c r="S100" s="264"/>
      <c r="T100" s="269">
        <v>6</v>
      </c>
      <c r="U100" s="287">
        <v>3000</v>
      </c>
      <c r="V100" s="287">
        <v>18000</v>
      </c>
      <c r="W100" s="269">
        <v>6</v>
      </c>
      <c r="X100" s="270">
        <v>3000</v>
      </c>
      <c r="Y100" s="270">
        <v>18000</v>
      </c>
      <c r="Z100" s="269">
        <v>6</v>
      </c>
      <c r="AA100" s="270">
        <v>3300</v>
      </c>
      <c r="AB100" s="270">
        <v>19800</v>
      </c>
      <c r="AC100" s="271">
        <f t="shared" si="0"/>
        <v>55800</v>
      </c>
      <c r="AD100" s="271"/>
      <c r="AE100" s="294" t="s">
        <v>17</v>
      </c>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c r="CJ100" s="122"/>
      <c r="CK100" s="122"/>
      <c r="CL100" s="122"/>
      <c r="CM100" s="122"/>
      <c r="CN100" s="122"/>
    </row>
    <row r="101" spans="1:32" ht="219.75" customHeight="1">
      <c r="A101" s="254">
        <v>47</v>
      </c>
      <c r="B101" s="256" t="s">
        <v>284</v>
      </c>
      <c r="C101" s="267" t="s">
        <v>285</v>
      </c>
      <c r="D101" s="298" t="s">
        <v>286</v>
      </c>
      <c r="E101" s="267" t="s">
        <v>287</v>
      </c>
      <c r="F101" s="267" t="s">
        <v>18</v>
      </c>
      <c r="G101" s="267" t="s">
        <v>288</v>
      </c>
      <c r="H101" s="267" t="s">
        <v>289</v>
      </c>
      <c r="I101" s="266" t="s">
        <v>290</v>
      </c>
      <c r="J101" s="266"/>
      <c r="K101" s="264" t="s">
        <v>291</v>
      </c>
      <c r="L101" s="264" t="s">
        <v>291</v>
      </c>
      <c r="M101" s="267" t="s">
        <v>292</v>
      </c>
      <c r="N101" s="264" t="s">
        <v>397</v>
      </c>
      <c r="O101" s="266">
        <v>61</v>
      </c>
      <c r="P101" s="264" t="s">
        <v>176</v>
      </c>
      <c r="Q101" s="267" t="s">
        <v>19</v>
      </c>
      <c r="R101" s="267"/>
      <c r="S101" s="267" t="s">
        <v>202</v>
      </c>
      <c r="T101" s="269">
        <v>0</v>
      </c>
      <c r="U101" s="269">
        <v>0</v>
      </c>
      <c r="V101" s="269">
        <v>0</v>
      </c>
      <c r="W101" s="269">
        <v>1</v>
      </c>
      <c r="X101" s="269">
        <v>15000</v>
      </c>
      <c r="Y101" s="269">
        <f>+W101*X101</f>
        <v>15000</v>
      </c>
      <c r="Z101" s="269">
        <v>0</v>
      </c>
      <c r="AA101" s="269">
        <v>0</v>
      </c>
      <c r="AB101" s="269">
        <v>0</v>
      </c>
      <c r="AC101" s="271">
        <f>+V101+X101+AB101</f>
        <v>15000</v>
      </c>
      <c r="AD101" s="271" t="s">
        <v>196</v>
      </c>
      <c r="AE101" s="267" t="s">
        <v>649</v>
      </c>
      <c r="AF101" s="235"/>
    </row>
    <row r="102" spans="1:92" s="109" customFormat="1" ht="117.75" customHeight="1">
      <c r="A102" s="284"/>
      <c r="B102" s="263" t="s">
        <v>295</v>
      </c>
      <c r="C102" s="264" t="s">
        <v>285</v>
      </c>
      <c r="D102" s="264" t="s">
        <v>20</v>
      </c>
      <c r="E102" s="266" t="s">
        <v>492</v>
      </c>
      <c r="F102" s="264" t="s">
        <v>21</v>
      </c>
      <c r="G102" s="264" t="s">
        <v>391</v>
      </c>
      <c r="H102" s="264" t="s">
        <v>22</v>
      </c>
      <c r="I102" s="266" t="s">
        <v>23</v>
      </c>
      <c r="J102" s="264" t="s">
        <v>24</v>
      </c>
      <c r="K102" s="264"/>
      <c r="L102" s="264" t="s">
        <v>25</v>
      </c>
      <c r="M102" s="266" t="s">
        <v>212</v>
      </c>
      <c r="N102" s="264" t="s">
        <v>206</v>
      </c>
      <c r="O102" s="266">
        <v>54</v>
      </c>
      <c r="P102" s="264" t="s">
        <v>398</v>
      </c>
      <c r="Q102" s="264" t="s">
        <v>26</v>
      </c>
      <c r="R102" s="264"/>
      <c r="S102" s="273" t="s">
        <v>401</v>
      </c>
      <c r="T102" s="282">
        <v>500</v>
      </c>
      <c r="U102" s="283">
        <v>24</v>
      </c>
      <c r="V102" s="270">
        <v>12000</v>
      </c>
      <c r="W102" s="269">
        <v>350</v>
      </c>
      <c r="X102" s="270">
        <v>24</v>
      </c>
      <c r="Y102" s="270">
        <v>8400</v>
      </c>
      <c r="Z102" s="269">
        <v>350</v>
      </c>
      <c r="AA102" s="270">
        <v>26.4</v>
      </c>
      <c r="AB102" s="270">
        <v>9240</v>
      </c>
      <c r="AC102" s="271">
        <f aca="true" t="shared" si="1" ref="AC102:AC123">+V102+Y102+AB102</f>
        <v>29640</v>
      </c>
      <c r="AD102" s="271"/>
      <c r="AE102" s="307" t="s">
        <v>784</v>
      </c>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c r="CH102" s="122"/>
      <c r="CI102" s="122"/>
      <c r="CJ102" s="122"/>
      <c r="CK102" s="122"/>
      <c r="CL102" s="122"/>
      <c r="CM102" s="122"/>
      <c r="CN102" s="122"/>
    </row>
    <row r="103" spans="1:92" s="109" customFormat="1" ht="116.25" customHeight="1">
      <c r="A103" s="284"/>
      <c r="B103" s="263" t="s">
        <v>295</v>
      </c>
      <c r="C103" s="264" t="s">
        <v>285</v>
      </c>
      <c r="D103" s="264" t="s">
        <v>27</v>
      </c>
      <c r="E103" s="266" t="s">
        <v>306</v>
      </c>
      <c r="F103" s="264" t="s">
        <v>28</v>
      </c>
      <c r="G103" s="264" t="s">
        <v>411</v>
      </c>
      <c r="H103" s="264" t="s">
        <v>29</v>
      </c>
      <c r="I103" s="266" t="s">
        <v>393</v>
      </c>
      <c r="J103" s="264"/>
      <c r="K103" s="264"/>
      <c r="L103" s="264" t="s">
        <v>362</v>
      </c>
      <c r="M103" s="266" t="s">
        <v>212</v>
      </c>
      <c r="N103" s="264" t="s">
        <v>206</v>
      </c>
      <c r="O103" s="266">
        <v>54</v>
      </c>
      <c r="P103" s="264" t="s">
        <v>398</v>
      </c>
      <c r="Q103" s="264" t="s">
        <v>30</v>
      </c>
      <c r="R103" s="264"/>
      <c r="S103" s="273"/>
      <c r="T103" s="269">
        <v>12</v>
      </c>
      <c r="U103" s="287">
        <v>100</v>
      </c>
      <c r="V103" s="287">
        <v>1200</v>
      </c>
      <c r="W103" s="269">
        <v>12</v>
      </c>
      <c r="X103" s="270">
        <v>100</v>
      </c>
      <c r="Y103" s="270">
        <v>1200</v>
      </c>
      <c r="Z103" s="269">
        <v>12</v>
      </c>
      <c r="AA103" s="270">
        <v>110</v>
      </c>
      <c r="AB103" s="270">
        <v>1320</v>
      </c>
      <c r="AC103" s="271">
        <f t="shared" si="1"/>
        <v>3720</v>
      </c>
      <c r="AD103" s="271"/>
      <c r="AE103" s="317" t="s">
        <v>31</v>
      </c>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2"/>
      <c r="BY103" s="122"/>
      <c r="BZ103" s="122"/>
      <c r="CA103" s="122"/>
      <c r="CB103" s="122"/>
      <c r="CC103" s="122"/>
      <c r="CD103" s="122"/>
      <c r="CE103" s="122"/>
      <c r="CF103" s="122"/>
      <c r="CG103" s="122"/>
      <c r="CH103" s="122"/>
      <c r="CI103" s="122"/>
      <c r="CJ103" s="122"/>
      <c r="CK103" s="122"/>
      <c r="CL103" s="122"/>
      <c r="CM103" s="122"/>
      <c r="CN103" s="122"/>
    </row>
    <row r="104" spans="1:32" ht="219.75" customHeight="1">
      <c r="A104" s="254" t="s">
        <v>722</v>
      </c>
      <c r="B104" s="263" t="s">
        <v>407</v>
      </c>
      <c r="C104" s="264" t="s">
        <v>421</v>
      </c>
      <c r="D104" s="267" t="s">
        <v>7</v>
      </c>
      <c r="E104" s="266" t="s">
        <v>32</v>
      </c>
      <c r="F104" s="264" t="s">
        <v>33</v>
      </c>
      <c r="G104" s="264" t="s">
        <v>411</v>
      </c>
      <c r="H104" s="267" t="s">
        <v>34</v>
      </c>
      <c r="I104" s="266" t="s">
        <v>412</v>
      </c>
      <c r="J104" s="264" t="s">
        <v>405</v>
      </c>
      <c r="K104" s="264" t="s">
        <v>457</v>
      </c>
      <c r="L104" s="264" t="s">
        <v>457</v>
      </c>
      <c r="M104" s="266" t="s">
        <v>414</v>
      </c>
      <c r="N104" s="264" t="s">
        <v>397</v>
      </c>
      <c r="O104" s="266">
        <v>54</v>
      </c>
      <c r="P104" s="264" t="s">
        <v>398</v>
      </c>
      <c r="Q104" s="264" t="s">
        <v>721</v>
      </c>
      <c r="R104" s="264"/>
      <c r="S104" s="264"/>
      <c r="T104" s="269">
        <v>1</v>
      </c>
      <c r="U104" s="270">
        <v>60000</v>
      </c>
      <c r="V104" s="270">
        <v>60000</v>
      </c>
      <c r="W104" s="269">
        <v>1</v>
      </c>
      <c r="X104" s="270">
        <v>60000</v>
      </c>
      <c r="Y104" s="270">
        <v>60000</v>
      </c>
      <c r="Z104" s="269">
        <v>1</v>
      </c>
      <c r="AA104" s="270">
        <v>60000</v>
      </c>
      <c r="AB104" s="270">
        <v>60000</v>
      </c>
      <c r="AC104" s="271">
        <f t="shared" si="1"/>
        <v>180000</v>
      </c>
      <c r="AD104" s="271" t="s">
        <v>402</v>
      </c>
      <c r="AE104" s="264" t="s">
        <v>718</v>
      </c>
      <c r="AF104" s="235"/>
    </row>
    <row r="105" spans="1:92" s="109" customFormat="1" ht="117" customHeight="1">
      <c r="A105" s="284"/>
      <c r="B105" s="263" t="s">
        <v>95</v>
      </c>
      <c r="C105" s="264" t="s">
        <v>285</v>
      </c>
      <c r="D105" s="264" t="s">
        <v>35</v>
      </c>
      <c r="E105" s="266" t="s">
        <v>485</v>
      </c>
      <c r="F105" s="264" t="s">
        <v>36</v>
      </c>
      <c r="G105" s="264" t="s">
        <v>411</v>
      </c>
      <c r="H105" s="264" t="s">
        <v>37</v>
      </c>
      <c r="I105" s="266" t="s">
        <v>23</v>
      </c>
      <c r="J105" s="264" t="s">
        <v>38</v>
      </c>
      <c r="K105" s="264"/>
      <c r="L105" s="264" t="s">
        <v>175</v>
      </c>
      <c r="M105" s="266" t="s">
        <v>212</v>
      </c>
      <c r="N105" s="264" t="s">
        <v>206</v>
      </c>
      <c r="O105" s="266">
        <v>51</v>
      </c>
      <c r="P105" s="264" t="s">
        <v>207</v>
      </c>
      <c r="Q105" s="264" t="s">
        <v>39</v>
      </c>
      <c r="R105" s="264"/>
      <c r="S105" s="273" t="s">
        <v>220</v>
      </c>
      <c r="T105" s="269">
        <v>1</v>
      </c>
      <c r="U105" s="287">
        <v>944150.3419196558</v>
      </c>
      <c r="V105" s="287">
        <v>944150.3419196558</v>
      </c>
      <c r="W105" s="269">
        <v>1</v>
      </c>
      <c r="X105" s="270">
        <v>1106620.5701991713</v>
      </c>
      <c r="Y105" s="270">
        <v>1106620.5701991713</v>
      </c>
      <c r="Z105" s="269">
        <v>1</v>
      </c>
      <c r="AA105" s="270">
        <v>1217282.6272190886</v>
      </c>
      <c r="AB105" s="270">
        <v>1217282.6272190886</v>
      </c>
      <c r="AC105" s="271">
        <f t="shared" si="1"/>
        <v>3268053.5393379154</v>
      </c>
      <c r="AD105" s="271"/>
      <c r="AE105" s="280" t="s">
        <v>40</v>
      </c>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row>
    <row r="106" spans="1:92" s="109" customFormat="1" ht="87" customHeight="1">
      <c r="A106" s="284"/>
      <c r="B106" s="263" t="s">
        <v>295</v>
      </c>
      <c r="C106" s="264" t="s">
        <v>285</v>
      </c>
      <c r="D106" s="264" t="s">
        <v>41</v>
      </c>
      <c r="E106" s="266" t="s">
        <v>492</v>
      </c>
      <c r="F106" s="264" t="s">
        <v>42</v>
      </c>
      <c r="G106" s="264" t="s">
        <v>391</v>
      </c>
      <c r="H106" s="264" t="s">
        <v>37</v>
      </c>
      <c r="I106" s="266" t="s">
        <v>23</v>
      </c>
      <c r="J106" s="264"/>
      <c r="K106" s="264"/>
      <c r="L106" s="264" t="s">
        <v>175</v>
      </c>
      <c r="M106" s="266" t="s">
        <v>43</v>
      </c>
      <c r="N106" s="264" t="s">
        <v>463</v>
      </c>
      <c r="O106" s="266">
        <v>51</v>
      </c>
      <c r="P106" s="264" t="s">
        <v>207</v>
      </c>
      <c r="Q106" s="264" t="s">
        <v>44</v>
      </c>
      <c r="R106" s="264"/>
      <c r="S106" s="273" t="s">
        <v>220</v>
      </c>
      <c r="T106" s="269">
        <v>1</v>
      </c>
      <c r="U106" s="270">
        <v>283612.55</v>
      </c>
      <c r="V106" s="270">
        <v>283612.55</v>
      </c>
      <c r="W106" s="269">
        <v>1</v>
      </c>
      <c r="X106" s="270">
        <v>283612.55</v>
      </c>
      <c r="Y106" s="270">
        <v>283612.55</v>
      </c>
      <c r="Z106" s="269">
        <v>1</v>
      </c>
      <c r="AA106" s="270">
        <v>311973.805</v>
      </c>
      <c r="AB106" s="270">
        <v>311973.805</v>
      </c>
      <c r="AC106" s="271">
        <f t="shared" si="1"/>
        <v>879198.905</v>
      </c>
      <c r="AD106" s="271"/>
      <c r="AE106" s="294" t="s">
        <v>46</v>
      </c>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2"/>
      <c r="CJ106" s="122"/>
      <c r="CK106" s="122"/>
      <c r="CL106" s="122"/>
      <c r="CM106" s="122"/>
      <c r="CN106" s="122"/>
    </row>
    <row r="107" spans="1:92" s="109" customFormat="1" ht="86.25" customHeight="1">
      <c r="A107" s="284"/>
      <c r="B107" s="263" t="s">
        <v>745</v>
      </c>
      <c r="C107" s="264" t="s">
        <v>285</v>
      </c>
      <c r="D107" s="264" t="s">
        <v>41</v>
      </c>
      <c r="E107" s="266" t="s">
        <v>492</v>
      </c>
      <c r="F107" s="264" t="s">
        <v>47</v>
      </c>
      <c r="G107" s="264" t="s">
        <v>391</v>
      </c>
      <c r="H107" s="264" t="s">
        <v>48</v>
      </c>
      <c r="I107" s="266" t="s">
        <v>393</v>
      </c>
      <c r="J107" s="264" t="s">
        <v>394</v>
      </c>
      <c r="K107" s="264"/>
      <c r="L107" s="264" t="s">
        <v>175</v>
      </c>
      <c r="M107" s="266" t="s">
        <v>212</v>
      </c>
      <c r="N107" s="264" t="s">
        <v>206</v>
      </c>
      <c r="O107" s="266">
        <v>51</v>
      </c>
      <c r="P107" s="264" t="s">
        <v>207</v>
      </c>
      <c r="Q107" s="264" t="s">
        <v>49</v>
      </c>
      <c r="R107" s="273"/>
      <c r="S107" s="273" t="s">
        <v>220</v>
      </c>
      <c r="T107" s="269">
        <v>1</v>
      </c>
      <c r="U107" s="287">
        <v>293553</v>
      </c>
      <c r="V107" s="287">
        <f>+T107*U107</f>
        <v>293553</v>
      </c>
      <c r="W107" s="269">
        <v>1</v>
      </c>
      <c r="X107" s="287">
        <v>308230.56</v>
      </c>
      <c r="Y107" s="287">
        <f>+W107*X107</f>
        <v>308230.56</v>
      </c>
      <c r="Z107" s="269">
        <v>1</v>
      </c>
      <c r="AA107" s="287">
        <f>+Y107*1.1</f>
        <v>339053.61600000004</v>
      </c>
      <c r="AB107" s="287">
        <f>+Z107*AA107</f>
        <v>339053.61600000004</v>
      </c>
      <c r="AC107" s="271">
        <f t="shared" si="1"/>
        <v>940837.1760000001</v>
      </c>
      <c r="AD107" s="271"/>
      <c r="AE107" s="280" t="s">
        <v>729</v>
      </c>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122"/>
      <c r="CK107" s="122"/>
      <c r="CL107" s="122"/>
      <c r="CM107" s="122"/>
      <c r="CN107" s="122"/>
    </row>
    <row r="108" spans="1:92" s="109" customFormat="1" ht="180" customHeight="1">
      <c r="A108" s="284"/>
      <c r="B108" s="263" t="s">
        <v>745</v>
      </c>
      <c r="C108" s="264" t="s">
        <v>388</v>
      </c>
      <c r="D108" s="264" t="s">
        <v>512</v>
      </c>
      <c r="E108" s="266" t="s">
        <v>193</v>
      </c>
      <c r="F108" s="264" t="s">
        <v>52</v>
      </c>
      <c r="G108" s="264" t="s">
        <v>411</v>
      </c>
      <c r="H108" s="264" t="s">
        <v>53</v>
      </c>
      <c r="I108" s="266" t="s">
        <v>244</v>
      </c>
      <c r="J108" s="284"/>
      <c r="K108" s="284"/>
      <c r="L108" s="264" t="s">
        <v>277</v>
      </c>
      <c r="M108" s="266" t="s">
        <v>458</v>
      </c>
      <c r="N108" s="264" t="s">
        <v>206</v>
      </c>
      <c r="O108" s="266">
        <v>54</v>
      </c>
      <c r="P108" s="264" t="s">
        <v>398</v>
      </c>
      <c r="Q108" s="264" t="s">
        <v>54</v>
      </c>
      <c r="R108" s="264"/>
      <c r="S108" s="273" t="s">
        <v>55</v>
      </c>
      <c r="T108" s="269">
        <v>60</v>
      </c>
      <c r="U108" s="287">
        <v>281.52</v>
      </c>
      <c r="V108" s="287">
        <v>16891.2</v>
      </c>
      <c r="W108" s="269">
        <v>60</v>
      </c>
      <c r="X108" s="270">
        <v>304.52</v>
      </c>
      <c r="Y108" s="270">
        <v>18271.2</v>
      </c>
      <c r="Z108" s="269">
        <v>60</v>
      </c>
      <c r="AA108" s="270">
        <v>334.972</v>
      </c>
      <c r="AB108" s="270">
        <v>20098.32</v>
      </c>
      <c r="AC108" s="271">
        <f t="shared" si="1"/>
        <v>55260.72</v>
      </c>
      <c r="AD108" s="271"/>
      <c r="AE108" s="264" t="s">
        <v>730</v>
      </c>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c r="CH108" s="122"/>
      <c r="CI108" s="122"/>
      <c r="CJ108" s="122"/>
      <c r="CK108" s="122"/>
      <c r="CL108" s="122"/>
      <c r="CM108" s="122"/>
      <c r="CN108" s="122"/>
    </row>
    <row r="109" spans="1:32" ht="219.75" customHeight="1">
      <c r="A109" s="254">
        <v>49</v>
      </c>
      <c r="B109" s="256" t="s">
        <v>295</v>
      </c>
      <c r="C109" s="264" t="s">
        <v>285</v>
      </c>
      <c r="D109" s="264" t="s">
        <v>439</v>
      </c>
      <c r="E109" s="264" t="s">
        <v>287</v>
      </c>
      <c r="F109" s="264" t="s">
        <v>673</v>
      </c>
      <c r="G109" s="264" t="s">
        <v>56</v>
      </c>
      <c r="H109" s="264" t="s">
        <v>57</v>
      </c>
      <c r="I109" s="266" t="s">
        <v>412</v>
      </c>
      <c r="J109" s="266" t="s">
        <v>394</v>
      </c>
      <c r="K109" s="266" t="s">
        <v>325</v>
      </c>
      <c r="L109" s="266" t="s">
        <v>325</v>
      </c>
      <c r="M109" s="267" t="s">
        <v>303</v>
      </c>
      <c r="N109" s="264" t="s">
        <v>397</v>
      </c>
      <c r="O109" s="266">
        <v>54</v>
      </c>
      <c r="P109" s="267" t="s">
        <v>398</v>
      </c>
      <c r="Q109" s="267" t="s">
        <v>76</v>
      </c>
      <c r="R109" s="318"/>
      <c r="S109" s="254" t="s">
        <v>191</v>
      </c>
      <c r="T109" s="269">
        <v>12</v>
      </c>
      <c r="U109" s="270">
        <v>1379.17</v>
      </c>
      <c r="V109" s="270">
        <v>16550.04</v>
      </c>
      <c r="W109" s="269">
        <v>11</v>
      </c>
      <c r="X109" s="270">
        <v>1447.1</v>
      </c>
      <c r="Y109" s="270">
        <v>15918.1</v>
      </c>
      <c r="Z109" s="269">
        <v>15</v>
      </c>
      <c r="AA109" s="270">
        <v>1089.4</v>
      </c>
      <c r="AB109" s="270">
        <v>16341</v>
      </c>
      <c r="AC109" s="271">
        <f t="shared" si="1"/>
        <v>48809.14</v>
      </c>
      <c r="AD109" s="271" t="s">
        <v>402</v>
      </c>
      <c r="AE109" s="279" t="s">
        <v>77</v>
      </c>
      <c r="AF109" s="235"/>
    </row>
    <row r="110" spans="1:92" s="109" customFormat="1" ht="91.5" customHeight="1">
      <c r="A110" s="284"/>
      <c r="B110" s="263" t="s">
        <v>295</v>
      </c>
      <c r="C110" s="264" t="s">
        <v>285</v>
      </c>
      <c r="D110" s="298" t="s">
        <v>27</v>
      </c>
      <c r="E110" s="266" t="s">
        <v>513</v>
      </c>
      <c r="F110" s="264" t="s">
        <v>78</v>
      </c>
      <c r="G110" s="264"/>
      <c r="H110" s="264" t="s">
        <v>79</v>
      </c>
      <c r="I110" s="266" t="s">
        <v>393</v>
      </c>
      <c r="J110" s="264" t="s">
        <v>394</v>
      </c>
      <c r="K110" s="264"/>
      <c r="L110" s="264" t="s">
        <v>457</v>
      </c>
      <c r="M110" s="266" t="s">
        <v>212</v>
      </c>
      <c r="N110" s="264" t="s">
        <v>206</v>
      </c>
      <c r="O110" s="266">
        <v>54</v>
      </c>
      <c r="P110" s="264" t="s">
        <v>398</v>
      </c>
      <c r="Q110" s="264" t="s">
        <v>80</v>
      </c>
      <c r="R110" s="264"/>
      <c r="S110" s="264"/>
      <c r="T110" s="269">
        <v>1</v>
      </c>
      <c r="U110" s="287">
        <v>3000</v>
      </c>
      <c r="V110" s="287">
        <v>3000</v>
      </c>
      <c r="W110" s="269">
        <v>1</v>
      </c>
      <c r="X110" s="270">
        <v>3000</v>
      </c>
      <c r="Y110" s="270">
        <v>3000</v>
      </c>
      <c r="Z110" s="269">
        <v>1</v>
      </c>
      <c r="AA110" s="270">
        <v>3300</v>
      </c>
      <c r="AB110" s="270">
        <v>3300</v>
      </c>
      <c r="AC110" s="271">
        <f t="shared" si="1"/>
        <v>9300</v>
      </c>
      <c r="AD110" s="271"/>
      <c r="AE110" s="294" t="s">
        <v>785</v>
      </c>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c r="CH110" s="122"/>
      <c r="CI110" s="122"/>
      <c r="CJ110" s="122"/>
      <c r="CK110" s="122"/>
      <c r="CL110" s="122"/>
      <c r="CM110" s="122"/>
      <c r="CN110" s="122"/>
    </row>
    <row r="111" spans="1:92" s="109" customFormat="1" ht="102" customHeight="1">
      <c r="A111" s="284"/>
      <c r="B111" s="263" t="s">
        <v>295</v>
      </c>
      <c r="C111" s="264" t="s">
        <v>285</v>
      </c>
      <c r="D111" s="264" t="s">
        <v>20</v>
      </c>
      <c r="E111" s="266" t="s">
        <v>485</v>
      </c>
      <c r="F111" s="264" t="s">
        <v>81</v>
      </c>
      <c r="G111" s="264" t="s">
        <v>411</v>
      </c>
      <c r="H111" s="267" t="s">
        <v>82</v>
      </c>
      <c r="I111" s="266" t="s">
        <v>489</v>
      </c>
      <c r="J111" s="264" t="s">
        <v>15</v>
      </c>
      <c r="K111" s="264"/>
      <c r="L111" s="266" t="s">
        <v>309</v>
      </c>
      <c r="M111" s="266" t="s">
        <v>212</v>
      </c>
      <c r="N111" s="264" t="s">
        <v>206</v>
      </c>
      <c r="O111" s="266">
        <v>51</v>
      </c>
      <c r="P111" s="264" t="s">
        <v>207</v>
      </c>
      <c r="Q111" s="267" t="s">
        <v>83</v>
      </c>
      <c r="R111" s="264"/>
      <c r="S111" s="264"/>
      <c r="T111" s="269">
        <v>2</v>
      </c>
      <c r="U111" s="287">
        <v>3000</v>
      </c>
      <c r="V111" s="287">
        <v>6000</v>
      </c>
      <c r="W111" s="269">
        <v>2</v>
      </c>
      <c r="X111" s="270">
        <v>3000</v>
      </c>
      <c r="Y111" s="270">
        <v>6000</v>
      </c>
      <c r="Z111" s="269">
        <v>2</v>
      </c>
      <c r="AA111" s="270">
        <v>3300</v>
      </c>
      <c r="AB111" s="270">
        <v>6600</v>
      </c>
      <c r="AC111" s="271">
        <f t="shared" si="1"/>
        <v>18600</v>
      </c>
      <c r="AD111" s="271"/>
      <c r="AE111" s="279" t="s">
        <v>84</v>
      </c>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c r="CH111" s="122"/>
      <c r="CI111" s="122"/>
      <c r="CJ111" s="122"/>
      <c r="CK111" s="122"/>
      <c r="CL111" s="122"/>
      <c r="CM111" s="122"/>
      <c r="CN111" s="122"/>
    </row>
    <row r="112" spans="1:32" ht="219.75" customHeight="1">
      <c r="A112" s="254">
        <v>50</v>
      </c>
      <c r="B112" s="263" t="s">
        <v>295</v>
      </c>
      <c r="C112" s="264" t="s">
        <v>285</v>
      </c>
      <c r="D112" s="264" t="s">
        <v>305</v>
      </c>
      <c r="E112" s="266" t="s">
        <v>513</v>
      </c>
      <c r="F112" s="264" t="s">
        <v>85</v>
      </c>
      <c r="G112" s="264" t="s">
        <v>411</v>
      </c>
      <c r="H112" s="264" t="s">
        <v>86</v>
      </c>
      <c r="I112" s="266"/>
      <c r="J112" s="264"/>
      <c r="K112" s="264" t="s">
        <v>457</v>
      </c>
      <c r="L112" s="264" t="s">
        <v>457</v>
      </c>
      <c r="M112" s="266" t="s">
        <v>303</v>
      </c>
      <c r="N112" s="264" t="s">
        <v>397</v>
      </c>
      <c r="O112" s="266">
        <v>54</v>
      </c>
      <c r="P112" s="264" t="s">
        <v>398</v>
      </c>
      <c r="Q112" s="264" t="s">
        <v>335</v>
      </c>
      <c r="R112" s="264"/>
      <c r="S112" s="273" t="s">
        <v>416</v>
      </c>
      <c r="T112" s="269">
        <v>1</v>
      </c>
      <c r="U112" s="270">
        <v>27000</v>
      </c>
      <c r="V112" s="270">
        <v>27000</v>
      </c>
      <c r="W112" s="269">
        <v>1</v>
      </c>
      <c r="X112" s="287">
        <v>27000</v>
      </c>
      <c r="Y112" s="287">
        <v>27000</v>
      </c>
      <c r="Z112" s="269">
        <v>1</v>
      </c>
      <c r="AA112" s="270">
        <v>27000</v>
      </c>
      <c r="AB112" s="270">
        <v>27000</v>
      </c>
      <c r="AC112" s="271">
        <f t="shared" si="1"/>
        <v>81000</v>
      </c>
      <c r="AD112" s="271" t="s">
        <v>402</v>
      </c>
      <c r="AE112" s="280" t="s">
        <v>336</v>
      </c>
      <c r="AF112" s="235"/>
    </row>
    <row r="113" spans="1:92" s="109" customFormat="1" ht="219.75" customHeight="1">
      <c r="A113" s="284"/>
      <c r="B113" s="263" t="s">
        <v>295</v>
      </c>
      <c r="C113" s="264" t="s">
        <v>285</v>
      </c>
      <c r="D113" s="264" t="s">
        <v>41</v>
      </c>
      <c r="E113" s="266" t="s">
        <v>485</v>
      </c>
      <c r="F113" s="264" t="s">
        <v>88</v>
      </c>
      <c r="G113" s="267" t="s">
        <v>487</v>
      </c>
      <c r="H113" s="264" t="s">
        <v>89</v>
      </c>
      <c r="I113" s="266" t="s">
        <v>393</v>
      </c>
      <c r="J113" s="264"/>
      <c r="K113" s="266"/>
      <c r="L113" s="266" t="s">
        <v>309</v>
      </c>
      <c r="M113" s="266" t="s">
        <v>756</v>
      </c>
      <c r="N113" s="264" t="s">
        <v>156</v>
      </c>
      <c r="O113" s="266">
        <v>54</v>
      </c>
      <c r="P113" s="264" t="s">
        <v>398</v>
      </c>
      <c r="Q113" s="264" t="s">
        <v>90</v>
      </c>
      <c r="R113" s="264"/>
      <c r="S113" s="273"/>
      <c r="T113" s="269">
        <v>1</v>
      </c>
      <c r="U113" s="269">
        <v>25000</v>
      </c>
      <c r="V113" s="269">
        <f>+T113*U113</f>
        <v>25000</v>
      </c>
      <c r="W113" s="269">
        <v>1</v>
      </c>
      <c r="X113" s="269">
        <v>25000</v>
      </c>
      <c r="Y113" s="269">
        <f>+W113*X113</f>
        <v>25000</v>
      </c>
      <c r="Z113" s="269">
        <v>1</v>
      </c>
      <c r="AA113" s="269">
        <v>25000</v>
      </c>
      <c r="AB113" s="269">
        <f>+Z113*AA113</f>
        <v>25000</v>
      </c>
      <c r="AC113" s="271">
        <f t="shared" si="1"/>
        <v>75000</v>
      </c>
      <c r="AD113" s="271"/>
      <c r="AE113" s="319" t="s">
        <v>91</v>
      </c>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c r="CJ113" s="122"/>
      <c r="CK113" s="122"/>
      <c r="CL113" s="122"/>
      <c r="CM113" s="122"/>
      <c r="CN113" s="122"/>
    </row>
    <row r="114" spans="1:32" ht="219.75" customHeight="1">
      <c r="A114" s="254">
        <v>51</v>
      </c>
      <c r="B114" s="256" t="s">
        <v>295</v>
      </c>
      <c r="C114" s="267" t="s">
        <v>285</v>
      </c>
      <c r="D114" s="298" t="s">
        <v>27</v>
      </c>
      <c r="E114" s="267" t="s">
        <v>287</v>
      </c>
      <c r="F114" s="267" t="s">
        <v>92</v>
      </c>
      <c r="G114" s="267" t="s">
        <v>288</v>
      </c>
      <c r="H114" s="267" t="s">
        <v>93</v>
      </c>
      <c r="I114" s="266" t="s">
        <v>393</v>
      </c>
      <c r="J114" s="266" t="s">
        <v>394</v>
      </c>
      <c r="K114" s="264" t="s">
        <v>291</v>
      </c>
      <c r="L114" s="264" t="s">
        <v>291</v>
      </c>
      <c r="M114" s="267" t="s">
        <v>303</v>
      </c>
      <c r="N114" s="264" t="s">
        <v>397</v>
      </c>
      <c r="O114" s="266">
        <v>54</v>
      </c>
      <c r="P114" s="267" t="s">
        <v>398</v>
      </c>
      <c r="Q114" s="267" t="s">
        <v>94</v>
      </c>
      <c r="R114" s="267"/>
      <c r="S114" s="320" t="s">
        <v>50</v>
      </c>
      <c r="T114" s="269">
        <v>140</v>
      </c>
      <c r="U114" s="287">
        <v>24</v>
      </c>
      <c r="V114" s="287">
        <f>+T114*U114</f>
        <v>3360</v>
      </c>
      <c r="W114" s="269">
        <v>140</v>
      </c>
      <c r="X114" s="287">
        <v>24</v>
      </c>
      <c r="Y114" s="287">
        <f>+W114*X114</f>
        <v>3360</v>
      </c>
      <c r="Z114" s="269">
        <v>140</v>
      </c>
      <c r="AA114" s="287">
        <v>24</v>
      </c>
      <c r="AB114" s="287">
        <f>+Z114*AA114</f>
        <v>3360</v>
      </c>
      <c r="AC114" s="271">
        <f t="shared" si="1"/>
        <v>10080</v>
      </c>
      <c r="AD114" s="271" t="s">
        <v>402</v>
      </c>
      <c r="AE114" s="267" t="s">
        <v>650</v>
      </c>
      <c r="AF114" s="235"/>
    </row>
    <row r="115" spans="1:32" ht="219.75" customHeight="1">
      <c r="A115" s="254">
        <v>52</v>
      </c>
      <c r="B115" s="263" t="s">
        <v>95</v>
      </c>
      <c r="C115" s="264" t="s">
        <v>96</v>
      </c>
      <c r="D115" s="264" t="s">
        <v>97</v>
      </c>
      <c r="E115" s="266"/>
      <c r="F115" s="264" t="s">
        <v>98</v>
      </c>
      <c r="G115" s="264"/>
      <c r="H115" s="264" t="s">
        <v>99</v>
      </c>
      <c r="I115" s="266" t="s">
        <v>412</v>
      </c>
      <c r="J115" s="264" t="s">
        <v>394</v>
      </c>
      <c r="K115" s="264" t="s">
        <v>45</v>
      </c>
      <c r="L115" s="264" t="s">
        <v>45</v>
      </c>
      <c r="M115" s="266" t="s">
        <v>100</v>
      </c>
      <c r="N115" s="264" t="s">
        <v>397</v>
      </c>
      <c r="O115" s="266">
        <v>54</v>
      </c>
      <c r="P115" s="264" t="s">
        <v>398</v>
      </c>
      <c r="Q115" s="264" t="s">
        <v>684</v>
      </c>
      <c r="R115" s="264"/>
      <c r="S115" s="273"/>
      <c r="T115" s="269">
        <v>1</v>
      </c>
      <c r="U115" s="270">
        <v>30661.6</v>
      </c>
      <c r="V115" s="270">
        <f>+T115*U115</f>
        <v>30661.6</v>
      </c>
      <c r="W115" s="269">
        <v>1</v>
      </c>
      <c r="X115" s="270">
        <v>36984.17</v>
      </c>
      <c r="Y115" s="270">
        <f>+W115*X115</f>
        <v>36984.17</v>
      </c>
      <c r="Z115" s="269">
        <v>1</v>
      </c>
      <c r="AA115" s="270">
        <f>+'[2]PNUD'!$O$428</f>
        <v>36984.17</v>
      </c>
      <c r="AB115" s="270">
        <v>36984.17</v>
      </c>
      <c r="AC115" s="271">
        <f t="shared" si="1"/>
        <v>104629.93999999999</v>
      </c>
      <c r="AD115" s="271" t="s">
        <v>196</v>
      </c>
      <c r="AE115" s="280" t="s">
        <v>683</v>
      </c>
      <c r="AF115" s="235"/>
    </row>
    <row r="116" spans="1:31" ht="219.75" customHeight="1">
      <c r="A116" s="284"/>
      <c r="B116" s="263"/>
      <c r="C116" s="264"/>
      <c r="D116" s="264"/>
      <c r="E116" s="266"/>
      <c r="F116" s="264"/>
      <c r="G116" s="264"/>
      <c r="H116" s="264"/>
      <c r="I116" s="266"/>
      <c r="J116" s="264"/>
      <c r="K116" s="264" t="s">
        <v>45</v>
      </c>
      <c r="L116" s="264"/>
      <c r="M116" s="266"/>
      <c r="N116" s="264"/>
      <c r="O116" s="266"/>
      <c r="P116" s="264"/>
      <c r="Q116" s="264"/>
      <c r="R116" s="264"/>
      <c r="S116" s="273"/>
      <c r="T116" s="269"/>
      <c r="U116" s="270"/>
      <c r="V116" s="270"/>
      <c r="W116" s="269"/>
      <c r="X116" s="270"/>
      <c r="Y116" s="270"/>
      <c r="Z116" s="269"/>
      <c r="AA116" s="270"/>
      <c r="AB116" s="270"/>
      <c r="AC116" s="271"/>
      <c r="AD116" s="271"/>
      <c r="AE116" s="280" t="s">
        <v>101</v>
      </c>
    </row>
    <row r="117" spans="1:32" ht="219.75" customHeight="1">
      <c r="A117" s="254">
        <v>53</v>
      </c>
      <c r="B117" s="263" t="s">
        <v>95</v>
      </c>
      <c r="C117" s="264" t="s">
        <v>96</v>
      </c>
      <c r="D117" s="264" t="s">
        <v>97</v>
      </c>
      <c r="E117" s="266"/>
      <c r="F117" s="264" t="s">
        <v>102</v>
      </c>
      <c r="G117" s="264"/>
      <c r="H117" s="264" t="s">
        <v>99</v>
      </c>
      <c r="I117" s="266" t="s">
        <v>412</v>
      </c>
      <c r="J117" s="264" t="s">
        <v>103</v>
      </c>
      <c r="K117" s="264" t="s">
        <v>45</v>
      </c>
      <c r="L117" s="264" t="s">
        <v>45</v>
      </c>
      <c r="M117" s="266" t="s">
        <v>100</v>
      </c>
      <c r="N117" s="264" t="s">
        <v>397</v>
      </c>
      <c r="O117" s="266">
        <v>54</v>
      </c>
      <c r="P117" s="264" t="s">
        <v>398</v>
      </c>
      <c r="Q117" s="264" t="s">
        <v>104</v>
      </c>
      <c r="R117" s="264"/>
      <c r="S117" s="273"/>
      <c r="T117" s="269">
        <v>1</v>
      </c>
      <c r="U117" s="270">
        <v>25000</v>
      </c>
      <c r="V117" s="270">
        <v>25000</v>
      </c>
      <c r="W117" s="269">
        <v>1</v>
      </c>
      <c r="X117" s="270">
        <v>25000</v>
      </c>
      <c r="Y117" s="270">
        <v>25000</v>
      </c>
      <c r="Z117" s="269">
        <v>1</v>
      </c>
      <c r="AA117" s="270">
        <v>25000</v>
      </c>
      <c r="AB117" s="270">
        <v>25000</v>
      </c>
      <c r="AC117" s="271">
        <f t="shared" si="1"/>
        <v>75000</v>
      </c>
      <c r="AD117" s="271" t="s">
        <v>105</v>
      </c>
      <c r="AE117" s="280" t="s">
        <v>651</v>
      </c>
      <c r="AF117" s="235"/>
    </row>
    <row r="118" spans="1:32" ht="219.75" customHeight="1">
      <c r="A118" s="254">
        <v>54</v>
      </c>
      <c r="B118" s="263" t="s">
        <v>95</v>
      </c>
      <c r="C118" s="264" t="s">
        <v>96</v>
      </c>
      <c r="D118" s="264" t="s">
        <v>97</v>
      </c>
      <c r="E118" s="266"/>
      <c r="F118" s="264" t="s">
        <v>71</v>
      </c>
      <c r="G118" s="264"/>
      <c r="H118" s="264" t="s">
        <v>99</v>
      </c>
      <c r="I118" s="266" t="s">
        <v>412</v>
      </c>
      <c r="J118" s="264" t="s">
        <v>394</v>
      </c>
      <c r="K118" s="264" t="s">
        <v>45</v>
      </c>
      <c r="L118" s="264" t="s">
        <v>45</v>
      </c>
      <c r="M118" s="266" t="s">
        <v>100</v>
      </c>
      <c r="N118" s="264" t="s">
        <v>397</v>
      </c>
      <c r="O118" s="266">
        <v>54</v>
      </c>
      <c r="P118" s="264" t="s">
        <v>398</v>
      </c>
      <c r="Q118" s="264" t="s">
        <v>70</v>
      </c>
      <c r="R118" s="264"/>
      <c r="S118" s="273"/>
      <c r="T118" s="269">
        <v>1</v>
      </c>
      <c r="U118" s="270">
        <f>12828.97-2057.49</f>
        <v>10771.48</v>
      </c>
      <c r="V118" s="270">
        <f aca="true" t="shared" si="2" ref="V118:V123">+T118*U118</f>
        <v>10771.48</v>
      </c>
      <c r="W118" s="269">
        <v>1</v>
      </c>
      <c r="X118" s="270">
        <f>23605.3-4114.98+349.77</f>
        <v>19840.09</v>
      </c>
      <c r="Y118" s="270">
        <f aca="true" t="shared" si="3" ref="Y118:Y123">+W118*X118</f>
        <v>19840.09</v>
      </c>
      <c r="Z118" s="269">
        <v>1</v>
      </c>
      <c r="AA118" s="270">
        <f>14881.6-2057.49</f>
        <v>12824.11</v>
      </c>
      <c r="AB118" s="270">
        <f>+Z118*AA118</f>
        <v>12824.11</v>
      </c>
      <c r="AC118" s="271">
        <f t="shared" si="1"/>
        <v>43435.68</v>
      </c>
      <c r="AD118" s="271" t="s">
        <v>182</v>
      </c>
      <c r="AE118" s="314" t="s">
        <v>652</v>
      </c>
      <c r="AF118" s="235"/>
    </row>
    <row r="119" spans="1:32" ht="219.75" customHeight="1">
      <c r="A119" s="254">
        <v>54</v>
      </c>
      <c r="B119" s="263" t="s">
        <v>95</v>
      </c>
      <c r="C119" s="264" t="s">
        <v>96</v>
      </c>
      <c r="D119" s="264" t="s">
        <v>97</v>
      </c>
      <c r="E119" s="266"/>
      <c r="F119" s="264" t="s">
        <v>72</v>
      </c>
      <c r="G119" s="264"/>
      <c r="H119" s="264" t="s">
        <v>99</v>
      </c>
      <c r="I119" s="266" t="s">
        <v>412</v>
      </c>
      <c r="J119" s="264" t="s">
        <v>394</v>
      </c>
      <c r="K119" s="264" t="s">
        <v>45</v>
      </c>
      <c r="L119" s="264" t="s">
        <v>45</v>
      </c>
      <c r="M119" s="266" t="s">
        <v>100</v>
      </c>
      <c r="N119" s="264" t="s">
        <v>397</v>
      </c>
      <c r="O119" s="266">
        <v>54</v>
      </c>
      <c r="P119" s="264" t="s">
        <v>398</v>
      </c>
      <c r="Q119" s="264" t="s">
        <v>69</v>
      </c>
      <c r="R119" s="264"/>
      <c r="S119" s="273"/>
      <c r="T119" s="269">
        <v>1</v>
      </c>
      <c r="U119" s="270">
        <v>28113.1</v>
      </c>
      <c r="V119" s="270">
        <f t="shared" si="2"/>
        <v>28113.1</v>
      </c>
      <c r="W119" s="269">
        <v>1</v>
      </c>
      <c r="X119" s="270">
        <v>3600</v>
      </c>
      <c r="Y119" s="270">
        <f t="shared" si="3"/>
        <v>3600</v>
      </c>
      <c r="Z119" s="269">
        <v>1</v>
      </c>
      <c r="AA119" s="270">
        <v>3300</v>
      </c>
      <c r="AB119" s="270">
        <f>+Z119*AA119</f>
        <v>3300</v>
      </c>
      <c r="AC119" s="271">
        <f t="shared" si="1"/>
        <v>35013.1</v>
      </c>
      <c r="AD119" s="271" t="s">
        <v>402</v>
      </c>
      <c r="AE119" s="314" t="s">
        <v>652</v>
      </c>
      <c r="AF119" s="235"/>
    </row>
    <row r="120" spans="1:32" ht="219.75" customHeight="1">
      <c r="A120" s="254">
        <v>54</v>
      </c>
      <c r="B120" s="263" t="s">
        <v>95</v>
      </c>
      <c r="C120" s="264" t="s">
        <v>96</v>
      </c>
      <c r="D120" s="264" t="s">
        <v>97</v>
      </c>
      <c r="E120" s="266"/>
      <c r="F120" s="264" t="s">
        <v>73</v>
      </c>
      <c r="G120" s="264"/>
      <c r="H120" s="264" t="s">
        <v>99</v>
      </c>
      <c r="I120" s="266" t="s">
        <v>412</v>
      </c>
      <c r="J120" s="264" t="s">
        <v>394</v>
      </c>
      <c r="K120" s="264" t="s">
        <v>45</v>
      </c>
      <c r="L120" s="264" t="s">
        <v>45</v>
      </c>
      <c r="M120" s="266" t="s">
        <v>100</v>
      </c>
      <c r="N120" s="264" t="s">
        <v>397</v>
      </c>
      <c r="O120" s="266">
        <v>54</v>
      </c>
      <c r="P120" s="264" t="s">
        <v>398</v>
      </c>
      <c r="Q120" s="264" t="s">
        <v>68</v>
      </c>
      <c r="R120" s="264"/>
      <c r="S120" s="273"/>
      <c r="T120" s="269">
        <v>1</v>
      </c>
      <c r="U120" s="270">
        <v>0</v>
      </c>
      <c r="V120" s="270">
        <f t="shared" si="2"/>
        <v>0</v>
      </c>
      <c r="W120" s="269">
        <v>1</v>
      </c>
      <c r="X120" s="270">
        <f>1275+2395.98-1.67-98-98-98-21.46</f>
        <v>3353.85</v>
      </c>
      <c r="Y120" s="270">
        <f t="shared" si="3"/>
        <v>3353.85</v>
      </c>
      <c r="Z120" s="269"/>
      <c r="AA120" s="270">
        <v>0</v>
      </c>
      <c r="AB120" s="270">
        <v>0</v>
      </c>
      <c r="AC120" s="271">
        <f t="shared" si="1"/>
        <v>3353.85</v>
      </c>
      <c r="AD120" s="271" t="s">
        <v>196</v>
      </c>
      <c r="AE120" s="314" t="s">
        <v>653</v>
      </c>
      <c r="AF120" s="235"/>
    </row>
    <row r="121" spans="1:32" ht="219.75" customHeight="1">
      <c r="A121" s="254">
        <v>55</v>
      </c>
      <c r="B121" s="263" t="s">
        <v>95</v>
      </c>
      <c r="C121" s="264" t="s">
        <v>96</v>
      </c>
      <c r="D121" s="264" t="s">
        <v>97</v>
      </c>
      <c r="E121" s="266"/>
      <c r="F121" s="264" t="s">
        <v>64</v>
      </c>
      <c r="G121" s="264"/>
      <c r="H121" s="264" t="s">
        <v>99</v>
      </c>
      <c r="I121" s="266" t="s">
        <v>412</v>
      </c>
      <c r="J121" s="264" t="s">
        <v>394</v>
      </c>
      <c r="K121" s="264" t="s">
        <v>45</v>
      </c>
      <c r="L121" s="264" t="s">
        <v>45</v>
      </c>
      <c r="M121" s="266" t="s">
        <v>100</v>
      </c>
      <c r="N121" s="264" t="s">
        <v>397</v>
      </c>
      <c r="O121" s="266">
        <v>55</v>
      </c>
      <c r="P121" s="264" t="s">
        <v>676</v>
      </c>
      <c r="Q121" s="264" t="s">
        <v>65</v>
      </c>
      <c r="R121" s="264"/>
      <c r="S121" s="273"/>
      <c r="T121" s="269">
        <v>1</v>
      </c>
      <c r="U121" s="270">
        <f>+V127*5%</f>
        <v>70378.5905</v>
      </c>
      <c r="V121" s="270">
        <f t="shared" si="2"/>
        <v>70378.5905</v>
      </c>
      <c r="W121" s="269">
        <v>1</v>
      </c>
      <c r="X121" s="270">
        <f>+Y127*5%</f>
        <v>40333.7655</v>
      </c>
      <c r="Y121" s="270">
        <f t="shared" si="3"/>
        <v>40333.7655</v>
      </c>
      <c r="Z121" s="269">
        <v>1</v>
      </c>
      <c r="AA121" s="270">
        <f>+AB127*5%</f>
        <v>31087.662500000002</v>
      </c>
      <c r="AB121" s="270">
        <f>+Z121*AA121</f>
        <v>31087.662500000002</v>
      </c>
      <c r="AC121" s="271">
        <f t="shared" si="1"/>
        <v>141800.0185</v>
      </c>
      <c r="AD121" s="280"/>
      <c r="AE121" s="314" t="s">
        <v>654</v>
      </c>
      <c r="AF121" s="235"/>
    </row>
    <row r="122" spans="1:32" ht="219.75" customHeight="1">
      <c r="A122" s="254">
        <v>55</v>
      </c>
      <c r="B122" s="263" t="s">
        <v>95</v>
      </c>
      <c r="C122" s="264" t="s">
        <v>96</v>
      </c>
      <c r="D122" s="264" t="s">
        <v>97</v>
      </c>
      <c r="E122" s="266"/>
      <c r="F122" s="264" t="s">
        <v>66</v>
      </c>
      <c r="G122" s="264"/>
      <c r="H122" s="264" t="s">
        <v>99</v>
      </c>
      <c r="I122" s="266" t="s">
        <v>412</v>
      </c>
      <c r="J122" s="264" t="s">
        <v>394</v>
      </c>
      <c r="K122" s="264" t="s">
        <v>45</v>
      </c>
      <c r="L122" s="264" t="s">
        <v>45</v>
      </c>
      <c r="M122" s="266" t="s">
        <v>100</v>
      </c>
      <c r="N122" s="264" t="s">
        <v>397</v>
      </c>
      <c r="O122" s="266">
        <v>55</v>
      </c>
      <c r="P122" s="264" t="s">
        <v>676</v>
      </c>
      <c r="Q122" s="264" t="s">
        <v>67</v>
      </c>
      <c r="R122" s="264"/>
      <c r="S122" s="273"/>
      <c r="T122" s="269">
        <v>1</v>
      </c>
      <c r="U122" s="270">
        <f>+(V131+V132)*0.0425</f>
        <v>9319.0379</v>
      </c>
      <c r="V122" s="270">
        <f t="shared" si="2"/>
        <v>9319.0379</v>
      </c>
      <c r="W122" s="269">
        <v>1</v>
      </c>
      <c r="X122" s="270">
        <f>+(Y131+Y132)*0.0425</f>
        <v>16950.703825</v>
      </c>
      <c r="Y122" s="270">
        <f t="shared" si="3"/>
        <v>16950.703825</v>
      </c>
      <c r="Z122" s="269">
        <v>1</v>
      </c>
      <c r="AA122" s="270">
        <f>+(AB131+AB132)*0.0425</f>
        <v>10545.274675</v>
      </c>
      <c r="AB122" s="270">
        <f>+Z122*AA122</f>
        <v>10545.274675</v>
      </c>
      <c r="AC122" s="271">
        <f t="shared" si="1"/>
        <v>36815.0164</v>
      </c>
      <c r="AD122" s="280"/>
      <c r="AE122" s="314" t="s">
        <v>654</v>
      </c>
      <c r="AF122" s="235"/>
    </row>
    <row r="123" spans="1:32" ht="219.75" customHeight="1">
      <c r="A123" s="254">
        <v>55</v>
      </c>
      <c r="B123" s="263" t="s">
        <v>95</v>
      </c>
      <c r="C123" s="264" t="s">
        <v>96</v>
      </c>
      <c r="D123" s="264" t="s">
        <v>97</v>
      </c>
      <c r="E123" s="266"/>
      <c r="F123" s="264" t="s">
        <v>74</v>
      </c>
      <c r="G123" s="264"/>
      <c r="H123" s="264" t="s">
        <v>99</v>
      </c>
      <c r="I123" s="266"/>
      <c r="J123" s="264"/>
      <c r="K123" s="264" t="s">
        <v>45</v>
      </c>
      <c r="L123" s="264" t="s">
        <v>45</v>
      </c>
      <c r="M123" s="266" t="s">
        <v>100</v>
      </c>
      <c r="N123" s="264" t="s">
        <v>397</v>
      </c>
      <c r="O123" s="266">
        <v>55</v>
      </c>
      <c r="P123" s="264" t="s">
        <v>676</v>
      </c>
      <c r="Q123" s="264" t="s">
        <v>75</v>
      </c>
      <c r="R123" s="264"/>
      <c r="S123" s="273"/>
      <c r="T123" s="269">
        <v>1</v>
      </c>
      <c r="U123" s="270">
        <f>+V127*0.02</f>
        <v>28151.4362</v>
      </c>
      <c r="V123" s="270">
        <f t="shared" si="2"/>
        <v>28151.4362</v>
      </c>
      <c r="W123" s="269">
        <v>1</v>
      </c>
      <c r="X123" s="270">
        <f>+Y127*0.02</f>
        <v>16133.5062</v>
      </c>
      <c r="Y123" s="270">
        <f t="shared" si="3"/>
        <v>16133.5062</v>
      </c>
      <c r="Z123" s="269">
        <v>1</v>
      </c>
      <c r="AA123" s="270">
        <f>+AB127*0.02</f>
        <v>12435.065</v>
      </c>
      <c r="AB123" s="270">
        <f>+Z123*AA123</f>
        <v>12435.065</v>
      </c>
      <c r="AC123" s="271">
        <f t="shared" si="1"/>
        <v>56720.0074</v>
      </c>
      <c r="AD123" s="280"/>
      <c r="AE123" s="314" t="s">
        <v>655</v>
      </c>
      <c r="AF123" s="235"/>
    </row>
    <row r="124" spans="1:92" s="109" customFormat="1" ht="12.75" customHeight="1">
      <c r="A124" s="284"/>
      <c r="B124" s="273"/>
      <c r="C124" s="273"/>
      <c r="D124" s="273"/>
      <c r="E124" s="254"/>
      <c r="F124" s="273"/>
      <c r="G124" s="273"/>
      <c r="H124" s="273"/>
      <c r="I124" s="273"/>
      <c r="J124" s="273"/>
      <c r="K124" s="273"/>
      <c r="L124" s="273"/>
      <c r="M124" s="273"/>
      <c r="N124" s="273"/>
      <c r="O124" s="273"/>
      <c r="P124" s="273"/>
      <c r="Q124" s="273"/>
      <c r="R124" s="273"/>
      <c r="S124" s="273"/>
      <c r="T124" s="254"/>
      <c r="U124" s="254"/>
      <c r="V124" s="321">
        <f>+SUM(V2:V123)</f>
        <v>11690015.205119655</v>
      </c>
      <c r="W124" s="269"/>
      <c r="X124" s="270"/>
      <c r="Y124" s="321">
        <f>+SUM(Y2:Y123)</f>
        <v>11337958.265724173</v>
      </c>
      <c r="Z124" s="322"/>
      <c r="AA124" s="270"/>
      <c r="AB124" s="321">
        <f>+SUM(AB2:AB123)</f>
        <v>11911725.089394087</v>
      </c>
      <c r="AC124" s="321">
        <f>+SUM(AC2:AC123)</f>
        <v>34939698.56023792</v>
      </c>
      <c r="AD124" s="323"/>
      <c r="AE124" s="324"/>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c r="CH124" s="122"/>
      <c r="CI124" s="122"/>
      <c r="CJ124" s="122"/>
      <c r="CK124" s="122"/>
      <c r="CL124" s="122"/>
      <c r="CM124" s="122"/>
      <c r="CN124" s="122"/>
    </row>
    <row r="125" spans="2:31" ht="219.75" customHeight="1">
      <c r="B125" s="134"/>
      <c r="C125" s="134"/>
      <c r="D125" s="134"/>
      <c r="E125" s="107"/>
      <c r="F125" s="134"/>
      <c r="G125" s="134"/>
      <c r="H125" s="134"/>
      <c r="I125" s="134"/>
      <c r="J125" s="134"/>
      <c r="K125" s="134"/>
      <c r="L125" s="134"/>
      <c r="M125" s="134"/>
      <c r="N125" s="134"/>
      <c r="O125" s="134"/>
      <c r="P125" s="134"/>
      <c r="Q125" s="135"/>
      <c r="R125" s="134"/>
      <c r="S125" s="134"/>
      <c r="T125" s="136"/>
      <c r="U125" s="107"/>
      <c r="V125" s="137"/>
      <c r="W125" s="138"/>
      <c r="X125" s="139"/>
      <c r="Y125" s="140"/>
      <c r="Z125" s="136"/>
      <c r="AA125" s="139"/>
      <c r="AB125" s="140"/>
      <c r="AC125" s="141"/>
      <c r="AD125" s="141"/>
      <c r="AE125" s="142"/>
    </row>
    <row r="126" spans="2:35" ht="219.75" customHeight="1" hidden="1">
      <c r="B126" s="134"/>
      <c r="C126" s="134"/>
      <c r="D126" s="134"/>
      <c r="E126" s="107"/>
      <c r="F126" s="134"/>
      <c r="G126" s="134"/>
      <c r="H126" s="134"/>
      <c r="I126" s="134"/>
      <c r="J126" s="134"/>
      <c r="K126" s="134"/>
      <c r="L126" s="134"/>
      <c r="M126" s="134"/>
      <c r="N126" s="134"/>
      <c r="O126" s="134"/>
      <c r="P126" s="133" t="s">
        <v>106</v>
      </c>
      <c r="Q126" s="133" t="s">
        <v>107</v>
      </c>
      <c r="R126" s="134"/>
      <c r="S126" s="134"/>
      <c r="T126" s="136"/>
      <c r="U126" s="107"/>
      <c r="V126" s="143" t="s">
        <v>108</v>
      </c>
      <c r="W126" s="144"/>
      <c r="X126" s="145"/>
      <c r="Y126" s="145" t="s">
        <v>109</v>
      </c>
      <c r="Z126" s="120"/>
      <c r="AA126" s="118"/>
      <c r="AB126" s="145" t="s">
        <v>110</v>
      </c>
      <c r="AC126" s="141" t="s">
        <v>111</v>
      </c>
      <c r="AD126" s="141"/>
      <c r="AE126" s="142"/>
      <c r="AI126" s="146">
        <f>+AC97</f>
        <v>38186.119999999995</v>
      </c>
    </row>
    <row r="127" spans="2:35" ht="219.75" customHeight="1" hidden="1">
      <c r="B127" s="134"/>
      <c r="C127" s="134"/>
      <c r="D127" s="134"/>
      <c r="E127" s="107"/>
      <c r="F127" s="134"/>
      <c r="G127" s="134"/>
      <c r="H127" s="134"/>
      <c r="I127" s="134"/>
      <c r="J127" s="134"/>
      <c r="K127" s="134"/>
      <c r="L127" s="134"/>
      <c r="M127" s="134"/>
      <c r="N127" s="134"/>
      <c r="O127" s="134"/>
      <c r="P127" s="249"/>
      <c r="Q127" s="116" t="s">
        <v>402</v>
      </c>
      <c r="R127" s="134"/>
      <c r="S127" s="134"/>
      <c r="T127" s="136">
        <f>+V127*0.05</f>
        <v>70378.5905</v>
      </c>
      <c r="U127" s="107">
        <f>+V127*0.02</f>
        <v>28151.4362</v>
      </c>
      <c r="V127" s="177">
        <f>SUMIF($AD:$AD,Q127,V:V)</f>
        <v>1407571.81</v>
      </c>
      <c r="W127" s="220"/>
      <c r="X127" s="177"/>
      <c r="Y127" s="177">
        <f>SUMIF($AD:$AD,Q127,Y:Y)</f>
        <v>806675.3099999999</v>
      </c>
      <c r="Z127" s="236"/>
      <c r="AA127" s="237"/>
      <c r="AB127" s="177">
        <f>SUMIF($AD:$AD,Q127,AB:AB)</f>
        <v>621753.25</v>
      </c>
      <c r="AC127" s="137">
        <f aca="true" t="shared" si="4" ref="AC127:AC136">+V127+Y127+AB127</f>
        <v>2836000.37</v>
      </c>
      <c r="AD127" s="137"/>
      <c r="AE127" s="142"/>
      <c r="AI127" s="146"/>
    </row>
    <row r="128" spans="2:37" ht="219.75" customHeight="1" hidden="1">
      <c r="B128" s="134"/>
      <c r="C128" s="134"/>
      <c r="D128" s="134"/>
      <c r="E128" s="107"/>
      <c r="F128" s="134"/>
      <c r="G128" s="134"/>
      <c r="H128" s="134"/>
      <c r="I128" s="134"/>
      <c r="J128" s="134"/>
      <c r="K128" s="134"/>
      <c r="L128" s="134"/>
      <c r="M128" s="134"/>
      <c r="N128" s="134"/>
      <c r="O128" s="134"/>
      <c r="P128" s="250"/>
      <c r="Q128" s="147" t="s">
        <v>112</v>
      </c>
      <c r="R128" s="134"/>
      <c r="S128" s="134"/>
      <c r="T128" s="136"/>
      <c r="U128" s="107"/>
      <c r="V128" s="177">
        <v>100421.22</v>
      </c>
      <c r="W128" s="220"/>
      <c r="X128" s="177"/>
      <c r="Y128" s="177">
        <v>56467.27</v>
      </c>
      <c r="Z128" s="236"/>
      <c r="AA128" s="237"/>
      <c r="AB128" s="177">
        <v>43522.73</v>
      </c>
      <c r="AC128" s="137">
        <f t="shared" si="4"/>
        <v>200411.22</v>
      </c>
      <c r="AD128" s="137"/>
      <c r="AE128" s="142"/>
      <c r="AG128" s="109"/>
      <c r="AH128" s="66">
        <v>2019</v>
      </c>
      <c r="AI128" s="66">
        <v>2020</v>
      </c>
      <c r="AJ128" s="66">
        <v>2021</v>
      </c>
      <c r="AK128" s="66" t="s">
        <v>111</v>
      </c>
    </row>
    <row r="129" spans="2:37" ht="219.75" customHeight="1" hidden="1">
      <c r="B129" s="134"/>
      <c r="C129" s="134"/>
      <c r="D129" s="134"/>
      <c r="E129" s="107"/>
      <c r="F129" s="134"/>
      <c r="G129" s="134"/>
      <c r="H129" s="134"/>
      <c r="I129" s="134"/>
      <c r="J129" s="134"/>
      <c r="K129" s="134"/>
      <c r="L129" s="134"/>
      <c r="M129" s="134"/>
      <c r="N129" s="134"/>
      <c r="O129" s="134"/>
      <c r="P129" s="251" t="e">
        <f>+#REF!/#REF!</f>
        <v>#REF!</v>
      </c>
      <c r="Q129" s="116" t="s">
        <v>113</v>
      </c>
      <c r="R129" s="134"/>
      <c r="S129" s="134"/>
      <c r="T129" s="136"/>
      <c r="U129" s="107">
        <f>+V129/4</f>
        <v>376998.2575</v>
      </c>
      <c r="V129" s="177">
        <f>+V127+V128</f>
        <v>1507993.03</v>
      </c>
      <c r="W129" s="220"/>
      <c r="X129" s="177"/>
      <c r="Y129" s="177">
        <f>+Y127+Y128</f>
        <v>863142.58</v>
      </c>
      <c r="Z129" s="236"/>
      <c r="AA129" s="237"/>
      <c r="AB129" s="177">
        <f>+AB127+AB128</f>
        <v>665275.98</v>
      </c>
      <c r="AC129" s="137">
        <f t="shared" si="4"/>
        <v>3036411.59</v>
      </c>
      <c r="AD129" s="137"/>
      <c r="AE129" s="142"/>
      <c r="AG129" s="109" t="s">
        <v>736</v>
      </c>
      <c r="AH129" s="148">
        <f>SUMIF($AF:$AF,AG129,V:V)</f>
        <v>0</v>
      </c>
      <c r="AI129" s="148">
        <f>SUMIF($AF:$AF,AG129,Y:Y)</f>
        <v>0</v>
      </c>
      <c r="AJ129" s="148">
        <f>SUMIF($AF:$AF,AG129,AB:AB)</f>
        <v>0</v>
      </c>
      <c r="AK129" s="149">
        <f>+AH129+AI129+AJ129</f>
        <v>0</v>
      </c>
    </row>
    <row r="130" spans="2:37" ht="219.75" customHeight="1" hidden="1">
      <c r="B130" s="134"/>
      <c r="C130" s="134"/>
      <c r="D130" s="134"/>
      <c r="E130" s="107"/>
      <c r="F130" s="134"/>
      <c r="G130" s="134"/>
      <c r="H130" s="134"/>
      <c r="I130" s="134"/>
      <c r="J130" s="134"/>
      <c r="K130" s="134"/>
      <c r="L130" s="134"/>
      <c r="M130" s="134"/>
      <c r="N130" s="134"/>
      <c r="O130" s="134"/>
      <c r="P130" s="251" t="e">
        <f>+#REF!/#REF!</f>
        <v>#REF!</v>
      </c>
      <c r="Q130" s="116" t="s">
        <v>196</v>
      </c>
      <c r="R130" s="134"/>
      <c r="S130" s="134"/>
      <c r="T130" s="136"/>
      <c r="U130" s="107">
        <f>+U129*2</f>
        <v>753996.515</v>
      </c>
      <c r="V130" s="177">
        <f>SUMIF($AD:$AD,Q130,V:V)</f>
        <v>88347.72</v>
      </c>
      <c r="W130" s="236"/>
      <c r="X130" s="237"/>
      <c r="Y130" s="177">
        <f>SUMIF($AD:$AD,Q130,Y:Y)</f>
        <v>85338.02</v>
      </c>
      <c r="Z130" s="236"/>
      <c r="AA130" s="237"/>
      <c r="AB130" s="177">
        <f>SUMIF($AD:$AD,Q130,AB:AB)</f>
        <v>56484.17</v>
      </c>
      <c r="AC130" s="137">
        <f t="shared" si="4"/>
        <v>230169.90999999997</v>
      </c>
      <c r="AD130" s="141"/>
      <c r="AE130" s="142"/>
      <c r="AG130" s="109" t="s">
        <v>735</v>
      </c>
      <c r="AH130" s="148">
        <f>SUMIF($AF:$AF,AG130,V:V)</f>
        <v>0</v>
      </c>
      <c r="AI130" s="148">
        <f>SUMIF($AF:$AF,AG130,Y:Y)</f>
        <v>0</v>
      </c>
      <c r="AJ130" s="148">
        <f>SUMIF($AF:$AF,AG130,AB:AB)</f>
        <v>0</v>
      </c>
      <c r="AK130" s="149">
        <f>+AH130+AI130+AJ130</f>
        <v>0</v>
      </c>
    </row>
    <row r="131" spans="2:37" ht="219.75" customHeight="1" hidden="1">
      <c r="B131" s="134"/>
      <c r="C131" s="134"/>
      <c r="D131" s="134"/>
      <c r="E131" s="107"/>
      <c r="F131" s="134"/>
      <c r="G131" s="134"/>
      <c r="H131" s="134"/>
      <c r="I131" s="134"/>
      <c r="J131" s="134"/>
      <c r="K131" s="134"/>
      <c r="L131" s="134"/>
      <c r="M131" s="134"/>
      <c r="N131" s="134"/>
      <c r="O131" s="134"/>
      <c r="P131" s="251"/>
      <c r="Q131" s="116" t="s">
        <v>239</v>
      </c>
      <c r="R131" s="134"/>
      <c r="S131" s="134"/>
      <c r="T131" s="136"/>
      <c r="U131" s="107"/>
      <c r="V131" s="177">
        <f>SUMIF($AD:$AD,Q131,V:V)</f>
        <v>163500</v>
      </c>
      <c r="W131" s="236"/>
      <c r="X131" s="237"/>
      <c r="Y131" s="177">
        <f>SUMIF($AD:$AD,Q131,Y:Y)</f>
        <v>312500</v>
      </c>
      <c r="Z131" s="236"/>
      <c r="AA131" s="237"/>
      <c r="AB131" s="177">
        <f>SUMIF($AD:$AD,Q131,AB:AB)</f>
        <v>167500</v>
      </c>
      <c r="AC131" s="137">
        <f t="shared" si="4"/>
        <v>643500</v>
      </c>
      <c r="AD131" s="141"/>
      <c r="AE131" s="142"/>
      <c r="AG131" s="235" t="s">
        <v>738</v>
      </c>
      <c r="AH131" s="148">
        <f>SUMIF($AF:$AF,AG131,V:V)</f>
        <v>0</v>
      </c>
      <c r="AI131" s="148">
        <f>SUMIF($AF:$AF,AG131,Y:Y)</f>
        <v>0</v>
      </c>
      <c r="AJ131" s="148">
        <f>SUMIF($AF:$AF,AG131,AB:AB)</f>
        <v>0</v>
      </c>
      <c r="AK131" s="149">
        <f>+AH131+AI131+AJ131</f>
        <v>0</v>
      </c>
    </row>
    <row r="132" spans="16:37" ht="219.75" customHeight="1" hidden="1">
      <c r="P132" s="251"/>
      <c r="Q132" s="116" t="s">
        <v>182</v>
      </c>
      <c r="V132" s="177">
        <f>SUMIF($AD:$AD,Q132,V:V)</f>
        <v>55771.479999999996</v>
      </c>
      <c r="W132" s="220"/>
      <c r="X132" s="238"/>
      <c r="Y132" s="177">
        <f>SUMIF($AD:$AD,Q132,Y:Y)</f>
        <v>86340.09</v>
      </c>
      <c r="Z132" s="220"/>
      <c r="AA132" s="238"/>
      <c r="AB132" s="177">
        <f>SUMIF($AD:$AD,Q132,AB:AB)</f>
        <v>80624.11</v>
      </c>
      <c r="AC132" s="137">
        <f t="shared" si="4"/>
        <v>222735.68</v>
      </c>
      <c r="AG132" s="109" t="s">
        <v>737</v>
      </c>
      <c r="AH132" s="148">
        <f>SUMIF($AF:$AF,AG132,V:V)</f>
        <v>0</v>
      </c>
      <c r="AI132" s="148">
        <f>SUMIF($AF:$AF,AG132,Y:Y)</f>
        <v>0</v>
      </c>
      <c r="AJ132" s="148">
        <f>SUMIF($AF:$AF,AG132,AB:AB)</f>
        <v>0</v>
      </c>
      <c r="AK132" s="149">
        <f>+AH132+AI132+AJ132</f>
        <v>0</v>
      </c>
    </row>
    <row r="133" spans="16:37" ht="219.75" customHeight="1" hidden="1">
      <c r="P133" s="251"/>
      <c r="Q133" s="116" t="s">
        <v>114</v>
      </c>
      <c r="V133" s="177">
        <f>+V122</f>
        <v>9319.0379</v>
      </c>
      <c r="W133" s="220"/>
      <c r="X133" s="238"/>
      <c r="Y133" s="177">
        <f>+Y122</f>
        <v>16950.703825</v>
      </c>
      <c r="Z133" s="220"/>
      <c r="AA133" s="177"/>
      <c r="AB133" s="177">
        <f>+AB122</f>
        <v>10545.274675</v>
      </c>
      <c r="AC133" s="137">
        <f t="shared" si="4"/>
        <v>36815.0164</v>
      </c>
      <c r="AG133" s="109"/>
      <c r="AH133" s="146">
        <f>+SUM(AH129:AH132)</f>
        <v>0</v>
      </c>
      <c r="AI133" s="146">
        <f>+SUM(AI129:AI132)</f>
        <v>0</v>
      </c>
      <c r="AJ133" s="146">
        <f>+SUM(AJ129:AJ132)</f>
        <v>0</v>
      </c>
      <c r="AK133" s="146">
        <f>+SUM(AK129:AK132)</f>
        <v>0</v>
      </c>
    </row>
    <row r="134" spans="16:29" ht="219.75" customHeight="1" hidden="1">
      <c r="P134" s="251" t="e">
        <f>+#REF!/#REF!</f>
        <v>#REF!</v>
      </c>
      <c r="Q134" s="116" t="s">
        <v>182</v>
      </c>
      <c r="U134" s="128">
        <v>1281896.94</v>
      </c>
      <c r="V134" s="177">
        <f>+V132+V133+V131</f>
        <v>228590.51789999998</v>
      </c>
      <c r="W134" s="220"/>
      <c r="X134" s="238"/>
      <c r="Y134" s="177">
        <f>+Y132+Y133+Y131</f>
        <v>415790.793825</v>
      </c>
      <c r="Z134" s="220">
        <f>+Z132+Z133</f>
        <v>0</v>
      </c>
      <c r="AA134" s="177">
        <f>+AA132+AA133</f>
        <v>0</v>
      </c>
      <c r="AB134" s="177">
        <f>+AB132+AB133+AB131</f>
        <v>258669.384675</v>
      </c>
      <c r="AC134" s="137">
        <f t="shared" si="4"/>
        <v>903050.6963999999</v>
      </c>
    </row>
    <row r="135" spans="16:29" ht="219.75" customHeight="1" hidden="1">
      <c r="P135" s="251" t="e">
        <f>+#REF!/#REF!</f>
        <v>#REF!</v>
      </c>
      <c r="Q135" s="116" t="s">
        <v>105</v>
      </c>
      <c r="V135" s="177">
        <f>SUMIF($AD:$AD,Q135,V:V)</f>
        <v>25000</v>
      </c>
      <c r="W135" s="220"/>
      <c r="X135" s="238"/>
      <c r="Y135" s="177">
        <f>SUMIF($AD:$AD,Q135,Y:Y)</f>
        <v>25000</v>
      </c>
      <c r="Z135" s="220"/>
      <c r="AA135" s="238"/>
      <c r="AB135" s="177">
        <f>SUMIF($AD:$AD,Q135,AB:AB)</f>
        <v>25000</v>
      </c>
      <c r="AC135" s="137">
        <f t="shared" si="4"/>
        <v>75000</v>
      </c>
    </row>
    <row r="136" spans="16:29" ht="219.75" customHeight="1" hidden="1">
      <c r="P136" s="130"/>
      <c r="Q136" s="152" t="s">
        <v>111</v>
      </c>
      <c r="R136" s="153"/>
      <c r="S136" s="153"/>
      <c r="T136" s="154"/>
      <c r="U136" s="155"/>
      <c r="V136" s="239">
        <f>+V129+V130+V134+V135</f>
        <v>1849931.2678999999</v>
      </c>
      <c r="W136" s="240"/>
      <c r="X136" s="241"/>
      <c r="Y136" s="239">
        <f>+Y129+Y130+Y134+Y135</f>
        <v>1389271.393825</v>
      </c>
      <c r="Z136" s="240"/>
      <c r="AA136" s="241"/>
      <c r="AB136" s="239">
        <f>+AB129+AB130+AB134+AB135</f>
        <v>1005429.534675</v>
      </c>
      <c r="AC136" s="137">
        <f t="shared" si="4"/>
        <v>4244632.1964</v>
      </c>
    </row>
    <row r="137" spans="9:31" ht="21" customHeight="1" hidden="1">
      <c r="I137" s="156"/>
      <c r="J137" s="156"/>
      <c r="K137" s="157"/>
      <c r="Q137" s="158" t="s">
        <v>115</v>
      </c>
      <c r="R137" s="159"/>
      <c r="S137" s="159"/>
      <c r="U137" s="160"/>
      <c r="V137" s="161">
        <f>+FFINANCIAMIENTO!B5</f>
        <v>1848040.0746000004</v>
      </c>
      <c r="Y137" s="162">
        <f>+FFINANCIAMIENTO!C5</f>
        <v>1389271.395525</v>
      </c>
      <c r="AB137" s="162">
        <f>+FFINANCIAMIENTO!D5</f>
        <v>1005429.532175</v>
      </c>
      <c r="AE137" s="151">
        <f>+'[1]Hoja1'!$AJ$135+'[1]Hoja1'!$AK$135+'[1]Hoja1'!$AL$135+'[1]Hoja1'!$AM$135+'[1]Hoja1'!$AG$135</f>
        <v>2963944.5897423425</v>
      </c>
    </row>
    <row r="138" spans="10:31" ht="219.75" customHeight="1" hidden="1">
      <c r="J138" s="163"/>
      <c r="K138" s="163"/>
      <c r="Q138" s="126"/>
      <c r="R138" s="159"/>
      <c r="S138" s="159"/>
      <c r="U138" s="160"/>
      <c r="V138" s="181">
        <f>+V136-V137</f>
        <v>1891.1932999994606</v>
      </c>
      <c r="Y138" s="181">
        <f>+Y136-Y137</f>
        <v>-0.0017000001389533281</v>
      </c>
      <c r="AB138" s="181">
        <f>+AB136-AB137</f>
        <v>0.0025000000605359674</v>
      </c>
      <c r="AE138" s="151">
        <f>+AE136+AE137</f>
        <v>2963944.5897423425</v>
      </c>
    </row>
    <row r="139" spans="19:30" ht="219.75" customHeight="1" hidden="1">
      <c r="S139" s="164"/>
      <c r="U139" s="165"/>
      <c r="V139" s="166">
        <v>2019</v>
      </c>
      <c r="W139" s="167">
        <v>2020</v>
      </c>
      <c r="X139" s="168">
        <v>2021</v>
      </c>
      <c r="Y139" s="169" t="s">
        <v>116</v>
      </c>
      <c r="Z139" s="170"/>
      <c r="AA139" s="171"/>
      <c r="AB139" s="171"/>
      <c r="AC139" s="66"/>
      <c r="AD139" s="66"/>
    </row>
    <row r="140" spans="19:30" ht="219.75" customHeight="1" hidden="1">
      <c r="S140" s="172"/>
      <c r="U140" s="129" t="s">
        <v>452</v>
      </c>
      <c r="V140" s="173">
        <f aca="true" t="shared" si="5" ref="V140:V149">SUMIF($B:$B,U140,V$1:V$65536)</f>
        <v>906392.0499999999</v>
      </c>
      <c r="W140" s="166">
        <f aca="true" t="shared" si="6" ref="W140:W149">SUMIF($B:$B,U140,Y$1:Y$65536)</f>
        <v>846355.8699999999</v>
      </c>
      <c r="X140" s="174">
        <f aca="true" t="shared" si="7" ref="X140:X149">SUMIF($B:$B,U140,AB$1:AB$65536)</f>
        <v>959459.3949999999</v>
      </c>
      <c r="Y140" s="175">
        <f>+V140+W140+X140</f>
        <v>2712207.315</v>
      </c>
      <c r="Z140" s="170"/>
      <c r="AA140" s="171"/>
      <c r="AB140" s="176"/>
      <c r="AC140" s="66"/>
      <c r="AD140" s="66"/>
    </row>
    <row r="141" spans="21:30" ht="219.75" customHeight="1" hidden="1">
      <c r="U141" s="129" t="s">
        <v>387</v>
      </c>
      <c r="V141" s="148">
        <f t="shared" si="5"/>
        <v>3558078.6689999998</v>
      </c>
      <c r="W141" s="166">
        <f t="shared" si="6"/>
        <v>3715945.66</v>
      </c>
      <c r="X141" s="174">
        <f t="shared" si="7"/>
        <v>4082321.826</v>
      </c>
      <c r="Y141" s="175">
        <f aca="true" t="shared" si="8" ref="Y141:Y151">+V141+W141+X141</f>
        <v>11356346.155</v>
      </c>
      <c r="Z141" s="170"/>
      <c r="AA141" s="171"/>
      <c r="AB141" s="176"/>
      <c r="AC141" s="66"/>
      <c r="AD141" s="66"/>
    </row>
    <row r="142" spans="4:30" ht="219.75" customHeight="1" hidden="1">
      <c r="D142" s="119" t="s">
        <v>395</v>
      </c>
      <c r="E142" s="177">
        <f>SUMIF($K:$K,D142,V:V)</f>
        <v>98144</v>
      </c>
      <c r="F142" s="177">
        <f>SUMIF($K:$K,D142,Y:Y)</f>
        <v>107524</v>
      </c>
      <c r="G142" s="177">
        <f>SUMIF($K:$K,D142,AB:AB)</f>
        <v>116904</v>
      </c>
      <c r="H142" s="177">
        <f>+E142+F142+G142</f>
        <v>322572</v>
      </c>
      <c r="I142" s="177"/>
      <c r="J142" s="178"/>
      <c r="K142" s="173"/>
      <c r="U142" s="129" t="s">
        <v>597</v>
      </c>
      <c r="V142" s="148">
        <f t="shared" si="5"/>
        <v>296760</v>
      </c>
      <c r="W142" s="166">
        <f t="shared" si="6"/>
        <v>445760</v>
      </c>
      <c r="X142" s="174">
        <f t="shared" si="7"/>
        <v>329086</v>
      </c>
      <c r="Y142" s="175">
        <f t="shared" si="8"/>
        <v>1071606</v>
      </c>
      <c r="Z142" s="170"/>
      <c r="AA142" s="171"/>
      <c r="AB142" s="176"/>
      <c r="AC142" s="66"/>
      <c r="AD142" s="66"/>
    </row>
    <row r="143" spans="4:30" ht="219.75" customHeight="1" hidden="1">
      <c r="D143" s="119" t="s">
        <v>406</v>
      </c>
      <c r="E143" s="177">
        <f>SUMIF($K:$K,D143,V:V)</f>
        <v>500064</v>
      </c>
      <c r="F143" s="177">
        <f>SUMIF($K:$K,D143,Y:Y)</f>
        <v>260064</v>
      </c>
      <c r="G143" s="177">
        <f>SUMIF($K:$K,D143,AB:AB)</f>
        <v>20064</v>
      </c>
      <c r="H143" s="177">
        <f aca="true" t="shared" si="9" ref="H143:H157">+E143+F143+G143</f>
        <v>780192</v>
      </c>
      <c r="I143" s="177"/>
      <c r="J143" s="178"/>
      <c r="K143" s="173"/>
      <c r="U143" s="129" t="s">
        <v>627</v>
      </c>
      <c r="V143" s="148">
        <f t="shared" si="5"/>
        <v>42359.119999999995</v>
      </c>
      <c r="W143" s="166">
        <f t="shared" si="6"/>
        <v>4173</v>
      </c>
      <c r="X143" s="174">
        <f t="shared" si="7"/>
        <v>4590.3</v>
      </c>
      <c r="Y143" s="175">
        <f t="shared" si="8"/>
        <v>51122.42</v>
      </c>
      <c r="Z143" s="170"/>
      <c r="AA143" s="171"/>
      <c r="AB143" s="176"/>
      <c r="AC143" s="66"/>
      <c r="AD143" s="66"/>
    </row>
    <row r="144" spans="4:30" ht="219.75" customHeight="1" hidden="1">
      <c r="D144" s="119" t="s">
        <v>413</v>
      </c>
      <c r="E144" s="177">
        <f>SUMIF($K:$K,D144,V:V)</f>
        <v>31260</v>
      </c>
      <c r="F144" s="177">
        <f>SUMIF($K:$K,D144,Y:Y)</f>
        <v>34860</v>
      </c>
      <c r="G144" s="177">
        <f>SUMIF($K:$K,D144,AB:AB)</f>
        <v>34860</v>
      </c>
      <c r="H144" s="177">
        <f t="shared" si="9"/>
        <v>100980</v>
      </c>
      <c r="I144" s="177"/>
      <c r="J144" s="178"/>
      <c r="K144" s="173"/>
      <c r="U144" s="129" t="s">
        <v>246</v>
      </c>
      <c r="V144" s="148">
        <f t="shared" si="5"/>
        <v>533335.2</v>
      </c>
      <c r="W144" s="166">
        <f t="shared" si="6"/>
        <v>139520</v>
      </c>
      <c r="X144" s="174">
        <f t="shared" si="7"/>
        <v>108824</v>
      </c>
      <c r="Y144" s="175">
        <f t="shared" si="8"/>
        <v>781679.2</v>
      </c>
      <c r="Z144" s="170"/>
      <c r="AA144" s="171"/>
      <c r="AB144" s="176"/>
      <c r="AC144" s="66"/>
      <c r="AD144" s="66"/>
    </row>
    <row r="145" spans="4:30" ht="219.75" customHeight="1" hidden="1">
      <c r="D145" s="112" t="s">
        <v>332</v>
      </c>
      <c r="E145" s="177">
        <f>SUMIF($K:$K,D145,V:V)</f>
        <v>47898.19</v>
      </c>
      <c r="F145" s="177">
        <f>SUMIF($K:$K,D145,Y:Y)</f>
        <v>47898.19</v>
      </c>
      <c r="G145" s="177">
        <f>SUMIF($K:$K,D145,AB:AB)</f>
        <v>47898.19</v>
      </c>
      <c r="H145" s="177">
        <f t="shared" si="9"/>
        <v>143694.57</v>
      </c>
      <c r="I145" s="177"/>
      <c r="J145" s="178"/>
      <c r="K145" s="173"/>
      <c r="U145" s="110" t="s">
        <v>407</v>
      </c>
      <c r="V145" s="148">
        <f t="shared" si="5"/>
        <v>3605771.7896000003</v>
      </c>
      <c r="W145" s="166">
        <f t="shared" si="6"/>
        <v>3352634.6699999995</v>
      </c>
      <c r="X145" s="174">
        <f t="shared" si="7"/>
        <v>3471720.318</v>
      </c>
      <c r="Y145" s="175">
        <f t="shared" si="8"/>
        <v>10430126.7776</v>
      </c>
      <c r="Z145" s="170"/>
      <c r="AA145" s="171"/>
      <c r="AB145" s="176"/>
      <c r="AC145" s="66"/>
      <c r="AD145" s="66"/>
    </row>
    <row r="146" spans="4:30" ht="219.75" customHeight="1" hidden="1">
      <c r="D146" s="119" t="s">
        <v>281</v>
      </c>
      <c r="E146" s="177">
        <f>SUMIF($K:$K,D146,V:V)</f>
        <v>68666.12</v>
      </c>
      <c r="F146" s="177">
        <f>SUMIF($K:$K,D146,Y:Y)</f>
        <v>6480</v>
      </c>
      <c r="G146" s="177">
        <f>SUMIF($K:$K,D146,AB:AB)</f>
        <v>30480</v>
      </c>
      <c r="H146" s="177">
        <f t="shared" si="9"/>
        <v>105626.12</v>
      </c>
      <c r="I146" s="177"/>
      <c r="J146" s="178"/>
      <c r="K146" s="173"/>
      <c r="U146" s="129" t="s">
        <v>284</v>
      </c>
      <c r="V146" s="148">
        <f t="shared" si="5"/>
        <v>42000</v>
      </c>
      <c r="W146" s="166">
        <f t="shared" si="6"/>
        <v>57000</v>
      </c>
      <c r="X146" s="174">
        <f t="shared" si="7"/>
        <v>45200</v>
      </c>
      <c r="Y146" s="175">
        <f t="shared" si="8"/>
        <v>144200</v>
      </c>
      <c r="Z146" s="170"/>
      <c r="AA146" s="171"/>
      <c r="AB146" s="176"/>
      <c r="AC146" s="66"/>
      <c r="AD146" s="66"/>
    </row>
    <row r="147" spans="4:30" ht="219.75" customHeight="1" hidden="1">
      <c r="D147" s="119"/>
      <c r="E147" s="177"/>
      <c r="F147" s="177"/>
      <c r="G147" s="177"/>
      <c r="H147" s="177"/>
      <c r="I147" s="177"/>
      <c r="J147" s="178"/>
      <c r="K147" s="173"/>
      <c r="U147" s="110" t="s">
        <v>745</v>
      </c>
      <c r="V147" s="148">
        <f t="shared" si="5"/>
        <v>633044.2</v>
      </c>
      <c r="W147" s="166">
        <f t="shared" si="6"/>
        <v>651901.76</v>
      </c>
      <c r="X147" s="174">
        <f t="shared" si="7"/>
        <v>687611.936</v>
      </c>
      <c r="Y147" s="175">
        <f t="shared" si="8"/>
        <v>1972557.896</v>
      </c>
      <c r="Z147" s="170"/>
      <c r="AA147" s="171"/>
      <c r="AB147" s="176"/>
      <c r="AC147" s="66"/>
      <c r="AD147" s="66"/>
    </row>
    <row r="148" spans="4:30" ht="219.75" customHeight="1" hidden="1">
      <c r="D148" s="119" t="s">
        <v>291</v>
      </c>
      <c r="E148" s="177">
        <f aca="true" t="shared" si="10" ref="E148:E156">SUMIF($K:$K,D148,V$1:V$65536)</f>
        <v>3360</v>
      </c>
      <c r="F148" s="177">
        <f aca="true" t="shared" si="11" ref="F148:F156">SUMIF($K:$K,D148,Y$1:Y$65536)</f>
        <v>18360</v>
      </c>
      <c r="G148" s="177">
        <f aca="true" t="shared" si="12" ref="G148:G156">SUMIF($K:$K,D148,AB$1:AB$65536)</f>
        <v>3360</v>
      </c>
      <c r="H148" s="177">
        <f t="shared" si="9"/>
        <v>25080</v>
      </c>
      <c r="I148" s="177"/>
      <c r="J148" s="178"/>
      <c r="K148" s="173"/>
      <c r="U148" s="129" t="s">
        <v>295</v>
      </c>
      <c r="V148" s="148">
        <f t="shared" si="5"/>
        <v>585906.59</v>
      </c>
      <c r="W148" s="166">
        <f t="shared" si="6"/>
        <v>486274.64999999997</v>
      </c>
      <c r="X148" s="174">
        <f t="shared" si="7"/>
        <v>466918.805</v>
      </c>
      <c r="Y148" s="175">
        <f t="shared" si="8"/>
        <v>1539100.045</v>
      </c>
      <c r="Z148" s="170"/>
      <c r="AA148" s="171"/>
      <c r="AB148" s="171"/>
      <c r="AC148" s="66"/>
      <c r="AD148" s="66"/>
    </row>
    <row r="149" spans="4:30" ht="219.75" customHeight="1" hidden="1">
      <c r="D149" s="119" t="s">
        <v>309</v>
      </c>
      <c r="E149" s="177">
        <f t="shared" si="10"/>
        <v>190340</v>
      </c>
      <c r="F149" s="177">
        <f t="shared" si="11"/>
        <v>92840</v>
      </c>
      <c r="G149" s="177">
        <f t="shared" si="12"/>
        <v>42840</v>
      </c>
      <c r="H149" s="177">
        <f t="shared" si="9"/>
        <v>326020</v>
      </c>
      <c r="I149" s="177"/>
      <c r="J149" s="178"/>
      <c r="K149" s="173"/>
      <c r="U149" s="110" t="s">
        <v>95</v>
      </c>
      <c r="V149" s="148">
        <f t="shared" si="5"/>
        <v>1486367.5865196562</v>
      </c>
      <c r="W149" s="166">
        <f t="shared" si="6"/>
        <v>1638392.6557241713</v>
      </c>
      <c r="X149" s="174">
        <f t="shared" si="7"/>
        <v>1755992.5093940885</v>
      </c>
      <c r="Y149" s="175">
        <f t="shared" si="8"/>
        <v>4880752.751637916</v>
      </c>
      <c r="Z149" s="170"/>
      <c r="AA149" s="171"/>
      <c r="AB149" s="176"/>
      <c r="AC149" s="66"/>
      <c r="AD149" s="66"/>
    </row>
    <row r="150" spans="4:30" ht="219.75" customHeight="1" hidden="1">
      <c r="D150" s="119" t="s">
        <v>197</v>
      </c>
      <c r="E150" s="177">
        <f t="shared" si="10"/>
        <v>281900</v>
      </c>
      <c r="F150" s="177">
        <f t="shared" si="11"/>
        <v>427900</v>
      </c>
      <c r="G150" s="177">
        <f t="shared" si="12"/>
        <v>268700</v>
      </c>
      <c r="H150" s="177">
        <f t="shared" si="9"/>
        <v>978500</v>
      </c>
      <c r="I150" s="177"/>
      <c r="J150" s="178"/>
      <c r="K150" s="173"/>
      <c r="U150" s="130" t="s">
        <v>111</v>
      </c>
      <c r="V150" s="179">
        <f>+SUM(V140:V149)</f>
        <v>11690015.205119656</v>
      </c>
      <c r="W150" s="166">
        <f>+SUM(W140:W149)</f>
        <v>11337958.265724171</v>
      </c>
      <c r="X150" s="179">
        <f>+SUM(X140:X149)</f>
        <v>11911725.089394089</v>
      </c>
      <c r="Y150" s="175">
        <f t="shared" si="8"/>
        <v>34939698.560237914</v>
      </c>
      <c r="Z150" s="180"/>
      <c r="AA150" s="161"/>
      <c r="AB150" s="176"/>
      <c r="AC150" s="66"/>
      <c r="AD150" s="66"/>
    </row>
    <row r="151" spans="4:30" ht="219.75" customHeight="1" hidden="1">
      <c r="D151" s="119" t="s">
        <v>325</v>
      </c>
      <c r="E151" s="177">
        <f t="shared" si="10"/>
        <v>115262.44</v>
      </c>
      <c r="F151" s="177">
        <f t="shared" si="11"/>
        <v>68913.04</v>
      </c>
      <c r="G151" s="177">
        <f t="shared" si="12"/>
        <v>68695.98000000001</v>
      </c>
      <c r="H151" s="177">
        <f t="shared" si="9"/>
        <v>252871.46</v>
      </c>
      <c r="I151" s="177"/>
      <c r="J151" s="178"/>
      <c r="K151" s="173"/>
      <c r="V151" s="181">
        <f>+V124</f>
        <v>11690015.205119655</v>
      </c>
      <c r="W151" s="180">
        <f>+Y124</f>
        <v>11337958.265724173</v>
      </c>
      <c r="X151" s="164">
        <f>+AB124</f>
        <v>11911725.089394087</v>
      </c>
      <c r="Y151" s="164">
        <f t="shared" si="8"/>
        <v>34939698.560237914</v>
      </c>
      <c r="Z151" s="170"/>
      <c r="AA151" s="171"/>
      <c r="AB151" s="171"/>
      <c r="AC151" s="66"/>
      <c r="AD151" s="66"/>
    </row>
    <row r="152" spans="4:24" ht="219.75" customHeight="1" hidden="1">
      <c r="D152" s="119" t="s">
        <v>457</v>
      </c>
      <c r="E152" s="177">
        <f t="shared" si="10"/>
        <v>103900.08</v>
      </c>
      <c r="F152" s="177">
        <f t="shared" si="11"/>
        <v>103900.08</v>
      </c>
      <c r="G152" s="177">
        <f t="shared" si="12"/>
        <v>103900.08</v>
      </c>
      <c r="H152" s="177">
        <f t="shared" si="9"/>
        <v>311700.24</v>
      </c>
      <c r="I152" s="177"/>
      <c r="J152" s="178"/>
      <c r="K152" s="173"/>
      <c r="V152" s="182">
        <f>+V150-V151</f>
        <v>0</v>
      </c>
      <c r="W152" s="150">
        <f>+W150-W151</f>
        <v>0</v>
      </c>
      <c r="X152" s="182">
        <f>+X150-X151</f>
        <v>0</v>
      </c>
    </row>
    <row r="153" spans="4:29" ht="219.75" customHeight="1" hidden="1">
      <c r="D153" s="119" t="s">
        <v>446</v>
      </c>
      <c r="E153" s="177">
        <f t="shared" si="10"/>
        <v>19500</v>
      </c>
      <c r="F153" s="177">
        <f t="shared" si="11"/>
        <v>19500</v>
      </c>
      <c r="G153" s="177">
        <f t="shared" si="12"/>
        <v>19500</v>
      </c>
      <c r="H153" s="177">
        <f t="shared" si="9"/>
        <v>58500</v>
      </c>
      <c r="I153" s="177"/>
      <c r="J153" s="178"/>
      <c r="K153" s="173"/>
      <c r="T153" s="183" t="s">
        <v>118</v>
      </c>
      <c r="U153" s="130" t="s">
        <v>119</v>
      </c>
      <c r="V153" s="128">
        <v>2019</v>
      </c>
      <c r="W153" s="150">
        <v>2020</v>
      </c>
      <c r="X153" s="128">
        <v>2021</v>
      </c>
      <c r="Y153" s="184" t="s">
        <v>120</v>
      </c>
      <c r="Z153" s="185" t="s">
        <v>121</v>
      </c>
      <c r="AA153" s="184" t="s">
        <v>122</v>
      </c>
      <c r="AC153" s="128">
        <v>2019</v>
      </c>
    </row>
    <row r="154" spans="4:27" ht="219.75" customHeight="1" hidden="1">
      <c r="D154" s="111" t="s">
        <v>330</v>
      </c>
      <c r="E154" s="177">
        <f t="shared" si="10"/>
        <v>61650</v>
      </c>
      <c r="F154" s="177">
        <f t="shared" si="11"/>
        <v>14136</v>
      </c>
      <c r="G154" s="177">
        <f t="shared" si="12"/>
        <v>91351</v>
      </c>
      <c r="H154" s="177">
        <f t="shared" si="9"/>
        <v>167137</v>
      </c>
      <c r="I154" s="177"/>
      <c r="J154" s="178"/>
      <c r="K154" s="173"/>
      <c r="T154" s="183"/>
      <c r="U154" s="130"/>
      <c r="V154" s="132"/>
      <c r="W154" s="185"/>
      <c r="X154" s="184"/>
      <c r="Y154" s="184"/>
      <c r="Z154" s="185"/>
      <c r="AA154" s="184"/>
    </row>
    <row r="155" spans="4:27" ht="219.75" customHeight="1" hidden="1">
      <c r="D155" s="186" t="s">
        <v>565</v>
      </c>
      <c r="E155" s="177">
        <f t="shared" si="10"/>
        <v>18700</v>
      </c>
      <c r="F155" s="177">
        <f t="shared" si="11"/>
        <v>18700</v>
      </c>
      <c r="G155" s="177">
        <f t="shared" si="12"/>
        <v>18700</v>
      </c>
      <c r="H155" s="177">
        <f t="shared" si="9"/>
        <v>56100</v>
      </c>
      <c r="I155" s="177"/>
      <c r="J155" s="178"/>
      <c r="K155" s="173"/>
      <c r="T155" s="166">
        <v>51</v>
      </c>
      <c r="U155" s="112" t="s">
        <v>207</v>
      </c>
      <c r="V155" s="187">
        <f>SUMIF($P:$P,U155,V:V)</f>
        <v>7635549.661519656</v>
      </c>
      <c r="W155" s="154">
        <f>SUMIF($P:$P,U155,Y:Y)</f>
        <v>8180584.23019917</v>
      </c>
      <c r="X155" s="188">
        <f>SUMIF($P:$P,U155,AB:AB)</f>
        <v>8998642.653219087</v>
      </c>
      <c r="Y155" s="188" t="e">
        <f>SUMIF(#REF!,U155,#REF!)</f>
        <v>#REF!</v>
      </c>
      <c r="Z155" s="154" t="e">
        <f>SUMIF(#REF!,U155,#REF!)</f>
        <v>#REF!</v>
      </c>
      <c r="AA155" s="188" t="e">
        <f>+SUM(V155:Z155)</f>
        <v>#REF!</v>
      </c>
    </row>
    <row r="156" spans="4:27" ht="219.75" customHeight="1" hidden="1">
      <c r="D156" s="111" t="s">
        <v>45</v>
      </c>
      <c r="E156" s="177">
        <f t="shared" si="10"/>
        <v>307395.24460000003</v>
      </c>
      <c r="F156" s="177">
        <f t="shared" si="11"/>
        <v>168196.085525</v>
      </c>
      <c r="G156" s="177">
        <f t="shared" si="12"/>
        <v>138176.282175</v>
      </c>
      <c r="H156" s="177">
        <f t="shared" si="9"/>
        <v>613767.6123</v>
      </c>
      <c r="I156" s="181"/>
      <c r="J156" s="181"/>
      <c r="K156" s="181"/>
      <c r="T156" s="166"/>
      <c r="U156" s="112"/>
      <c r="V156" s="187"/>
      <c r="W156" s="154"/>
      <c r="X156" s="188"/>
      <c r="Y156" s="188"/>
      <c r="Z156" s="154"/>
      <c r="AA156" s="188"/>
    </row>
    <row r="157" spans="4:27" ht="219.75" customHeight="1" hidden="1">
      <c r="D157" s="189" t="s">
        <v>111</v>
      </c>
      <c r="E157" s="164">
        <f>+SUM(E142:E156)</f>
        <v>1848040.0746000002</v>
      </c>
      <c r="F157" s="164">
        <f>+SUM(F142:F156)</f>
        <v>1389271.395525</v>
      </c>
      <c r="G157" s="164">
        <f>+SUM(G142:G156)</f>
        <v>1005429.5321749998</v>
      </c>
      <c r="H157" s="177">
        <f t="shared" si="9"/>
        <v>4242741.0023</v>
      </c>
      <c r="I157" s="164"/>
      <c r="J157" s="164"/>
      <c r="T157" s="166">
        <v>54</v>
      </c>
      <c r="U157" s="112" t="s">
        <v>398</v>
      </c>
      <c r="V157" s="187">
        <f>SUMIF($P:$P,U157,V:V)</f>
        <v>3110430.3590000006</v>
      </c>
      <c r="W157" s="154">
        <f>SUMIF($P:$P,U157,Y:Y)</f>
        <v>2549456.06</v>
      </c>
      <c r="X157" s="188">
        <f>SUMIF($P:$P,U157,AB:AB)</f>
        <v>2752314.4339999994</v>
      </c>
      <c r="Y157" s="188" t="e">
        <f>SUMIF(#REF!,U157,#REF!)</f>
        <v>#REF!</v>
      </c>
      <c r="Z157" s="154" t="e">
        <f>SUMIF(#REF!,U157,#REF!)</f>
        <v>#REF!</v>
      </c>
      <c r="AA157" s="188" t="e">
        <f>+SUM(V157:Z157)</f>
        <v>#REF!</v>
      </c>
    </row>
    <row r="158" spans="4:27" ht="219.75" customHeight="1" hidden="1">
      <c r="D158" s="189"/>
      <c r="E158" s="164"/>
      <c r="F158" s="164"/>
      <c r="G158" s="164"/>
      <c r="H158" s="181"/>
      <c r="I158" s="164"/>
      <c r="J158" s="164"/>
      <c r="T158" s="166">
        <v>55</v>
      </c>
      <c r="U158" s="111" t="s">
        <v>676</v>
      </c>
      <c r="V158" s="187">
        <f>SUMIF($P:$P,U158,V:V)</f>
        <v>107849.0646</v>
      </c>
      <c r="W158" s="154">
        <f>SUMIF($P:$P,U158,Y:Y)</f>
        <v>73417.975525</v>
      </c>
      <c r="X158" s="188">
        <f>SUMIF($P:$P,U158,AB:AB)</f>
        <v>54068.002175</v>
      </c>
      <c r="Y158" s="188"/>
      <c r="Z158" s="154"/>
      <c r="AA158" s="188"/>
    </row>
    <row r="159" spans="6:27" ht="219.75" customHeight="1" hidden="1">
      <c r="F159" s="189"/>
      <c r="T159" s="166">
        <v>61</v>
      </c>
      <c r="U159" s="111" t="s">
        <v>176</v>
      </c>
      <c r="V159" s="187">
        <f>SUMIF($P:$P,U159,V:V)</f>
        <v>836186.12</v>
      </c>
      <c r="W159" s="154">
        <f>SUMIF($P:$P,U159,Y:Y)</f>
        <v>534500</v>
      </c>
      <c r="X159" s="188">
        <f>SUMIF($P:$P,U159,AB:AB)</f>
        <v>106700</v>
      </c>
      <c r="Y159" s="188" t="e">
        <f>SUMIF(#REF!,U159,#REF!)</f>
        <v>#REF!</v>
      </c>
      <c r="Z159" s="154" t="e">
        <f>SUMIF(#REF!,U159,#REF!)</f>
        <v>#REF!</v>
      </c>
      <c r="AA159" s="188" t="e">
        <f>+SUM(V159:Z159)</f>
        <v>#REF!</v>
      </c>
    </row>
    <row r="160" spans="6:27" ht="219.75" customHeight="1" hidden="1">
      <c r="F160" s="189"/>
      <c r="T160" s="154"/>
      <c r="U160" s="130" t="s">
        <v>111</v>
      </c>
      <c r="V160" s="190">
        <f aca="true" t="shared" si="13" ref="V160:AA160">+SUM(V155:V159)</f>
        <v>11690015.205119656</v>
      </c>
      <c r="W160" s="191">
        <f t="shared" si="13"/>
        <v>11337958.26572417</v>
      </c>
      <c r="X160" s="190">
        <f t="shared" si="13"/>
        <v>11911725.089394085</v>
      </c>
      <c r="Y160" s="190" t="e">
        <f t="shared" si="13"/>
        <v>#REF!</v>
      </c>
      <c r="Z160" s="191" t="e">
        <f t="shared" si="13"/>
        <v>#REF!</v>
      </c>
      <c r="AA160" s="190" t="e">
        <f t="shared" si="13"/>
        <v>#REF!</v>
      </c>
    </row>
    <row r="161" spans="6:27" ht="219.75" customHeight="1" hidden="1">
      <c r="F161" s="189"/>
      <c r="V161" s="192">
        <f aca="true" t="shared" si="14" ref="V161:AA161">+V150-V160</f>
        <v>0</v>
      </c>
      <c r="W161" s="193">
        <f t="shared" si="14"/>
        <v>0</v>
      </c>
      <c r="X161" s="192">
        <f t="shared" si="14"/>
        <v>0</v>
      </c>
      <c r="Y161" s="192" t="e">
        <f t="shared" si="14"/>
        <v>#REF!</v>
      </c>
      <c r="Z161" s="193" t="e">
        <f t="shared" si="14"/>
        <v>#REF!</v>
      </c>
      <c r="AA161" s="192" t="e">
        <f t="shared" si="14"/>
        <v>#REF!</v>
      </c>
    </row>
    <row r="162" spans="3:27" ht="219.75" customHeight="1" hidden="1">
      <c r="C162" s="66"/>
      <c r="D162" s="66"/>
      <c r="E162" s="66"/>
      <c r="F162" s="189"/>
      <c r="T162" s="150" t="s">
        <v>123</v>
      </c>
      <c r="AA162" s="162" t="s">
        <v>124</v>
      </c>
    </row>
    <row r="163" spans="2:20" ht="219.75" customHeight="1" hidden="1">
      <c r="B163" s="194"/>
      <c r="C163" s="181"/>
      <c r="D163" s="194"/>
      <c r="E163" s="181"/>
      <c r="F163" s="189"/>
      <c r="T163" s="150" t="s">
        <v>125</v>
      </c>
    </row>
    <row r="164" spans="6:20" ht="219.75" customHeight="1" hidden="1">
      <c r="F164" s="189"/>
      <c r="T164" s="150" t="s">
        <v>126</v>
      </c>
    </row>
    <row r="165" spans="6:20" ht="219.75" customHeight="1" hidden="1">
      <c r="F165" s="189"/>
      <c r="T165" s="150" t="s">
        <v>127</v>
      </c>
    </row>
    <row r="166" spans="3:8" ht="219.75" customHeight="1" hidden="1">
      <c r="C166" s="114" t="s">
        <v>400</v>
      </c>
      <c r="D166" s="252">
        <f>SUMIF($R$2:$R$117,"ALIMENTACION",$V$2:$V$117)</f>
        <v>98124</v>
      </c>
      <c r="E166" s="252">
        <f>SUMIF($R$2:$R$117,"ALIMENTACION",$Y$2:$Y$117)</f>
        <v>74124</v>
      </c>
      <c r="F166" s="252">
        <f>SUMIF($R$2:$R$117,"ALIMENTACION",$AB$2:$AB$117)</f>
        <v>98124</v>
      </c>
      <c r="G166" s="252" t="e">
        <f>SUMIF($R$2:$R$117,"ALIMENTACION",#REF!)</f>
        <v>#REF!</v>
      </c>
      <c r="H166" s="252" t="e">
        <f>SUMIF($R$2:$R$117,"ALIMENTACION",#REF!)</f>
        <v>#REF!</v>
      </c>
    </row>
    <row r="167" spans="6:21" ht="219.75" customHeight="1" hidden="1">
      <c r="F167" s="189"/>
      <c r="U167" s="160" t="s">
        <v>128</v>
      </c>
    </row>
    <row r="168" spans="6:28" ht="219.75" customHeight="1" hidden="1">
      <c r="F168" s="189"/>
      <c r="U168" s="130" t="s">
        <v>129</v>
      </c>
      <c r="V168" s="166">
        <v>2016</v>
      </c>
      <c r="W168" s="166">
        <v>2017</v>
      </c>
      <c r="X168" s="166">
        <v>2018</v>
      </c>
      <c r="Y168" s="166">
        <v>2019</v>
      </c>
      <c r="Z168" s="166">
        <v>2020</v>
      </c>
      <c r="AA168" s="188" t="s">
        <v>116</v>
      </c>
      <c r="AB168" s="188" t="s">
        <v>117</v>
      </c>
    </row>
    <row r="169" spans="6:28" ht="219.75" customHeight="1" hidden="1">
      <c r="F169" s="189"/>
      <c r="U169" s="111" t="s">
        <v>296</v>
      </c>
      <c r="V169" s="148">
        <f aca="true" t="shared" si="15" ref="V169:V177">SUMIF($C:$C,U169,V$1:V$65536)</f>
        <v>1198384.25</v>
      </c>
      <c r="W169" s="166">
        <f aca="true" t="shared" si="16" ref="W169:W177">SUMIF($C:$C,U169,Y$1:Y$65536)</f>
        <v>1055049.53</v>
      </c>
      <c r="X169" s="148">
        <f aca="true" t="shared" si="17" ref="X169:X177">SUMIF($C:$C,U169,AB$1:AB$65536)</f>
        <v>1102096.483</v>
      </c>
      <c r="Y169" s="148" t="e">
        <f>SUMIF(#REF!,U169,#REF!)</f>
        <v>#REF!</v>
      </c>
      <c r="Z169" s="166" t="e">
        <f>SUMIF(#REF!,U169,#REF!)</f>
        <v>#REF!</v>
      </c>
      <c r="AA169" s="148" t="e">
        <f aca="true" t="shared" si="18" ref="AA169:AA177">SUM(V169:Z169)</f>
        <v>#REF!</v>
      </c>
      <c r="AB169" s="195" t="e">
        <f aca="true" t="shared" si="19" ref="AB169:AB176">+AA169/$AA$178</f>
        <v>#REF!</v>
      </c>
    </row>
    <row r="170" spans="6:28" ht="219.75" customHeight="1" hidden="1">
      <c r="F170" s="189"/>
      <c r="U170" s="113" t="s">
        <v>388</v>
      </c>
      <c r="V170" s="148">
        <f t="shared" si="15"/>
        <v>146478.48</v>
      </c>
      <c r="W170" s="166">
        <f t="shared" si="16"/>
        <v>125114.40000000001</v>
      </c>
      <c r="X170" s="148">
        <f t="shared" si="17"/>
        <v>159131.832</v>
      </c>
      <c r="Y170" s="148" t="e">
        <f>SUMIF(#REF!,U170,#REF!)</f>
        <v>#REF!</v>
      </c>
      <c r="Z170" s="166" t="e">
        <f>SUMIF(#REF!,U170,#REF!)</f>
        <v>#REF!</v>
      </c>
      <c r="AA170" s="148" t="e">
        <f t="shared" si="18"/>
        <v>#REF!</v>
      </c>
      <c r="AB170" s="195" t="e">
        <f t="shared" si="19"/>
        <v>#REF!</v>
      </c>
    </row>
    <row r="171" spans="6:28" ht="219.75" customHeight="1" hidden="1">
      <c r="F171" s="189"/>
      <c r="U171" s="113" t="s">
        <v>241</v>
      </c>
      <c r="V171" s="148">
        <f t="shared" si="15"/>
        <v>3433397.0689999997</v>
      </c>
      <c r="W171" s="166">
        <f t="shared" si="16"/>
        <v>3587909.04</v>
      </c>
      <c r="X171" s="148">
        <f t="shared" si="17"/>
        <v>3946699.944</v>
      </c>
      <c r="Y171" s="148" t="e">
        <f>SUMIF(#REF!,U171,#REF!)</f>
        <v>#REF!</v>
      </c>
      <c r="Z171" s="166" t="e">
        <f>SUMIF(#REF!,U171,#REF!)</f>
        <v>#REF!</v>
      </c>
      <c r="AA171" s="148" t="e">
        <f t="shared" si="18"/>
        <v>#REF!</v>
      </c>
      <c r="AB171" s="195" t="e">
        <f t="shared" si="19"/>
        <v>#REF!</v>
      </c>
    </row>
    <row r="172" spans="6:28" ht="219.75" customHeight="1" hidden="1">
      <c r="F172" s="189"/>
      <c r="U172" s="113" t="s">
        <v>421</v>
      </c>
      <c r="V172" s="148">
        <f t="shared" si="15"/>
        <v>2478953.5696</v>
      </c>
      <c r="W172" s="166">
        <f t="shared" si="16"/>
        <v>2808576.58</v>
      </c>
      <c r="X172" s="148">
        <f t="shared" si="17"/>
        <v>2920756.238</v>
      </c>
      <c r="Y172" s="148" t="e">
        <f>SUMIF(#REF!,U172,#REF!)</f>
        <v>#REF!</v>
      </c>
      <c r="Z172" s="166" t="e">
        <f>SUMIF(#REF!,U172,#REF!)</f>
        <v>#REF!</v>
      </c>
      <c r="AA172" s="148" t="e">
        <f t="shared" si="18"/>
        <v>#REF!</v>
      </c>
      <c r="AB172" s="195" t="e">
        <f t="shared" si="19"/>
        <v>#REF!</v>
      </c>
    </row>
    <row r="173" spans="6:28" ht="219.75" customHeight="1" hidden="1">
      <c r="F173" s="189"/>
      <c r="U173" s="113" t="s">
        <v>619</v>
      </c>
      <c r="V173" s="148">
        <f t="shared" si="15"/>
        <v>228933</v>
      </c>
      <c r="W173" s="166">
        <f t="shared" si="16"/>
        <v>231733</v>
      </c>
      <c r="X173" s="148">
        <f t="shared" si="17"/>
        <v>234906.3</v>
      </c>
      <c r="Y173" s="148" t="e">
        <f>SUMIF(#REF!,U173,#REF!)</f>
        <v>#REF!</v>
      </c>
      <c r="Z173" s="166" t="e">
        <f>SUMIF(#REF!,U173,#REF!)</f>
        <v>#REF!</v>
      </c>
      <c r="AA173" s="148" t="e">
        <f t="shared" si="18"/>
        <v>#REF!</v>
      </c>
      <c r="AB173" s="195" t="e">
        <f t="shared" si="19"/>
        <v>#REF!</v>
      </c>
    </row>
    <row r="174" spans="6:28" ht="219.75" customHeight="1" hidden="1">
      <c r="F174" s="189"/>
      <c r="U174" s="113" t="s">
        <v>408</v>
      </c>
      <c r="V174" s="148">
        <f t="shared" si="15"/>
        <v>526051.2</v>
      </c>
      <c r="W174" s="166">
        <f t="shared" si="16"/>
        <v>166220</v>
      </c>
      <c r="X174" s="148">
        <f t="shared" si="17"/>
        <v>135524</v>
      </c>
      <c r="Y174" s="148" t="e">
        <f>SUMIF(#REF!,U174,#REF!)</f>
        <v>#REF!</v>
      </c>
      <c r="Z174" s="166" t="e">
        <f>SUMIF(#REF!,U174,#REF!)</f>
        <v>#REF!</v>
      </c>
      <c r="AA174" s="148" t="e">
        <f t="shared" si="18"/>
        <v>#REF!</v>
      </c>
      <c r="AB174" s="195" t="e">
        <f t="shared" si="19"/>
        <v>#REF!</v>
      </c>
    </row>
    <row r="175" spans="6:28" ht="219.75" customHeight="1" hidden="1">
      <c r="F175" s="189"/>
      <c r="U175" s="113" t="s">
        <v>285</v>
      </c>
      <c r="V175" s="148">
        <f t="shared" si="15"/>
        <v>3242703.8119196557</v>
      </c>
      <c r="W175" s="166">
        <f t="shared" si="16"/>
        <v>3150627.170199171</v>
      </c>
      <c r="X175" s="148">
        <f t="shared" si="17"/>
        <v>3229901.550219089</v>
      </c>
      <c r="Y175" s="148" t="e">
        <f>SUMIF(#REF!,U175,#REF!)</f>
        <v>#REF!</v>
      </c>
      <c r="Z175" s="166" t="e">
        <f>SUMIF(#REF!,U175,#REF!)</f>
        <v>#REF!</v>
      </c>
      <c r="AA175" s="148" t="e">
        <f t="shared" si="18"/>
        <v>#REF!</v>
      </c>
      <c r="AB175" s="195" t="e">
        <f t="shared" si="19"/>
        <v>#REF!</v>
      </c>
    </row>
    <row r="176" spans="6:28" ht="219.75" customHeight="1" hidden="1">
      <c r="F176" s="189"/>
      <c r="U176" s="196" t="s">
        <v>130</v>
      </c>
      <c r="V176" s="148">
        <f t="shared" si="15"/>
        <v>0</v>
      </c>
      <c r="W176" s="166">
        <f t="shared" si="16"/>
        <v>0</v>
      </c>
      <c r="X176" s="148">
        <f t="shared" si="17"/>
        <v>0</v>
      </c>
      <c r="Y176" s="148" t="e">
        <f>SUMIF(#REF!,U176,#REF!)</f>
        <v>#REF!</v>
      </c>
      <c r="Z176" s="166" t="e">
        <f>SUMIF(#REF!,U176,#REF!)</f>
        <v>#REF!</v>
      </c>
      <c r="AA176" s="148" t="e">
        <f t="shared" si="18"/>
        <v>#REF!</v>
      </c>
      <c r="AB176" s="195" t="e">
        <f t="shared" si="19"/>
        <v>#REF!</v>
      </c>
    </row>
    <row r="177" spans="6:28" ht="219.75" customHeight="1" hidden="1">
      <c r="F177" s="189"/>
      <c r="U177" s="111" t="s">
        <v>96</v>
      </c>
      <c r="V177" s="148">
        <f t="shared" si="15"/>
        <v>202395.24459999998</v>
      </c>
      <c r="W177" s="166">
        <f t="shared" si="16"/>
        <v>162196.085525</v>
      </c>
      <c r="X177" s="148">
        <f t="shared" si="17"/>
        <v>132176.282175</v>
      </c>
      <c r="Y177" s="148" t="e">
        <f>SUMIF(#REF!,U177,#REF!)</f>
        <v>#REF!</v>
      </c>
      <c r="Z177" s="166" t="e">
        <f>SUMIF(#REF!,U177,#REF!)</f>
        <v>#REF!</v>
      </c>
      <c r="AA177" s="148" t="e">
        <f t="shared" si="18"/>
        <v>#REF!</v>
      </c>
      <c r="AB177" s="195" t="e">
        <f>+AA177/AA178</f>
        <v>#REF!</v>
      </c>
    </row>
    <row r="178" spans="6:28" ht="219.75" customHeight="1" hidden="1">
      <c r="F178" s="189"/>
      <c r="U178" s="130" t="s">
        <v>111</v>
      </c>
      <c r="V178" s="179">
        <f aca="true" t="shared" si="20" ref="V178:AB178">+SUM(V169:V177)</f>
        <v>11457296.625119654</v>
      </c>
      <c r="W178" s="166">
        <f t="shared" si="20"/>
        <v>11287425.805724172</v>
      </c>
      <c r="X178" s="179">
        <f t="shared" si="20"/>
        <v>11861192.629394088</v>
      </c>
      <c r="Y178" s="179" t="e">
        <f t="shared" si="20"/>
        <v>#REF!</v>
      </c>
      <c r="Z178" s="166" t="e">
        <f t="shared" si="20"/>
        <v>#REF!</v>
      </c>
      <c r="AA178" s="179" t="e">
        <f t="shared" si="20"/>
        <v>#REF!</v>
      </c>
      <c r="AB178" s="197" t="e">
        <f t="shared" si="20"/>
        <v>#REF!</v>
      </c>
    </row>
    <row r="179" spans="6:27" ht="219.75" customHeight="1" hidden="1">
      <c r="F179" s="189"/>
      <c r="V179" s="162">
        <f aca="true" t="shared" si="21" ref="V179:AA179">+V160</f>
        <v>11690015.205119656</v>
      </c>
      <c r="W179" s="150">
        <f t="shared" si="21"/>
        <v>11337958.26572417</v>
      </c>
      <c r="X179" s="162">
        <f t="shared" si="21"/>
        <v>11911725.089394085</v>
      </c>
      <c r="Y179" s="162" t="e">
        <f t="shared" si="21"/>
        <v>#REF!</v>
      </c>
      <c r="Z179" s="150" t="e">
        <f t="shared" si="21"/>
        <v>#REF!</v>
      </c>
      <c r="AA179" s="162" t="e">
        <f t="shared" si="21"/>
        <v>#REF!</v>
      </c>
    </row>
    <row r="180" ht="219.75" customHeight="1" hidden="1">
      <c r="F180" s="127"/>
    </row>
    <row r="181" spans="6:28" ht="219.75" customHeight="1" hidden="1">
      <c r="F181" s="189"/>
      <c r="U181" s="198" t="s">
        <v>131</v>
      </c>
      <c r="V181" s="198"/>
      <c r="W181" s="199"/>
      <c r="X181" s="198"/>
      <c r="Y181" s="198"/>
      <c r="Z181" s="199"/>
      <c r="AA181" s="198"/>
      <c r="AB181" s="198"/>
    </row>
    <row r="182" spans="6:28" ht="219.75" customHeight="1" hidden="1">
      <c r="F182" s="189"/>
      <c r="U182" s="200"/>
      <c r="V182" s="200"/>
      <c r="W182" s="201"/>
      <c r="X182" s="200"/>
      <c r="Y182" s="200"/>
      <c r="Z182" s="201"/>
      <c r="AA182" s="200"/>
      <c r="AB182" s="200"/>
    </row>
    <row r="183" spans="6:28" ht="219.75" customHeight="1" hidden="1">
      <c r="F183" s="189"/>
      <c r="U183" s="202" t="s">
        <v>132</v>
      </c>
      <c r="V183" s="203">
        <v>2019</v>
      </c>
      <c r="W183" s="204">
        <v>2020</v>
      </c>
      <c r="X183" s="203">
        <v>2021</v>
      </c>
      <c r="Y183" s="203" t="s">
        <v>133</v>
      </c>
      <c r="Z183" s="204" t="s">
        <v>134</v>
      </c>
      <c r="AA183" s="203"/>
      <c r="AB183" s="203"/>
    </row>
    <row r="184" spans="6:28" ht="219.75" customHeight="1" hidden="1">
      <c r="F184" s="189"/>
      <c r="U184" s="111" t="s">
        <v>156</v>
      </c>
      <c r="V184" s="148">
        <f aca="true" t="shared" si="22" ref="V184:V190">SUMIF($N:$N,U184,V$1:V$65536)</f>
        <v>227800</v>
      </c>
      <c r="W184" s="166">
        <f aca="true" t="shared" si="23" ref="W184:W190">SUMIF($N:$N,U184,Y$1:Y$65536)</f>
        <v>77800</v>
      </c>
      <c r="X184" s="148">
        <f aca="true" t="shared" si="24" ref="X184:X190">SUMIF($N:$N,U184,AB$1:AB$65536)</f>
        <v>77800</v>
      </c>
      <c r="Y184" s="148">
        <f aca="true" t="shared" si="25" ref="Y184:Y190">+V184+W184+X184</f>
        <v>383400</v>
      </c>
      <c r="Z184" s="166">
        <f aca="true" t="shared" si="26" ref="Z184:Z190">+Y184/$Y$191</f>
        <v>0.010973191406874843</v>
      </c>
      <c r="AA184" s="148"/>
      <c r="AB184" s="205"/>
    </row>
    <row r="185" spans="6:28" ht="219.75" customHeight="1" hidden="1">
      <c r="F185" s="189"/>
      <c r="U185" s="111" t="s">
        <v>397</v>
      </c>
      <c r="V185" s="148">
        <f t="shared" si="22"/>
        <v>1848040.0746000004</v>
      </c>
      <c r="W185" s="166">
        <f t="shared" si="23"/>
        <v>1389271.395525</v>
      </c>
      <c r="X185" s="148">
        <f t="shared" si="24"/>
        <v>1005429.532175</v>
      </c>
      <c r="Y185" s="148">
        <f t="shared" si="25"/>
        <v>4242741.002300001</v>
      </c>
      <c r="Z185" s="166">
        <f t="shared" si="26"/>
        <v>0.12143038369335922</v>
      </c>
      <c r="AA185" s="148"/>
      <c r="AB185" s="205"/>
    </row>
    <row r="186" spans="6:28" ht="219.75" customHeight="1" hidden="1">
      <c r="F186" s="189"/>
      <c r="U186" s="111" t="s">
        <v>463</v>
      </c>
      <c r="V186" s="148">
        <f t="shared" si="22"/>
        <v>307383.64999999997</v>
      </c>
      <c r="W186" s="166">
        <f t="shared" si="23"/>
        <v>307383.64999999997</v>
      </c>
      <c r="X186" s="148">
        <f t="shared" si="24"/>
        <v>338122.015</v>
      </c>
      <c r="Y186" s="148">
        <f t="shared" si="25"/>
        <v>952889.315</v>
      </c>
      <c r="Z186" s="166">
        <f t="shared" si="26"/>
        <v>0.02727239656510395</v>
      </c>
      <c r="AA186" s="148"/>
      <c r="AB186" s="205"/>
    </row>
    <row r="187" spans="6:28" ht="219.75" customHeight="1" hidden="1">
      <c r="F187" s="189"/>
      <c r="U187" s="111" t="s">
        <v>528</v>
      </c>
      <c r="V187" s="148">
        <f t="shared" si="22"/>
        <v>1179345.239</v>
      </c>
      <c r="W187" s="166">
        <f t="shared" si="23"/>
        <v>1230124.42</v>
      </c>
      <c r="X187" s="148">
        <f t="shared" si="24"/>
        <v>1353136.8620000002</v>
      </c>
      <c r="Y187" s="148">
        <f t="shared" si="25"/>
        <v>3762606.521</v>
      </c>
      <c r="Z187" s="166">
        <f t="shared" si="26"/>
        <v>0.10768857992615663</v>
      </c>
      <c r="AA187" s="148"/>
      <c r="AB187" s="205"/>
    </row>
    <row r="188" spans="6:28" ht="219.75" customHeight="1" hidden="1">
      <c r="F188" s="189"/>
      <c r="U188" s="111" t="s">
        <v>459</v>
      </c>
      <c r="V188" s="148">
        <f t="shared" si="22"/>
        <v>1557412.92</v>
      </c>
      <c r="W188" s="166">
        <f t="shared" si="23"/>
        <v>1685988</v>
      </c>
      <c r="X188" s="148">
        <f t="shared" si="24"/>
        <v>1854586.8</v>
      </c>
      <c r="Y188" s="148">
        <f t="shared" si="25"/>
        <v>5097987.72</v>
      </c>
      <c r="Z188" s="166">
        <f t="shared" si="26"/>
        <v>0.14590817694694175</v>
      </c>
      <c r="AA188" s="148"/>
      <c r="AB188" s="205"/>
    </row>
    <row r="189" spans="6:28" ht="219.75" customHeight="1" hidden="1">
      <c r="F189" s="189"/>
      <c r="U189" s="111" t="s">
        <v>198</v>
      </c>
      <c r="V189" s="148">
        <f t="shared" si="22"/>
        <v>0</v>
      </c>
      <c r="W189" s="166">
        <f t="shared" si="23"/>
        <v>0</v>
      </c>
      <c r="X189" s="148">
        <f t="shared" si="24"/>
        <v>0</v>
      </c>
      <c r="Y189" s="148">
        <f t="shared" si="25"/>
        <v>0</v>
      </c>
      <c r="Z189" s="166">
        <f t="shared" si="26"/>
        <v>0</v>
      </c>
      <c r="AA189" s="148"/>
      <c r="AB189" s="205"/>
    </row>
    <row r="190" spans="6:28" ht="219.75" customHeight="1" hidden="1">
      <c r="F190" s="189"/>
      <c r="U190" s="111" t="s">
        <v>206</v>
      </c>
      <c r="V190" s="148">
        <f t="shared" si="22"/>
        <v>6570033.321519656</v>
      </c>
      <c r="W190" s="166">
        <f t="shared" si="23"/>
        <v>6647390.800199171</v>
      </c>
      <c r="X190" s="148">
        <f t="shared" si="24"/>
        <v>7282649.880219088</v>
      </c>
      <c r="Y190" s="148">
        <f t="shared" si="25"/>
        <v>20500074.001937915</v>
      </c>
      <c r="Z190" s="166">
        <f t="shared" si="26"/>
        <v>0.5867272714615637</v>
      </c>
      <c r="AA190" s="148"/>
      <c r="AB190" s="205"/>
    </row>
    <row r="191" spans="6:28" ht="34.5" customHeight="1" hidden="1">
      <c r="F191" s="189"/>
      <c r="U191" s="200"/>
      <c r="V191" s="206">
        <f aca="true" t="shared" si="27" ref="V191:AB191">+SUM(V184:V190)</f>
        <v>11690015.205119656</v>
      </c>
      <c r="W191" s="201">
        <f t="shared" si="27"/>
        <v>11337958.265724171</v>
      </c>
      <c r="X191" s="206">
        <f t="shared" si="27"/>
        <v>11911725.089394089</v>
      </c>
      <c r="Y191" s="206">
        <f t="shared" si="27"/>
        <v>34939698.560237914</v>
      </c>
      <c r="Z191" s="201">
        <f t="shared" si="27"/>
        <v>1</v>
      </c>
      <c r="AA191" s="206">
        <f t="shared" si="27"/>
        <v>0</v>
      </c>
      <c r="AB191" s="205">
        <f t="shared" si="27"/>
        <v>0</v>
      </c>
    </row>
    <row r="192" spans="6:28" ht="219.75" customHeight="1" hidden="1">
      <c r="F192" s="189"/>
      <c r="U192" s="200"/>
      <c r="V192" s="207">
        <f aca="true" t="shared" si="28" ref="V192:AA192">+V178-V191</f>
        <v>-232718.58000000194</v>
      </c>
      <c r="W192" s="201">
        <f t="shared" si="28"/>
        <v>-50532.45999999903</v>
      </c>
      <c r="X192" s="207">
        <f t="shared" si="28"/>
        <v>-50532.460000000894</v>
      </c>
      <c r="Y192" s="207" t="e">
        <f t="shared" si="28"/>
        <v>#REF!</v>
      </c>
      <c r="Z192" s="201" t="e">
        <f t="shared" si="28"/>
        <v>#REF!</v>
      </c>
      <c r="AA192" s="207" t="e">
        <f t="shared" si="28"/>
        <v>#REF!</v>
      </c>
      <c r="AB192" s="200"/>
    </row>
    <row r="193" spans="6:28" ht="219.75" customHeight="1" hidden="1">
      <c r="F193" s="189"/>
      <c r="U193" s="200"/>
      <c r="V193" s="200"/>
      <c r="W193" s="201"/>
      <c r="X193" s="200"/>
      <c r="Y193" s="200"/>
      <c r="Z193" s="201"/>
      <c r="AA193" s="200"/>
      <c r="AB193" s="200"/>
    </row>
    <row r="194" spans="6:28" ht="219.75" customHeight="1" hidden="1">
      <c r="F194" s="189"/>
      <c r="U194" s="200"/>
      <c r="V194" s="200"/>
      <c r="W194" s="201"/>
      <c r="X194" s="200"/>
      <c r="Y194" s="200"/>
      <c r="Z194" s="201"/>
      <c r="AA194" s="200"/>
      <c r="AB194" s="200"/>
    </row>
    <row r="195" spans="6:28" ht="219.75" customHeight="1" hidden="1">
      <c r="F195" s="127"/>
      <c r="U195" s="200"/>
      <c r="V195" s="200"/>
      <c r="W195" s="201"/>
      <c r="X195" s="200"/>
      <c r="Y195" s="200"/>
      <c r="Z195" s="201"/>
      <c r="AA195" s="200"/>
      <c r="AB195" s="200"/>
    </row>
    <row r="196" spans="6:28" ht="219.75" customHeight="1" hidden="1">
      <c r="F196" s="127"/>
      <c r="U196" s="200"/>
      <c r="V196" s="200"/>
      <c r="W196" s="201"/>
      <c r="X196" s="200"/>
      <c r="Y196" s="200"/>
      <c r="Z196" s="201"/>
      <c r="AA196" s="200"/>
      <c r="AB196" s="200"/>
    </row>
    <row r="197" spans="6:28" ht="219.75" customHeight="1" hidden="1">
      <c r="F197" s="127"/>
      <c r="U197" s="200"/>
      <c r="V197" s="200"/>
      <c r="W197" s="201"/>
      <c r="X197" s="200"/>
      <c r="Y197" s="200"/>
      <c r="Z197" s="201"/>
      <c r="AA197" s="200"/>
      <c r="AB197" s="200"/>
    </row>
    <row r="198" spans="6:28" ht="219.75" customHeight="1" hidden="1">
      <c r="F198" s="66"/>
      <c r="U198" s="200"/>
      <c r="V198" s="200"/>
      <c r="W198" s="201"/>
      <c r="X198" s="200"/>
      <c r="Y198" s="200"/>
      <c r="Z198" s="201"/>
      <c r="AA198" s="200"/>
      <c r="AB198" s="200"/>
    </row>
    <row r="199" spans="6:28" ht="219.75" customHeight="1" hidden="1">
      <c r="F199" s="66"/>
      <c r="U199" s="198" t="s">
        <v>135</v>
      </c>
      <c r="V199" s="198"/>
      <c r="W199" s="199"/>
      <c r="X199" s="198"/>
      <c r="Y199" s="198"/>
      <c r="Z199" s="199"/>
      <c r="AA199" s="198"/>
      <c r="AB199" s="198"/>
    </row>
    <row r="200" spans="6:28" ht="219.75" customHeight="1" hidden="1">
      <c r="F200" s="189"/>
      <c r="X200" s="128"/>
      <c r="Y200" s="128"/>
      <c r="AA200" s="160"/>
      <c r="AB200" s="160"/>
    </row>
    <row r="201" spans="6:28" ht="219.75" customHeight="1" hidden="1">
      <c r="F201" s="189"/>
      <c r="U201" s="202" t="s">
        <v>132</v>
      </c>
      <c r="V201" s="203">
        <v>2016</v>
      </c>
      <c r="W201" s="204">
        <v>2017</v>
      </c>
      <c r="X201" s="203">
        <v>2018</v>
      </c>
      <c r="Y201" s="203">
        <v>2019</v>
      </c>
      <c r="Z201" s="204">
        <v>2020</v>
      </c>
      <c r="AA201" s="203" t="s">
        <v>133</v>
      </c>
      <c r="AB201" s="203" t="s">
        <v>134</v>
      </c>
    </row>
    <row r="202" spans="6:28" ht="219.75" customHeight="1" hidden="1">
      <c r="F202" s="189"/>
      <c r="U202" s="130" t="s">
        <v>397</v>
      </c>
      <c r="V202" s="187">
        <f>+V184</f>
        <v>227800</v>
      </c>
      <c r="W202" s="154">
        <f>+W184</f>
        <v>77800</v>
      </c>
      <c r="X202" s="187">
        <f>+X184</f>
        <v>77800</v>
      </c>
      <c r="Y202" s="187">
        <f>+Y184</f>
        <v>383400</v>
      </c>
      <c r="Z202" s="154">
        <f>+Z184</f>
        <v>0.010973191406874843</v>
      </c>
      <c r="AA202" s="187">
        <f>+SUM(V202:Z202)</f>
        <v>766800.0109731914</v>
      </c>
      <c r="AB202" s="195">
        <f>+AA202/AA206</f>
        <v>0.01248983712071025</v>
      </c>
    </row>
    <row r="203" spans="6:28" ht="219.75" customHeight="1" hidden="1">
      <c r="F203" s="189"/>
      <c r="U203" s="130" t="s">
        <v>196</v>
      </c>
      <c r="V203" s="187">
        <f>+V188+V189+V190</f>
        <v>8127446.241519656</v>
      </c>
      <c r="W203" s="154">
        <f>+W188+W189+W190</f>
        <v>8333378.800199171</v>
      </c>
      <c r="X203" s="187">
        <f>+X188+X189+X190</f>
        <v>9137236.680219088</v>
      </c>
      <c r="Y203" s="187">
        <f>+Y188+Y189+Y190</f>
        <v>25598061.721937913</v>
      </c>
      <c r="Z203" s="154">
        <f>+Z188+Z189+Z190</f>
        <v>0.7326354484085054</v>
      </c>
      <c r="AA203" s="187">
        <f>+SUM(V203:Z203)</f>
        <v>51196124.17651127</v>
      </c>
      <c r="AB203" s="195">
        <f>+AA203/AA206</f>
        <v>0.8338957264290356</v>
      </c>
    </row>
    <row r="204" spans="6:28" ht="219.75" customHeight="1" hidden="1">
      <c r="F204" s="127"/>
      <c r="U204" s="130" t="s">
        <v>136</v>
      </c>
      <c r="V204" s="187">
        <f>+V187</f>
        <v>1179345.239</v>
      </c>
      <c r="W204" s="154">
        <f>+W187</f>
        <v>1230124.42</v>
      </c>
      <c r="X204" s="187">
        <f>+X187</f>
        <v>1353136.8620000002</v>
      </c>
      <c r="Y204" s="187">
        <f>+Y187</f>
        <v>3762606.521</v>
      </c>
      <c r="Z204" s="154">
        <f>+Z187</f>
        <v>0.10768857992615663</v>
      </c>
      <c r="AA204" s="187">
        <f>+SUM(V204:Z204)</f>
        <v>7525213.14968858</v>
      </c>
      <c r="AB204" s="195">
        <f>+AA204/AA206</f>
        <v>0.1225726202311222</v>
      </c>
    </row>
    <row r="205" spans="6:28" ht="219.75" customHeight="1" hidden="1">
      <c r="F205" s="189"/>
      <c r="U205" s="130" t="s">
        <v>463</v>
      </c>
      <c r="V205" s="187">
        <f>+V186</f>
        <v>307383.64999999997</v>
      </c>
      <c r="W205" s="154">
        <f>+W186</f>
        <v>307383.64999999997</v>
      </c>
      <c r="X205" s="187">
        <f>+X186</f>
        <v>338122.015</v>
      </c>
      <c r="Y205" s="187">
        <f>+Y186</f>
        <v>952889.315</v>
      </c>
      <c r="Z205" s="154">
        <f>+Z186</f>
        <v>0.02727239656510395</v>
      </c>
      <c r="AA205" s="187">
        <f>+SUM(V205:Z205)</f>
        <v>1905778.6572723964</v>
      </c>
      <c r="AB205" s="195">
        <f>+AA205/AA206</f>
        <v>0.031041816219131876</v>
      </c>
    </row>
    <row r="206" spans="6:28" ht="219.75" customHeight="1" hidden="1">
      <c r="F206" s="189"/>
      <c r="U206" s="208" t="s">
        <v>133</v>
      </c>
      <c r="V206" s="209">
        <f aca="true" t="shared" si="29" ref="V206:AA206">+SUM(V202:V205)</f>
        <v>9841975.130519656</v>
      </c>
      <c r="W206" s="191">
        <f t="shared" si="29"/>
        <v>9948686.87019917</v>
      </c>
      <c r="X206" s="209">
        <f t="shared" si="29"/>
        <v>10906295.557219088</v>
      </c>
      <c r="Y206" s="209">
        <f t="shared" si="29"/>
        <v>30696957.557937916</v>
      </c>
      <c r="Z206" s="191">
        <f t="shared" si="29"/>
        <v>0.8785696163066408</v>
      </c>
      <c r="AA206" s="209">
        <f t="shared" si="29"/>
        <v>61393915.99444544</v>
      </c>
      <c r="AB206" s="210">
        <v>1</v>
      </c>
    </row>
    <row r="207" spans="6:28" ht="219.75" customHeight="1" hidden="1">
      <c r="F207" s="189"/>
      <c r="U207" s="211" t="s">
        <v>134</v>
      </c>
      <c r="V207" s="212">
        <f>+V206/AA206</f>
        <v>0.16030863923731628</v>
      </c>
      <c r="W207" s="213">
        <f>+W206/AA206</f>
        <v>0.16204678768331487</v>
      </c>
      <c r="X207" s="212">
        <f>+X206/AA206</f>
        <v>0.17764456592418415</v>
      </c>
      <c r="Y207" s="212">
        <f>+Y206/AA206</f>
        <v>0.49999999284481533</v>
      </c>
      <c r="Z207" s="213">
        <f>+Z206/AA206</f>
        <v>1.4310369392076709E-08</v>
      </c>
      <c r="AA207" s="212">
        <v>1</v>
      </c>
      <c r="AB207" s="210"/>
    </row>
    <row r="208" spans="6:27" ht="219.75" customHeight="1" hidden="1">
      <c r="F208" s="189"/>
      <c r="V208" s="214">
        <f aca="true" t="shared" si="30" ref="V208:AA208">+V178-V206</f>
        <v>1615321.494599998</v>
      </c>
      <c r="W208" s="150">
        <f t="shared" si="30"/>
        <v>1338738.935525002</v>
      </c>
      <c r="X208" s="214">
        <f t="shared" si="30"/>
        <v>954897.0721749999</v>
      </c>
      <c r="Y208" s="214" t="e">
        <f t="shared" si="30"/>
        <v>#REF!</v>
      </c>
      <c r="Z208" s="150" t="e">
        <f t="shared" si="30"/>
        <v>#REF!</v>
      </c>
      <c r="AA208" s="214" t="e">
        <f t="shared" si="30"/>
        <v>#REF!</v>
      </c>
    </row>
    <row r="209" spans="6:27" ht="219.75" customHeight="1" hidden="1">
      <c r="F209" s="127"/>
      <c r="V209" s="214"/>
      <c r="X209" s="214">
        <f>+AA202-I137</f>
        <v>766800.0109731914</v>
      </c>
      <c r="Y209" s="214"/>
      <c r="AA209" s="214"/>
    </row>
    <row r="210" spans="6:27" ht="219.75" customHeight="1" hidden="1">
      <c r="F210" s="189"/>
      <c r="V210" s="214"/>
      <c r="X210" s="214"/>
      <c r="Y210" s="214"/>
      <c r="AA210" s="214"/>
    </row>
    <row r="211" spans="6:28" ht="219.75" customHeight="1" hidden="1">
      <c r="F211" s="189"/>
      <c r="U211" s="215" t="s">
        <v>132</v>
      </c>
      <c r="V211" s="216">
        <v>2017</v>
      </c>
      <c r="W211" s="217">
        <v>2018</v>
      </c>
      <c r="X211" s="216">
        <v>2019</v>
      </c>
      <c r="Y211" s="216">
        <v>2020</v>
      </c>
      <c r="Z211" s="217">
        <v>2021</v>
      </c>
      <c r="AA211" s="216" t="s">
        <v>133</v>
      </c>
      <c r="AB211" s="218"/>
    </row>
    <row r="212" spans="6:27" ht="219.75" customHeight="1" hidden="1">
      <c r="F212" s="189"/>
      <c r="U212" s="219" t="s">
        <v>238</v>
      </c>
      <c r="V212" s="177">
        <f aca="true" t="shared" si="31" ref="V212:V220">SUMIF($M:$M,U212,V$1:V$65536)</f>
        <v>435302.48000000004</v>
      </c>
      <c r="W212" s="220">
        <f aca="true" t="shared" si="32" ref="W212:W220">SUMIF($M:$M,U212,Y$1:Y$65536)</f>
        <v>339071.02</v>
      </c>
      <c r="X212" s="177">
        <f aca="true" t="shared" si="33" ref="X212:X220">SUMIF($M:$M,U212,AB$1:AB$65536)</f>
        <v>401446.06000000006</v>
      </c>
      <c r="Y212" s="177" t="e">
        <f>SUMIF(#REF!,U212,#REF!)</f>
        <v>#REF!</v>
      </c>
      <c r="Z212" s="220" t="e">
        <f>SUMIF(#REF!,U212,#REF!)</f>
        <v>#REF!</v>
      </c>
      <c r="AA212" s="221" t="e">
        <f aca="true" t="shared" si="34" ref="AA212:AA220">+V212+W212+X212+Y212+Z212</f>
        <v>#REF!</v>
      </c>
    </row>
    <row r="213" spans="6:27" ht="219.75" customHeight="1" hidden="1">
      <c r="F213" s="189"/>
      <c r="U213" s="219" t="s">
        <v>396</v>
      </c>
      <c r="V213" s="177">
        <f t="shared" si="31"/>
        <v>136604</v>
      </c>
      <c r="W213" s="220">
        <f t="shared" si="32"/>
        <v>145984</v>
      </c>
      <c r="X213" s="177">
        <f t="shared" si="33"/>
        <v>155364</v>
      </c>
      <c r="Y213" s="177" t="e">
        <f>SUMIF(#REF!,U213,#REF!)</f>
        <v>#REF!</v>
      </c>
      <c r="Z213" s="220" t="e">
        <f>SUMIF(#REF!,U213,#REF!)</f>
        <v>#REF!</v>
      </c>
      <c r="AA213" s="221" t="e">
        <f t="shared" si="34"/>
        <v>#REF!</v>
      </c>
    </row>
    <row r="214" spans="6:27" ht="219.75" customHeight="1" hidden="1">
      <c r="F214" s="189"/>
      <c r="U214" s="219" t="s">
        <v>502</v>
      </c>
      <c r="V214" s="177">
        <f t="shared" si="31"/>
        <v>13500</v>
      </c>
      <c r="W214" s="220">
        <f t="shared" si="32"/>
        <v>162500</v>
      </c>
      <c r="X214" s="177">
        <f t="shared" si="33"/>
        <v>17500</v>
      </c>
      <c r="Y214" s="177" t="e">
        <f>SUMIF(#REF!,U214,#REF!)</f>
        <v>#REF!</v>
      </c>
      <c r="Z214" s="220" t="e">
        <f>SUMIF(#REF!,U214,#REF!)</f>
        <v>#REF!</v>
      </c>
      <c r="AA214" s="221" t="e">
        <f t="shared" si="34"/>
        <v>#REF!</v>
      </c>
    </row>
    <row r="215" spans="6:27" ht="219.75" customHeight="1" hidden="1">
      <c r="F215" s="189"/>
      <c r="U215" s="219" t="s">
        <v>137</v>
      </c>
      <c r="V215" s="177">
        <f t="shared" si="31"/>
        <v>38186.119999999995</v>
      </c>
      <c r="W215" s="220">
        <f t="shared" si="32"/>
        <v>0</v>
      </c>
      <c r="X215" s="177">
        <f t="shared" si="33"/>
        <v>0</v>
      </c>
      <c r="Y215" s="177" t="e">
        <f>SUMIF(#REF!,U215,#REF!)</f>
        <v>#REF!</v>
      </c>
      <c r="Z215" s="220" t="e">
        <f>SUMIF(#REF!,U215,#REF!)</f>
        <v>#REF!</v>
      </c>
      <c r="AA215" s="221" t="e">
        <f t="shared" si="34"/>
        <v>#REF!</v>
      </c>
    </row>
    <row r="216" spans="6:27" ht="219.75" customHeight="1" hidden="1">
      <c r="F216" s="189"/>
      <c r="U216" s="219" t="s">
        <v>506</v>
      </c>
      <c r="V216" s="177">
        <f t="shared" si="31"/>
        <v>86480</v>
      </c>
      <c r="W216" s="220">
        <f t="shared" si="32"/>
        <v>46480</v>
      </c>
      <c r="X216" s="177">
        <f t="shared" si="33"/>
        <v>6480</v>
      </c>
      <c r="Y216" s="177" t="e">
        <f>SUMIF(#REF!,U216,#REF!)</f>
        <v>#REF!</v>
      </c>
      <c r="Z216" s="220" t="e">
        <f>SUMIF(#REF!,U216,#REF!)</f>
        <v>#REF!</v>
      </c>
      <c r="AA216" s="221" t="e">
        <f t="shared" si="34"/>
        <v>#REF!</v>
      </c>
    </row>
    <row r="217" spans="6:27" ht="219.75" customHeight="1" hidden="1">
      <c r="F217" s="66"/>
      <c r="U217" s="219" t="s">
        <v>414</v>
      </c>
      <c r="V217" s="177">
        <f t="shared" si="31"/>
        <v>670478.19</v>
      </c>
      <c r="W217" s="220">
        <f t="shared" si="32"/>
        <v>348978.19</v>
      </c>
      <c r="X217" s="177">
        <f t="shared" si="33"/>
        <v>172978.19</v>
      </c>
      <c r="Y217" s="177" t="e">
        <f>SUMIF(#REF!,U217,#REF!)</f>
        <v>#REF!</v>
      </c>
      <c r="Z217" s="220" t="e">
        <f>SUMIF(#REF!,U217,#REF!)</f>
        <v>#REF!</v>
      </c>
      <c r="AA217" s="221" t="e">
        <f t="shared" si="34"/>
        <v>#REF!</v>
      </c>
    </row>
    <row r="218" spans="6:27" ht="219.75" customHeight="1" hidden="1">
      <c r="F218" s="189"/>
      <c r="U218" s="219" t="s">
        <v>292</v>
      </c>
      <c r="V218" s="177">
        <f t="shared" si="31"/>
        <v>10000</v>
      </c>
      <c r="W218" s="220">
        <f t="shared" si="32"/>
        <v>25000</v>
      </c>
      <c r="X218" s="177">
        <f t="shared" si="33"/>
        <v>10000</v>
      </c>
      <c r="Y218" s="177" t="e">
        <f>SUMIF(#REF!,U218,#REF!)</f>
        <v>#REF!</v>
      </c>
      <c r="Z218" s="220" t="e">
        <f>SUMIF(#REF!,U218,#REF!)</f>
        <v>#REF!</v>
      </c>
      <c r="AA218" s="221" t="e">
        <f t="shared" si="34"/>
        <v>#REF!</v>
      </c>
    </row>
    <row r="219" spans="6:27" ht="219.75" customHeight="1" hidden="1">
      <c r="F219" s="189"/>
      <c r="U219" s="219" t="s">
        <v>303</v>
      </c>
      <c r="V219" s="177">
        <f t="shared" si="31"/>
        <v>255094.04</v>
      </c>
      <c r="W219" s="220">
        <f t="shared" si="32"/>
        <v>159062.1</v>
      </c>
      <c r="X219" s="177">
        <f t="shared" si="33"/>
        <v>109485</v>
      </c>
      <c r="Y219" s="177" t="e">
        <f>SUMIF(#REF!,U219,#REF!)</f>
        <v>#REF!</v>
      </c>
      <c r="Z219" s="220" t="e">
        <f>SUMIF(#REF!,U219,#REF!)</f>
        <v>#REF!</v>
      </c>
      <c r="AA219" s="221" t="e">
        <f t="shared" si="34"/>
        <v>#REF!</v>
      </c>
    </row>
    <row r="220" spans="6:27" ht="219.75" customHeight="1" hidden="1">
      <c r="F220" s="189"/>
      <c r="U220" s="219" t="s">
        <v>100</v>
      </c>
      <c r="V220" s="177">
        <f t="shared" si="31"/>
        <v>202395.24459999998</v>
      </c>
      <c r="W220" s="220">
        <f t="shared" si="32"/>
        <v>162196.085525</v>
      </c>
      <c r="X220" s="177">
        <f t="shared" si="33"/>
        <v>132176.282175</v>
      </c>
      <c r="Y220" s="177" t="e">
        <f>SUMIF(#REF!,U220,#REF!)</f>
        <v>#REF!</v>
      </c>
      <c r="Z220" s="220" t="e">
        <f>SUMIF(#REF!,U220,#REF!)</f>
        <v>#REF!</v>
      </c>
      <c r="AA220" s="221" t="e">
        <f t="shared" si="34"/>
        <v>#REF!</v>
      </c>
    </row>
    <row r="221" spans="6:27" ht="219.75" customHeight="1" hidden="1">
      <c r="F221" s="189"/>
      <c r="U221" s="128" t="s">
        <v>111</v>
      </c>
      <c r="V221" s="177">
        <f aca="true" t="shared" si="35" ref="V221:AA221">+SUM(V212:V220)</f>
        <v>1848040.0746</v>
      </c>
      <c r="W221" s="220">
        <f t="shared" si="35"/>
        <v>1389271.395525</v>
      </c>
      <c r="X221" s="177">
        <f t="shared" si="35"/>
        <v>1005429.5321750001</v>
      </c>
      <c r="Y221" s="177" t="e">
        <f t="shared" si="35"/>
        <v>#REF!</v>
      </c>
      <c r="Z221" s="220" t="e">
        <f t="shared" si="35"/>
        <v>#REF!</v>
      </c>
      <c r="AA221" s="177" t="e">
        <f t="shared" si="35"/>
        <v>#REF!</v>
      </c>
    </row>
    <row r="222" spans="6:27" ht="219.75" customHeight="1" hidden="1">
      <c r="F222" s="189"/>
      <c r="V222" s="214"/>
      <c r="X222" s="214"/>
      <c r="Y222" s="214"/>
      <c r="AA222" s="214"/>
    </row>
    <row r="223" spans="6:28" ht="219.75" customHeight="1" hidden="1">
      <c r="F223" s="189"/>
      <c r="U223" s="128" t="s">
        <v>757</v>
      </c>
      <c r="V223" s="216">
        <v>2019</v>
      </c>
      <c r="W223" s="216">
        <v>2021</v>
      </c>
      <c r="X223" s="216">
        <v>2022</v>
      </c>
      <c r="Y223" s="214" t="s">
        <v>111</v>
      </c>
      <c r="AA223" s="214"/>
      <c r="AB223" s="162" t="e">
        <f>+X221+Y221+Z221</f>
        <v>#REF!</v>
      </c>
    </row>
    <row r="224" spans="6:27" ht="219.75" customHeight="1" hidden="1">
      <c r="F224" s="189"/>
      <c r="U224" s="112" t="s">
        <v>755</v>
      </c>
      <c r="V224" s="177">
        <f>SUMIF($M:$M,U224,V:V)</f>
        <v>202800</v>
      </c>
      <c r="W224" s="220">
        <f>SUMIF($M:$M,U224,Y:Y)</f>
        <v>52800</v>
      </c>
      <c r="X224" s="177">
        <f>SUMIF($M:$M,U224,AB:AB)</f>
        <v>52800</v>
      </c>
      <c r="Y224" s="214">
        <f>+V224+W224+X224</f>
        <v>308400</v>
      </c>
      <c r="AA224" s="214"/>
    </row>
    <row r="225" spans="6:27" ht="219.75" customHeight="1" hidden="1">
      <c r="F225" s="189"/>
      <c r="U225" s="112" t="s">
        <v>756</v>
      </c>
      <c r="V225" s="177">
        <f>SUMIF($M:$M,U225,V:V)</f>
        <v>25000</v>
      </c>
      <c r="W225" s="220">
        <f>SUMIF($M:$M,U225,Y:Y)</f>
        <v>25000</v>
      </c>
      <c r="X225" s="177">
        <f>SUMIF($M:$M,U225,AB:AB)</f>
        <v>25000</v>
      </c>
      <c r="Y225" s="214">
        <f>+V225+W225+X225</f>
        <v>75000</v>
      </c>
      <c r="AA225" s="214"/>
    </row>
    <row r="226" spans="6:27" ht="219.75" customHeight="1" hidden="1" thickBot="1">
      <c r="F226" s="189"/>
      <c r="U226" s="128" t="s">
        <v>111</v>
      </c>
      <c r="V226" s="214">
        <f>+SUM(V224:V225)</f>
        <v>227800</v>
      </c>
      <c r="W226" s="214">
        <f>+SUM(W224:W225)</f>
        <v>77800</v>
      </c>
      <c r="X226" s="214">
        <f>+SUM(X224:X225)</f>
        <v>77800</v>
      </c>
      <c r="Y226" s="214">
        <f>+V226+W226+X226</f>
        <v>383400</v>
      </c>
      <c r="AA226" s="214"/>
    </row>
    <row r="227" spans="6:27" ht="219.75" customHeight="1" hidden="1" thickBot="1">
      <c r="F227" s="189"/>
      <c r="U227" s="242" t="s">
        <v>138</v>
      </c>
      <c r="V227" s="243">
        <v>2016</v>
      </c>
      <c r="W227" s="244">
        <v>2017</v>
      </c>
      <c r="X227" s="243">
        <v>2018</v>
      </c>
      <c r="Y227" s="245" t="s">
        <v>111</v>
      </c>
      <c r="AA227" s="214"/>
    </row>
    <row r="228" spans="6:27" ht="219.75" customHeight="1" hidden="1">
      <c r="F228" s="189"/>
      <c r="U228" s="246" t="s">
        <v>283</v>
      </c>
      <c r="V228" s="222" t="e">
        <f>SUMIF(#REF!,U228,V:V)</f>
        <v>#REF!</v>
      </c>
      <c r="W228" s="223" t="e">
        <f>SUMIF(#REF!,U228,Y:Y)</f>
        <v>#REF!</v>
      </c>
      <c r="X228" s="222" t="e">
        <f>SUMIF(#REF!,U228,AB:AB)</f>
        <v>#REF!</v>
      </c>
      <c r="Y228" s="224" t="e">
        <f aca="true" t="shared" si="36" ref="Y228:Y238">+SUM(V228:X228)</f>
        <v>#REF!</v>
      </c>
      <c r="AA228" s="214"/>
    </row>
    <row r="229" spans="6:27" ht="219.75" customHeight="1" hidden="1">
      <c r="F229" s="189"/>
      <c r="U229" s="246" t="s">
        <v>403</v>
      </c>
      <c r="V229" s="225" t="e">
        <f>SUMIF(#REF!,U229,V:V)</f>
        <v>#REF!</v>
      </c>
      <c r="W229" s="226" t="e">
        <f>SUMIF(#REF!,U229,Y:Y)</f>
        <v>#REF!</v>
      </c>
      <c r="X229" s="225" t="e">
        <f>SUMIF(#REF!,U229,AB:AB)</f>
        <v>#REF!</v>
      </c>
      <c r="Y229" s="227" t="e">
        <f t="shared" si="36"/>
        <v>#REF!</v>
      </c>
      <c r="AA229" s="214"/>
    </row>
    <row r="230" spans="6:27" ht="219.75" customHeight="1" hidden="1">
      <c r="F230" s="189"/>
      <c r="U230" s="246" t="s">
        <v>201</v>
      </c>
      <c r="V230" s="225" t="e">
        <f>SUMIF(#REF!,U230,V:V)</f>
        <v>#REF!</v>
      </c>
      <c r="W230" s="226" t="e">
        <f>SUMIF(#REF!,U230,Y:Y)</f>
        <v>#REF!</v>
      </c>
      <c r="X230" s="225" t="e">
        <f>SUMIF(#REF!,U230,AB:AB)</f>
        <v>#REF!</v>
      </c>
      <c r="Y230" s="227" t="e">
        <f t="shared" si="36"/>
        <v>#REF!</v>
      </c>
      <c r="AA230" s="214"/>
    </row>
    <row r="231" spans="6:27" ht="219.75" customHeight="1" hidden="1">
      <c r="F231" s="189"/>
      <c r="U231" s="247" t="s">
        <v>294</v>
      </c>
      <c r="V231" s="225" t="e">
        <f>SUMIF(#REF!,U231,V:V)</f>
        <v>#REF!</v>
      </c>
      <c r="W231" s="226" t="e">
        <f>SUMIF(#REF!,U231,Y:Y)</f>
        <v>#REF!</v>
      </c>
      <c r="X231" s="225" t="e">
        <f>SUMIF(#REF!,U231,AB:AB)</f>
        <v>#REF!</v>
      </c>
      <c r="Y231" s="227" t="e">
        <f t="shared" si="36"/>
        <v>#REF!</v>
      </c>
      <c r="AA231" s="214"/>
    </row>
    <row r="232" spans="6:27" ht="219.75" customHeight="1" hidden="1">
      <c r="F232" s="189"/>
      <c r="U232" s="246" t="s">
        <v>87</v>
      </c>
      <c r="V232" s="225" t="e">
        <f>SUMIF(#REF!,U232,V:V)</f>
        <v>#REF!</v>
      </c>
      <c r="W232" s="226" t="e">
        <f>SUMIF(#REF!,U232,Y:Y)</f>
        <v>#REF!</v>
      </c>
      <c r="X232" s="225" t="e">
        <f>SUMIF(#REF!,U232,AB:AB)</f>
        <v>#REF!</v>
      </c>
      <c r="Y232" s="227" t="e">
        <f t="shared" si="36"/>
        <v>#REF!</v>
      </c>
      <c r="AA232" s="214"/>
    </row>
    <row r="233" spans="6:27" ht="219.75" customHeight="1" hidden="1">
      <c r="F233" s="189"/>
      <c r="U233" s="246" t="s">
        <v>240</v>
      </c>
      <c r="V233" s="225" t="e">
        <f>SUMIF(#REF!,U233,V:V)</f>
        <v>#REF!</v>
      </c>
      <c r="W233" s="226" t="e">
        <f>SUMIF(#REF!,U233,Y:Y)</f>
        <v>#REF!</v>
      </c>
      <c r="X233" s="225" t="e">
        <f>SUMIF(#REF!,U233,AB:AB)</f>
        <v>#REF!</v>
      </c>
      <c r="Y233" s="227" t="e">
        <f t="shared" si="36"/>
        <v>#REF!</v>
      </c>
      <c r="AA233" s="214"/>
    </row>
    <row r="234" spans="6:27" ht="219.75" customHeight="1" hidden="1">
      <c r="F234" s="189"/>
      <c r="U234" s="246" t="s">
        <v>139</v>
      </c>
      <c r="V234" s="225" t="e">
        <f>SUMIF(#REF!,U234,V:V)</f>
        <v>#REF!</v>
      </c>
      <c r="W234" s="226" t="e">
        <f>SUMIF(#REF!,U234,Y:Y)</f>
        <v>#REF!</v>
      </c>
      <c r="X234" s="225" t="e">
        <f>SUMIF(#REF!,U234,AB:AB)</f>
        <v>#REF!</v>
      </c>
      <c r="Y234" s="227" t="e">
        <f t="shared" si="36"/>
        <v>#REF!</v>
      </c>
      <c r="AA234" s="214"/>
    </row>
    <row r="235" spans="6:27" ht="219.75" customHeight="1" hidden="1">
      <c r="F235" s="189"/>
      <c r="U235" s="247" t="s">
        <v>405</v>
      </c>
      <c r="V235" s="225" t="e">
        <f>SUMIF(#REF!,U235,V:V)</f>
        <v>#REF!</v>
      </c>
      <c r="W235" s="226" t="e">
        <f>SUMIF(#REF!,U235,Y:Y)</f>
        <v>#REF!</v>
      </c>
      <c r="X235" s="225" t="e">
        <f>SUMIF(#REF!,U235,AB:AB)</f>
        <v>#REF!</v>
      </c>
      <c r="Y235" s="227" t="e">
        <f t="shared" si="36"/>
        <v>#REF!</v>
      </c>
      <c r="AA235" s="214"/>
    </row>
    <row r="236" spans="6:27" ht="219.75" customHeight="1" hidden="1">
      <c r="F236" s="127"/>
      <c r="U236" s="246" t="s">
        <v>140</v>
      </c>
      <c r="V236" s="225" t="e">
        <f>SUMIF(#REF!,U236,V:V)</f>
        <v>#REF!</v>
      </c>
      <c r="W236" s="226" t="e">
        <f>SUMIF(#REF!,U236,Y:Y)</f>
        <v>#REF!</v>
      </c>
      <c r="X236" s="225" t="e">
        <f>SUMIF(#REF!,U236,AB:AB)</f>
        <v>#REF!</v>
      </c>
      <c r="Y236" s="227" t="e">
        <f t="shared" si="36"/>
        <v>#REF!</v>
      </c>
      <c r="AA236" s="214"/>
    </row>
    <row r="237" spans="6:27" ht="219.75" customHeight="1" hidden="1">
      <c r="F237" s="189"/>
      <c r="U237" s="246" t="s">
        <v>179</v>
      </c>
      <c r="V237" s="225" t="e">
        <f>SUMIF(#REF!,U237,V:V)</f>
        <v>#REF!</v>
      </c>
      <c r="W237" s="226" t="e">
        <f>SUMIF(#REF!,U237,Y:Y)</f>
        <v>#REF!</v>
      </c>
      <c r="X237" s="225" t="e">
        <f>SUMIF(#REF!,U237,AB:AB)</f>
        <v>#REF!</v>
      </c>
      <c r="Y237" s="227" t="e">
        <f t="shared" si="36"/>
        <v>#REF!</v>
      </c>
      <c r="AA237" s="214"/>
    </row>
    <row r="238" spans="6:27" ht="219.75" customHeight="1" hidden="1">
      <c r="F238" s="189"/>
      <c r="U238" s="246" t="s">
        <v>483</v>
      </c>
      <c r="V238" s="225" t="e">
        <f>SUMIF(#REF!,U238,V:V)</f>
        <v>#REF!</v>
      </c>
      <c r="W238" s="226" t="e">
        <f>SUMIF(#REF!,U238,Y:Y)</f>
        <v>#REF!</v>
      </c>
      <c r="X238" s="225" t="e">
        <f>SUMIF(#REF!,U238,AB:AB)</f>
        <v>#REF!</v>
      </c>
      <c r="Y238" s="227" t="e">
        <f t="shared" si="36"/>
        <v>#REF!</v>
      </c>
      <c r="AA238" s="214"/>
    </row>
    <row r="239" spans="6:27" ht="219.75" customHeight="1" hidden="1" thickBot="1">
      <c r="F239" s="127"/>
      <c r="U239" s="248" t="s">
        <v>116</v>
      </c>
      <c r="V239" s="228" t="e">
        <f>+SUM(V228:V238)</f>
        <v>#REF!</v>
      </c>
      <c r="W239" s="229" t="e">
        <f>+SUM(W228:W238)</f>
        <v>#REF!</v>
      </c>
      <c r="X239" s="228" t="e">
        <f>+SUM(X228:X238)</f>
        <v>#REF!</v>
      </c>
      <c r="Y239" s="230" t="e">
        <f>+SUM(Y228:Y238)</f>
        <v>#REF!</v>
      </c>
      <c r="AA239" s="214"/>
    </row>
    <row r="240" spans="6:27" ht="219.75" customHeight="1" hidden="1">
      <c r="F240" s="189"/>
      <c r="V240" s="214"/>
      <c r="X240" s="214"/>
      <c r="Y240" s="214"/>
      <c r="AA240" s="214"/>
    </row>
    <row r="241" spans="6:27" ht="219.75" customHeight="1">
      <c r="F241" s="189"/>
      <c r="V241" s="214"/>
      <c r="X241" s="214"/>
      <c r="Y241" s="214"/>
      <c r="AA241" s="214"/>
    </row>
    <row r="242" spans="6:27" ht="219.75" customHeight="1">
      <c r="F242" s="189"/>
      <c r="V242" s="214"/>
      <c r="X242" s="214"/>
      <c r="Y242" s="214"/>
      <c r="AA242" s="214"/>
    </row>
    <row r="243" spans="6:27" ht="219.75" customHeight="1">
      <c r="F243" s="189"/>
      <c r="V243" s="214"/>
      <c r="X243" s="214"/>
      <c r="Y243" s="214"/>
      <c r="AA243" s="214"/>
    </row>
    <row r="244" spans="6:27" ht="219.75" customHeight="1">
      <c r="F244" s="189"/>
      <c r="V244" s="214"/>
      <c r="X244" s="214"/>
      <c r="Y244" s="214"/>
      <c r="AA244" s="214"/>
    </row>
    <row r="245" spans="6:27" ht="219.75" customHeight="1">
      <c r="F245" s="189"/>
      <c r="V245" s="214"/>
      <c r="X245" s="214"/>
      <c r="Y245" s="214"/>
      <c r="AA245" s="214"/>
    </row>
    <row r="246" spans="6:27" ht="219.75" customHeight="1">
      <c r="F246" s="189"/>
      <c r="V246" s="253"/>
      <c r="X246" s="214"/>
      <c r="Y246" s="214"/>
      <c r="AA246" s="214"/>
    </row>
    <row r="247" spans="6:27" ht="219.75" customHeight="1">
      <c r="F247" s="189"/>
      <c r="V247" s="214"/>
      <c r="X247" s="214"/>
      <c r="Y247" s="214"/>
      <c r="AA247" s="214"/>
    </row>
    <row r="248" spans="6:27" ht="219.75" customHeight="1">
      <c r="F248" s="189"/>
      <c r="V248" s="214"/>
      <c r="X248" s="214"/>
      <c r="Y248" s="214"/>
      <c r="AA248" s="214"/>
    </row>
    <row r="249" spans="6:27" ht="219.75" customHeight="1">
      <c r="F249" s="189"/>
      <c r="V249" s="214"/>
      <c r="X249" s="214"/>
      <c r="Y249" s="214"/>
      <c r="AA249" s="214"/>
    </row>
    <row r="250" spans="6:27" ht="219.75" customHeight="1">
      <c r="F250" s="66"/>
      <c r="V250" s="214"/>
      <c r="X250" s="214"/>
      <c r="Y250" s="214"/>
      <c r="AA250" s="214"/>
    </row>
    <row r="251" spans="6:27" ht="219.75" customHeight="1">
      <c r="F251" s="66"/>
      <c r="V251" s="214"/>
      <c r="X251" s="214"/>
      <c r="Y251" s="214"/>
      <c r="AA251" s="214"/>
    </row>
    <row r="252" spans="6:27" ht="219.75" customHeight="1">
      <c r="F252" s="66"/>
      <c r="V252" s="214"/>
      <c r="X252" s="214"/>
      <c r="Y252" s="214"/>
      <c r="AA252" s="214"/>
    </row>
    <row r="253" spans="6:27" ht="219.75" customHeight="1">
      <c r="F253" s="66"/>
      <c r="V253" s="214"/>
      <c r="X253" s="214"/>
      <c r="Y253" s="214"/>
      <c r="AA253" s="214"/>
    </row>
    <row r="254" spans="6:27" ht="219.75" customHeight="1">
      <c r="F254" s="66"/>
      <c r="V254" s="214"/>
      <c r="X254" s="214"/>
      <c r="Y254" s="214"/>
      <c r="AA254" s="214"/>
    </row>
    <row r="255" spans="6:27" ht="219.75" customHeight="1">
      <c r="F255" s="66"/>
      <c r="V255" s="214"/>
      <c r="X255" s="214"/>
      <c r="Y255" s="214"/>
      <c r="AA255" s="214"/>
    </row>
    <row r="256" spans="6:27" ht="219.75" customHeight="1">
      <c r="F256" s="66"/>
      <c r="V256" s="214"/>
      <c r="X256" s="214"/>
      <c r="Y256" s="214"/>
      <c r="AA256" s="214"/>
    </row>
    <row r="257" spans="6:27" ht="219.75" customHeight="1">
      <c r="F257" s="66"/>
      <c r="V257" s="214"/>
      <c r="X257" s="214"/>
      <c r="Y257" s="214"/>
      <c r="AA257" s="214"/>
    </row>
    <row r="258" spans="6:27" ht="219.75" customHeight="1">
      <c r="F258" s="66"/>
      <c r="V258" s="214"/>
      <c r="X258" s="214"/>
      <c r="Y258" s="214"/>
      <c r="AA258" s="214"/>
    </row>
    <row r="259" spans="6:27" ht="219.75" customHeight="1">
      <c r="F259" s="66"/>
      <c r="V259" s="214"/>
      <c r="X259" s="214"/>
      <c r="Y259" s="214"/>
      <c r="AA259" s="214"/>
    </row>
    <row r="260" spans="6:27" ht="219.75" customHeight="1">
      <c r="F260" s="66"/>
      <c r="V260" s="214"/>
      <c r="X260" s="214"/>
      <c r="Y260" s="214"/>
      <c r="AA260" s="214"/>
    </row>
    <row r="261" spans="6:27" ht="219.75" customHeight="1">
      <c r="F261" s="66"/>
      <c r="V261" s="214"/>
      <c r="X261" s="214"/>
      <c r="Y261" s="214"/>
      <c r="AA261" s="214"/>
    </row>
    <row r="262" spans="6:27" ht="219.75" customHeight="1">
      <c r="F262" s="66"/>
      <c r="V262" s="214"/>
      <c r="X262" s="214"/>
      <c r="Y262" s="214"/>
      <c r="AA262" s="214"/>
    </row>
    <row r="263" spans="6:27" ht="219.75" customHeight="1">
      <c r="F263" s="66"/>
      <c r="V263" s="214"/>
      <c r="X263" s="214"/>
      <c r="Y263" s="214"/>
      <c r="AA263" s="214"/>
    </row>
    <row r="264" spans="6:27" ht="219.75" customHeight="1">
      <c r="F264" s="66"/>
      <c r="V264" s="214"/>
      <c r="X264" s="214"/>
      <c r="Y264" s="214"/>
      <c r="AA264" s="214"/>
    </row>
    <row r="265" spans="6:27" ht="219.75" customHeight="1">
      <c r="F265" s="66"/>
      <c r="V265" s="214"/>
      <c r="X265" s="214"/>
      <c r="Y265" s="214"/>
      <c r="AA265" s="214"/>
    </row>
    <row r="266" spans="6:27" ht="219.75" customHeight="1">
      <c r="F266" s="66"/>
      <c r="V266" s="214"/>
      <c r="X266" s="214"/>
      <c r="Y266" s="214"/>
      <c r="AA266" s="214"/>
    </row>
    <row r="267" spans="6:27" ht="219.75" customHeight="1">
      <c r="F267" s="66"/>
      <c r="V267" s="214"/>
      <c r="X267" s="214"/>
      <c r="Y267" s="214"/>
      <c r="AA267" s="214"/>
    </row>
    <row r="268" spans="6:27" ht="219.75" customHeight="1">
      <c r="F268" s="66"/>
      <c r="V268" s="214"/>
      <c r="X268" s="214"/>
      <c r="Y268" s="214"/>
      <c r="AA268" s="214"/>
    </row>
    <row r="269" spans="6:27" ht="219.75" customHeight="1">
      <c r="F269" s="66"/>
      <c r="V269" s="214"/>
      <c r="X269" s="214"/>
      <c r="Y269" s="214"/>
      <c r="AA269" s="214"/>
    </row>
    <row r="270" spans="6:27" ht="219.75" customHeight="1">
      <c r="F270" s="66"/>
      <c r="V270" s="214"/>
      <c r="X270" s="214"/>
      <c r="Y270" s="214"/>
      <c r="AA270" s="214"/>
    </row>
    <row r="271" spans="6:27" ht="219.75" customHeight="1">
      <c r="F271" s="66"/>
      <c r="V271" s="214"/>
      <c r="X271" s="214"/>
      <c r="Y271" s="214"/>
      <c r="AA271" s="214"/>
    </row>
    <row r="272" spans="6:27" ht="219.75" customHeight="1">
      <c r="F272" s="66"/>
      <c r="V272" s="214"/>
      <c r="X272" s="214"/>
      <c r="Y272" s="214"/>
      <c r="AA272" s="214"/>
    </row>
    <row r="273" spans="6:27" ht="219.75" customHeight="1">
      <c r="F273" s="66"/>
      <c r="V273" s="214"/>
      <c r="X273" s="214"/>
      <c r="Y273" s="214"/>
      <c r="AA273" s="214"/>
    </row>
    <row r="274" spans="6:27" ht="219.75" customHeight="1">
      <c r="F274" s="66"/>
      <c r="V274" s="214"/>
      <c r="X274" s="214"/>
      <c r="Y274" s="214"/>
      <c r="AA274" s="214"/>
    </row>
    <row r="275" spans="6:27" ht="219.75" customHeight="1">
      <c r="F275" s="66"/>
      <c r="V275" s="214"/>
      <c r="X275" s="214"/>
      <c r="Y275" s="214"/>
      <c r="AA275" s="214"/>
    </row>
    <row r="276" spans="6:27" ht="219.75" customHeight="1">
      <c r="F276" s="66"/>
      <c r="V276" s="214"/>
      <c r="X276" s="214"/>
      <c r="Y276" s="214"/>
      <c r="AA276" s="214"/>
    </row>
    <row r="277" spans="6:27" ht="219.75" customHeight="1">
      <c r="F277" s="66"/>
      <c r="V277" s="214"/>
      <c r="X277" s="214"/>
      <c r="Y277" s="214"/>
      <c r="AA277" s="214"/>
    </row>
    <row r="278" spans="6:27" ht="219.75" customHeight="1">
      <c r="F278" s="66"/>
      <c r="V278" s="214"/>
      <c r="X278" s="214"/>
      <c r="Y278" s="214"/>
      <c r="AA278" s="214"/>
    </row>
    <row r="279" spans="6:27" ht="219.75" customHeight="1">
      <c r="F279" s="66"/>
      <c r="V279" s="214"/>
      <c r="X279" s="214"/>
      <c r="Y279" s="214"/>
      <c r="AA279" s="214"/>
    </row>
    <row r="280" ht="219.75" customHeight="1">
      <c r="F280" s="66"/>
    </row>
    <row r="281" ht="219.75" customHeight="1">
      <c r="F281" s="66"/>
    </row>
    <row r="282" spans="2:31" ht="219.75" customHeight="1">
      <c r="B282" s="108"/>
      <c r="C282" s="111"/>
      <c r="D282" s="111"/>
      <c r="E282" s="123"/>
      <c r="F282" s="189"/>
      <c r="G282" s="231"/>
      <c r="H282" s="111"/>
      <c r="I282" s="112"/>
      <c r="J282" s="112"/>
      <c r="K282" s="112"/>
      <c r="L282" s="112"/>
      <c r="M282" s="112"/>
      <c r="N282" s="112"/>
      <c r="O282" s="112"/>
      <c r="P282" s="112"/>
      <c r="Q282" s="125"/>
      <c r="R282" s="112"/>
      <c r="S282" s="121"/>
      <c r="T282" s="124"/>
      <c r="U282" s="115"/>
      <c r="V282" s="115"/>
      <c r="W282" s="124"/>
      <c r="X282" s="115"/>
      <c r="Y282" s="115"/>
      <c r="Z282" s="124"/>
      <c r="AA282" s="115"/>
      <c r="AB282" s="115"/>
      <c r="AC282" s="116"/>
      <c r="AD282" s="116"/>
      <c r="AE282" s="112"/>
    </row>
    <row r="283" spans="2:31" ht="219.75" customHeight="1">
      <c r="B283" s="129"/>
      <c r="C283" s="111"/>
      <c r="D283" s="111"/>
      <c r="E283" s="123"/>
      <c r="F283" s="189"/>
      <c r="G283" s="232"/>
      <c r="H283" s="111"/>
      <c r="I283" s="112"/>
      <c r="J283" s="112"/>
      <c r="K283" s="112"/>
      <c r="L283" s="112"/>
      <c r="M283" s="113"/>
      <c r="N283" s="112"/>
      <c r="O283" s="112"/>
      <c r="P283" s="113"/>
      <c r="Q283" s="113"/>
      <c r="R283" s="131"/>
      <c r="S283" s="121"/>
      <c r="T283" s="124"/>
      <c r="U283" s="115"/>
      <c r="V283" s="115"/>
      <c r="W283" s="124"/>
      <c r="X283" s="115"/>
      <c r="Y283" s="115"/>
      <c r="Z283" s="124"/>
      <c r="AA283" s="115"/>
      <c r="AB283" s="115"/>
      <c r="AC283" s="116"/>
      <c r="AD283" s="116"/>
      <c r="AE283" s="233"/>
    </row>
  </sheetData>
  <sheetProtection selectLockedCells="1" selectUnlockedCells="1"/>
  <autoFilter ref="A1:AF124"/>
  <mergeCells count="3">
    <mergeCell ref="I137:J137"/>
    <mergeCell ref="U181:AB181"/>
    <mergeCell ref="U199:AB199"/>
  </mergeCells>
  <printOptions/>
  <pageMargins left="0.11805555555555555" right="0.11805555555555555" top="0.15763888888888888" bottom="0.15763888888888888" header="0.5118055555555555" footer="0.5118055555555555"/>
  <pageSetup horizontalDpi="300" verticalDpi="300" orientation="landscape" paperSize="5" scale="67" r:id="rId3"/>
  <legacyDrawing r:id="rId2"/>
</worksheet>
</file>

<file path=xl/worksheets/sheet2.xml><?xml version="1.0" encoding="utf-8"?>
<worksheet xmlns="http://schemas.openxmlformats.org/spreadsheetml/2006/main" xmlns:r="http://schemas.openxmlformats.org/officeDocument/2006/relationships">
  <dimension ref="A1:AA14"/>
  <sheetViews>
    <sheetView zoomScalePageLayoutView="0" workbookViewId="0" topLeftCell="T1">
      <selection activeCell="Y4" sqref="Y4"/>
    </sheetView>
  </sheetViews>
  <sheetFormatPr defaultColWidth="11.421875" defaultRowHeight="15"/>
  <cols>
    <col min="2" max="2" width="16.7109375" style="0" customWidth="1"/>
    <col min="3" max="3" width="16.57421875" style="0" customWidth="1"/>
    <col min="4" max="4" width="22.00390625" style="0" customWidth="1"/>
    <col min="5" max="5" width="18.57421875" style="0" customWidth="1"/>
    <col min="6" max="6" width="19.140625" style="0" customWidth="1"/>
    <col min="7" max="7" width="17.57421875" style="0" customWidth="1"/>
    <col min="11" max="11" width="16.421875" style="0" customWidth="1"/>
    <col min="12" max="12" width="17.7109375" style="0" customWidth="1"/>
    <col min="13" max="13" width="17.28125" style="0" customWidth="1"/>
    <col min="14" max="14" width="19.28125" style="0" customWidth="1"/>
    <col min="15" max="15" width="15.421875" style="0" customWidth="1"/>
    <col min="16" max="16" width="15.57421875" style="0" customWidth="1"/>
    <col min="20" max="20" width="17.57421875" style="0" customWidth="1"/>
    <col min="21" max="21" width="16.140625" style="0" customWidth="1"/>
    <col min="22" max="22" width="18.8515625" style="0" customWidth="1"/>
    <col min="23" max="23" width="20.8515625" style="0" customWidth="1"/>
    <col min="24" max="24" width="16.00390625" style="0" customWidth="1"/>
    <col min="25" max="25" width="19.28125" style="0" customWidth="1"/>
  </cols>
  <sheetData>
    <row r="1" spans="1:27" ht="14.25">
      <c r="A1" s="94" t="s">
        <v>641</v>
      </c>
      <c r="B1" s="94"/>
      <c r="C1" s="94"/>
      <c r="D1" s="94"/>
      <c r="E1" s="94"/>
      <c r="F1" s="94"/>
      <c r="G1" s="94"/>
      <c r="H1" s="94"/>
      <c r="J1" s="94" t="s">
        <v>642</v>
      </c>
      <c r="K1" s="94"/>
      <c r="L1" s="94"/>
      <c r="M1" s="94"/>
      <c r="N1" s="94"/>
      <c r="O1" s="94"/>
      <c r="P1" s="94"/>
      <c r="Q1" s="94"/>
      <c r="R1" s="2"/>
      <c r="S1" s="94" t="s">
        <v>141</v>
      </c>
      <c r="T1" s="94"/>
      <c r="U1" s="94"/>
      <c r="V1" s="94"/>
      <c r="W1" s="94"/>
      <c r="X1" s="94"/>
      <c r="Y1" s="94"/>
      <c r="Z1" s="94"/>
      <c r="AA1" s="3"/>
    </row>
    <row r="2" spans="1:12" ht="14.25">
      <c r="A2" s="1"/>
      <c r="B2" s="1"/>
      <c r="C2" s="1"/>
      <c r="J2" s="1"/>
      <c r="K2" s="1"/>
      <c r="L2" s="1"/>
    </row>
    <row r="3" spans="1:26" ht="14.25">
      <c r="A3" s="4"/>
      <c r="B3" s="4">
        <v>2017</v>
      </c>
      <c r="C3" s="4">
        <v>2018</v>
      </c>
      <c r="D3" s="5">
        <v>2019</v>
      </c>
      <c r="E3" s="5">
        <v>2020</v>
      </c>
      <c r="F3" s="5">
        <v>2021</v>
      </c>
      <c r="G3" s="5" t="s">
        <v>116</v>
      </c>
      <c r="H3" s="5" t="s">
        <v>117</v>
      </c>
      <c r="J3" s="4"/>
      <c r="K3" s="4">
        <v>2017</v>
      </c>
      <c r="L3" s="4">
        <v>2018</v>
      </c>
      <c r="M3" s="5">
        <v>2019</v>
      </c>
      <c r="N3" s="5">
        <v>2020</v>
      </c>
      <c r="O3" s="5">
        <v>2021</v>
      </c>
      <c r="P3" s="5" t="s">
        <v>116</v>
      </c>
      <c r="Q3" s="5" t="s">
        <v>117</v>
      </c>
      <c r="S3" s="4"/>
      <c r="T3" s="4">
        <v>2017</v>
      </c>
      <c r="U3" s="4">
        <v>2018</v>
      </c>
      <c r="V3" s="5">
        <v>2019</v>
      </c>
      <c r="W3" s="5">
        <v>2020</v>
      </c>
      <c r="X3" s="5">
        <v>2021</v>
      </c>
      <c r="Y3" s="39" t="s">
        <v>116</v>
      </c>
      <c r="Z3" s="41" t="s">
        <v>117</v>
      </c>
    </row>
    <row r="4" spans="1:26" ht="57">
      <c r="A4" s="4" t="s">
        <v>452</v>
      </c>
      <c r="B4" s="9">
        <v>2466535.5999999996</v>
      </c>
      <c r="C4" s="9">
        <v>2557909.28</v>
      </c>
      <c r="D4" s="7">
        <f>+LINEAESTRATEGICA!B4</f>
        <v>906392.0499999999</v>
      </c>
      <c r="E4" s="7">
        <f>+LINEAESTRATEGICA!C4</f>
        <v>846355.8699999999</v>
      </c>
      <c r="F4" s="7">
        <f>+LINEAESTRATEGICA!D4</f>
        <v>959459.3949999999</v>
      </c>
      <c r="G4" s="7">
        <f>+SUM(B4:F4)</f>
        <v>7736652.194999998</v>
      </c>
      <c r="H4" s="60">
        <f>+G4/$G$14-0.0001</f>
        <v>0.13497581694377392</v>
      </c>
      <c r="J4" s="4" t="s">
        <v>452</v>
      </c>
      <c r="K4" s="9">
        <v>1425449.3099999998</v>
      </c>
      <c r="L4" s="9">
        <v>1458319.3099999998</v>
      </c>
      <c r="M4" s="7">
        <f>+LINEAESTRATEGICA!I4</f>
        <v>435302.48000000004</v>
      </c>
      <c r="N4" s="7">
        <f>+LINEAESTRATEGICA!J4</f>
        <v>339071.02</v>
      </c>
      <c r="O4" s="7">
        <f>+LINEAESTRATEGICA!K4</f>
        <v>401446.06000000006</v>
      </c>
      <c r="P4" s="7">
        <f>+SUM(K4:O4)</f>
        <v>4059588.1799999997</v>
      </c>
      <c r="Q4" s="60">
        <f aca="true" t="shared" si="0" ref="Q4:Q10">+P4/$P$14</f>
        <v>0.41379641129893485</v>
      </c>
      <c r="S4" s="4" t="s">
        <v>452</v>
      </c>
      <c r="T4" s="9">
        <v>1041086.2899999998</v>
      </c>
      <c r="U4" s="9">
        <v>1099589.97</v>
      </c>
      <c r="V4" s="7">
        <v>1109711.5699999998</v>
      </c>
      <c r="W4" s="7">
        <v>1175660.85</v>
      </c>
      <c r="X4" s="7">
        <v>1293226.935</v>
      </c>
      <c r="Y4" s="40">
        <f>+SUM(T4:X4)</f>
        <v>5719275.615</v>
      </c>
      <c r="Z4" s="61">
        <f aca="true" t="shared" si="1" ref="Z4:Z10">+Y4/$Y$14</f>
        <v>0.12041783184418178</v>
      </c>
    </row>
    <row r="5" spans="1:26" ht="72">
      <c r="A5" s="4" t="s">
        <v>387</v>
      </c>
      <c r="B5" s="9">
        <v>3150028.0420000004</v>
      </c>
      <c r="C5" s="9">
        <v>3356113.7290000003</v>
      </c>
      <c r="D5" s="7">
        <f>+LINEAESTRATEGICA!B5</f>
        <v>3558078.6689999998</v>
      </c>
      <c r="E5" s="7">
        <f>+LINEAESTRATEGICA!C5</f>
        <v>3715945.66</v>
      </c>
      <c r="F5" s="7">
        <f>+LINEAESTRATEGICA!D5</f>
        <v>4082321.826</v>
      </c>
      <c r="G5" s="7">
        <f aca="true" t="shared" si="2" ref="G5:G13">+SUM(B5:F5)</f>
        <v>17862487.926000003</v>
      </c>
      <c r="H5" s="60">
        <f aca="true" t="shared" si="3" ref="H5:H10">+G5/$G$14</f>
        <v>0.31186488528100986</v>
      </c>
      <c r="J5" s="4" t="s">
        <v>387</v>
      </c>
      <c r="K5" s="9">
        <v>131603</v>
      </c>
      <c r="L5" s="9">
        <v>138859</v>
      </c>
      <c r="M5" s="7">
        <f>+LINEAESTRATEGICA!I5</f>
        <v>136604</v>
      </c>
      <c r="N5" s="7">
        <f>+LINEAESTRATEGICA!J5</f>
        <v>145984</v>
      </c>
      <c r="O5" s="7">
        <f>+LINEAESTRATEGICA!K5</f>
        <v>155364</v>
      </c>
      <c r="P5" s="7">
        <f aca="true" t="shared" si="4" ref="P5:P13">+SUM(K5:O5)</f>
        <v>708414</v>
      </c>
      <c r="Q5" s="60">
        <f t="shared" si="0"/>
        <v>0.07220909065557572</v>
      </c>
      <c r="S5" s="4" t="s">
        <v>387</v>
      </c>
      <c r="T5" s="9">
        <v>3018425.0420000004</v>
      </c>
      <c r="U5" s="9">
        <v>3217254.7290000003</v>
      </c>
      <c r="V5" s="7">
        <v>3421474.6689999998</v>
      </c>
      <c r="W5" s="7">
        <v>3569961.66</v>
      </c>
      <c r="X5" s="7">
        <v>3926957.826</v>
      </c>
      <c r="Y5" s="40">
        <f aca="true" t="shared" si="5" ref="Y5:Y13">+SUM(T5:X5)</f>
        <v>17154073.926000003</v>
      </c>
      <c r="Z5" s="61">
        <f t="shared" si="1"/>
        <v>0.3611744788179318</v>
      </c>
    </row>
    <row r="6" spans="1:26" ht="42.75">
      <c r="A6" s="4" t="s">
        <v>597</v>
      </c>
      <c r="B6" s="9">
        <v>283260</v>
      </c>
      <c r="C6" s="9">
        <v>283260</v>
      </c>
      <c r="D6" s="7">
        <f>+LINEAESTRATEGICA!B6</f>
        <v>296760</v>
      </c>
      <c r="E6" s="7">
        <f>+LINEAESTRATEGICA!C6</f>
        <v>445760</v>
      </c>
      <c r="F6" s="7">
        <f>+LINEAESTRATEGICA!D6</f>
        <v>329086</v>
      </c>
      <c r="G6" s="7">
        <f t="shared" si="2"/>
        <v>1638126</v>
      </c>
      <c r="H6" s="60">
        <f t="shared" si="3"/>
        <v>0.028600381939081935</v>
      </c>
      <c r="J6" s="4" t="s">
        <v>597</v>
      </c>
      <c r="K6" s="9">
        <v>0</v>
      </c>
      <c r="L6" s="9">
        <v>0</v>
      </c>
      <c r="M6" s="7">
        <f>+LINEAESTRATEGICA!I6</f>
        <v>13500</v>
      </c>
      <c r="N6" s="7">
        <f>+LINEAESTRATEGICA!J6</f>
        <v>162500</v>
      </c>
      <c r="O6" s="7">
        <f>+LINEAESTRATEGICA!K6</f>
        <v>17500</v>
      </c>
      <c r="P6" s="7">
        <f t="shared" si="4"/>
        <v>193500</v>
      </c>
      <c r="Q6" s="60">
        <f t="shared" si="0"/>
        <v>0.019723578362163794</v>
      </c>
      <c r="S6" s="4" t="s">
        <v>597</v>
      </c>
      <c r="T6" s="9">
        <v>283260</v>
      </c>
      <c r="U6" s="9">
        <v>283260</v>
      </c>
      <c r="V6" s="7">
        <v>283260</v>
      </c>
      <c r="W6" s="7">
        <v>283260</v>
      </c>
      <c r="X6" s="7">
        <v>311586</v>
      </c>
      <c r="Y6" s="40">
        <f t="shared" si="5"/>
        <v>1444626</v>
      </c>
      <c r="Z6" s="61">
        <f t="shared" si="1"/>
        <v>0.030416217447099363</v>
      </c>
    </row>
    <row r="7" spans="1:26" ht="42.75">
      <c r="A7" s="4" t="s">
        <v>627</v>
      </c>
      <c r="B7" s="9">
        <v>27873</v>
      </c>
      <c r="C7" s="9">
        <v>31173</v>
      </c>
      <c r="D7" s="7">
        <f>+LINEAESTRATEGICA!B7</f>
        <v>42359.119999999995</v>
      </c>
      <c r="E7" s="7">
        <f>+LINEAESTRATEGICA!C7</f>
        <v>4173</v>
      </c>
      <c r="F7" s="7">
        <f>+LINEAESTRATEGICA!D7</f>
        <v>4590.3</v>
      </c>
      <c r="G7" s="7">
        <f t="shared" si="2"/>
        <v>110168.42</v>
      </c>
      <c r="H7" s="60">
        <f t="shared" si="3"/>
        <v>0.0019234533177699352</v>
      </c>
      <c r="J7" s="4" t="s">
        <v>627</v>
      </c>
      <c r="K7" s="9">
        <v>5500</v>
      </c>
      <c r="L7" s="9">
        <v>6000</v>
      </c>
      <c r="M7" s="7">
        <f>+LINEAESTRATEGICA!I7</f>
        <v>38186.119999999995</v>
      </c>
      <c r="N7" s="7">
        <f>+LINEAESTRATEGICA!J7</f>
        <v>0</v>
      </c>
      <c r="O7" s="7">
        <f>+LINEAESTRATEGICA!K7</f>
        <v>0</v>
      </c>
      <c r="P7" s="7">
        <f t="shared" si="4"/>
        <v>49686.119999999995</v>
      </c>
      <c r="Q7" s="60">
        <f t="shared" si="0"/>
        <v>0.0050645378880200195</v>
      </c>
      <c r="S7" s="4" t="s">
        <v>627</v>
      </c>
      <c r="T7" s="9">
        <v>22373</v>
      </c>
      <c r="U7" s="9">
        <v>25173</v>
      </c>
      <c r="V7" s="7">
        <v>27973</v>
      </c>
      <c r="W7" s="7">
        <v>30773</v>
      </c>
      <c r="X7" s="7">
        <v>33850.3</v>
      </c>
      <c r="Y7" s="40">
        <f t="shared" si="5"/>
        <v>140142.3</v>
      </c>
      <c r="Z7" s="61">
        <f t="shared" si="1"/>
        <v>0.002950658973558992</v>
      </c>
    </row>
    <row r="8" spans="1:26" ht="57">
      <c r="A8" s="4" t="s">
        <v>246</v>
      </c>
      <c r="B8" s="9">
        <v>62852.5</v>
      </c>
      <c r="C8" s="9">
        <v>96241.4</v>
      </c>
      <c r="D8" s="7">
        <f>+LINEAESTRATEGICA!B8</f>
        <v>533335.2</v>
      </c>
      <c r="E8" s="7">
        <f>+LINEAESTRATEGICA!C8</f>
        <v>139520</v>
      </c>
      <c r="F8" s="7">
        <f>+LINEAESTRATEGICA!D8</f>
        <v>108824</v>
      </c>
      <c r="G8" s="7">
        <f t="shared" si="2"/>
        <v>940773.1</v>
      </c>
      <c r="H8" s="60">
        <f t="shared" si="3"/>
        <v>0.016425152874695915</v>
      </c>
      <c r="J8" s="4" t="s">
        <v>246</v>
      </c>
      <c r="K8" s="9">
        <v>22282.5</v>
      </c>
      <c r="L8" s="9">
        <v>25171.7</v>
      </c>
      <c r="M8" s="7">
        <f>+LINEAESTRATEGICA!I8</f>
        <v>86480</v>
      </c>
      <c r="N8" s="7">
        <f>+LINEAESTRATEGICA!J8</f>
        <v>46480</v>
      </c>
      <c r="O8" s="7">
        <f>+LINEAESTRATEGICA!K8</f>
        <v>6480</v>
      </c>
      <c r="P8" s="7">
        <f t="shared" si="4"/>
        <v>186894.2</v>
      </c>
      <c r="Q8" s="60">
        <f t="shared" si="0"/>
        <v>0.019050244956764408</v>
      </c>
      <c r="S8" s="4" t="s">
        <v>246</v>
      </c>
      <c r="T8" s="9">
        <v>40570</v>
      </c>
      <c r="U8" s="9">
        <v>71069.7</v>
      </c>
      <c r="V8" s="7">
        <v>446855.2</v>
      </c>
      <c r="W8" s="7">
        <v>93040</v>
      </c>
      <c r="X8" s="7">
        <v>102344</v>
      </c>
      <c r="Y8" s="40">
        <f t="shared" si="5"/>
        <v>753878.9</v>
      </c>
      <c r="Z8" s="61">
        <f t="shared" si="1"/>
        <v>0.01587272037965541</v>
      </c>
    </row>
    <row r="9" spans="1:26" ht="72">
      <c r="A9" s="4" t="s">
        <v>407</v>
      </c>
      <c r="B9" s="9">
        <v>2640461.4188</v>
      </c>
      <c r="C9" s="9">
        <v>2764929.4672000003</v>
      </c>
      <c r="D9" s="7">
        <f>+LINEAESTRATEGICA!B9</f>
        <v>3605771.7896000003</v>
      </c>
      <c r="E9" s="7">
        <f>+LINEAESTRATEGICA!C9</f>
        <v>3352634.6699999995</v>
      </c>
      <c r="F9" s="7">
        <f>+LINEAESTRATEGICA!D9</f>
        <v>3471720.318</v>
      </c>
      <c r="G9" s="7">
        <f t="shared" si="2"/>
        <v>15835517.6636</v>
      </c>
      <c r="H9" s="60">
        <f t="shared" si="3"/>
        <v>0.2764755906334668</v>
      </c>
      <c r="J9" s="4" t="s">
        <v>407</v>
      </c>
      <c r="K9" s="9">
        <v>266792</v>
      </c>
      <c r="L9" s="9">
        <v>199340</v>
      </c>
      <c r="M9" s="7">
        <f>+LINEAESTRATEGICA!I9</f>
        <v>670478.19</v>
      </c>
      <c r="N9" s="7">
        <f>+LINEAESTRATEGICA!J9</f>
        <v>348978.19</v>
      </c>
      <c r="O9" s="7">
        <f>+LINEAESTRATEGICA!K9</f>
        <v>172978.19</v>
      </c>
      <c r="P9" s="7">
        <f t="shared" si="4"/>
        <v>1658566.5699999998</v>
      </c>
      <c r="Q9" s="60">
        <f t="shared" si="0"/>
        <v>0.1690587478669779</v>
      </c>
      <c r="S9" s="4" t="s">
        <v>407</v>
      </c>
      <c r="T9" s="9">
        <v>2373669.4188</v>
      </c>
      <c r="U9" s="9">
        <v>2565589.4672000003</v>
      </c>
      <c r="V9" s="7">
        <v>2935293.5996</v>
      </c>
      <c r="W9" s="7">
        <v>3003656.4799999995</v>
      </c>
      <c r="X9" s="7">
        <v>3298742.128</v>
      </c>
      <c r="Y9" s="40">
        <f t="shared" si="5"/>
        <v>14176951.0936</v>
      </c>
      <c r="Z9" s="61">
        <f t="shared" si="1"/>
        <v>0.29849194684287195</v>
      </c>
    </row>
    <row r="10" spans="1:26" ht="72">
      <c r="A10" s="4" t="s">
        <v>284</v>
      </c>
      <c r="B10" s="9">
        <v>795969.3099999999</v>
      </c>
      <c r="C10" s="9">
        <v>305920</v>
      </c>
      <c r="D10" s="7">
        <f>+LINEAESTRATEGICA!B10</f>
        <v>42000</v>
      </c>
      <c r="E10" s="7">
        <f>+LINEAESTRATEGICA!C10</f>
        <v>57000</v>
      </c>
      <c r="F10" s="7">
        <f>+LINEAESTRATEGICA!D10</f>
        <v>45200</v>
      </c>
      <c r="G10" s="7">
        <f t="shared" si="2"/>
        <v>1246089.31</v>
      </c>
      <c r="H10" s="60">
        <f t="shared" si="3"/>
        <v>0.02175573197434573</v>
      </c>
      <c r="J10" s="4" t="s">
        <v>284</v>
      </c>
      <c r="K10" s="9">
        <v>749969.3099999999</v>
      </c>
      <c r="L10" s="9">
        <v>273920</v>
      </c>
      <c r="M10" s="7">
        <f>+LINEAESTRATEGICA!I10</f>
        <v>10000</v>
      </c>
      <c r="N10" s="7">
        <f>+LINEAESTRATEGICA!J10</f>
        <v>25000</v>
      </c>
      <c r="O10" s="7">
        <f>+LINEAESTRATEGICA!K10</f>
        <v>10000</v>
      </c>
      <c r="P10" s="7">
        <f t="shared" si="4"/>
        <v>1068889.31</v>
      </c>
      <c r="Q10" s="60">
        <f t="shared" si="0"/>
        <v>0.10895256881790279</v>
      </c>
      <c r="S10" s="4" t="s">
        <v>284</v>
      </c>
      <c r="T10" s="9">
        <v>46000</v>
      </c>
      <c r="U10" s="9">
        <v>32000</v>
      </c>
      <c r="V10" s="7">
        <v>32000</v>
      </c>
      <c r="W10" s="7">
        <v>32000</v>
      </c>
      <c r="X10" s="7">
        <v>35200</v>
      </c>
      <c r="Y10" s="40">
        <f t="shared" si="5"/>
        <v>177200</v>
      </c>
      <c r="Z10" s="61">
        <f t="shared" si="1"/>
        <v>0.003730899022740839</v>
      </c>
    </row>
    <row r="11" spans="1:26" ht="57">
      <c r="A11" s="4" t="str">
        <f>+'PRESUPUESTO PENMTB 2019 2021'!U147</f>
        <v>8-Sostenibilidad y Transicion</v>
      </c>
      <c r="B11" s="9"/>
      <c r="C11" s="9"/>
      <c r="D11" s="7">
        <f>+LINEAESTRATEGICA!B11</f>
        <v>633044.2</v>
      </c>
      <c r="E11" s="7">
        <f>+LINEAESTRATEGICA!C11</f>
        <v>651901.76</v>
      </c>
      <c r="F11" s="7">
        <f>+LINEAESTRATEGICA!D11</f>
        <v>687611.936</v>
      </c>
      <c r="G11" s="7">
        <f t="shared" si="2"/>
        <v>1972557.896</v>
      </c>
      <c r="H11" s="60">
        <f>+G11/G14</f>
        <v>0.03443929784555758</v>
      </c>
      <c r="J11" s="4"/>
      <c r="K11" s="9"/>
      <c r="L11" s="9"/>
      <c r="M11" s="7"/>
      <c r="N11" s="7"/>
      <c r="O11" s="7"/>
      <c r="P11" s="7"/>
      <c r="Q11" s="60"/>
      <c r="S11" s="4"/>
      <c r="T11" s="9"/>
      <c r="U11" s="9"/>
      <c r="V11" s="7"/>
      <c r="W11" s="7"/>
      <c r="X11" s="7"/>
      <c r="Y11" s="40"/>
      <c r="Z11" s="61"/>
    </row>
    <row r="12" spans="1:26" ht="28.5">
      <c r="A12" s="4" t="s">
        <v>295</v>
      </c>
      <c r="B12" s="9">
        <v>1468451.566433555</v>
      </c>
      <c r="C12" s="9">
        <v>1606623.19835046</v>
      </c>
      <c r="D12" s="7">
        <f>+LINEAESTRATEGICA!B12</f>
        <v>585906.59</v>
      </c>
      <c r="E12" s="7">
        <f>+LINEAESTRATEGICA!C12</f>
        <v>486274.64999999997</v>
      </c>
      <c r="F12" s="7">
        <f>+LINEAESTRATEGICA!D12</f>
        <v>466918.805</v>
      </c>
      <c r="G12" s="7">
        <f t="shared" si="2"/>
        <v>4614174.809784015</v>
      </c>
      <c r="H12" s="60">
        <f>+G12/$G$14</f>
        <v>0.08055983599156204</v>
      </c>
      <c r="J12" s="4" t="s">
        <v>295</v>
      </c>
      <c r="K12" s="9">
        <v>212788.99</v>
      </c>
      <c r="L12" s="9">
        <v>212788.99</v>
      </c>
      <c r="M12" s="7">
        <f>+LINEAESTRATEGICA!I12</f>
        <v>255094.04</v>
      </c>
      <c r="N12" s="7">
        <f>+LINEAESTRATEGICA!J12</f>
        <v>159062.1</v>
      </c>
      <c r="O12" s="7">
        <f>+LINEAESTRATEGICA!K12</f>
        <v>109485</v>
      </c>
      <c r="P12" s="7">
        <f t="shared" si="4"/>
        <v>949219.12</v>
      </c>
      <c r="Q12" s="60">
        <f>+P12/$P$14</f>
        <v>0.09675451005779927</v>
      </c>
      <c r="S12" s="4" t="s">
        <v>295</v>
      </c>
      <c r="T12" s="9">
        <v>1255662.576433555</v>
      </c>
      <c r="U12" s="9">
        <v>1393834.20835046</v>
      </c>
      <c r="V12" s="7">
        <v>1585407.0066852202</v>
      </c>
      <c r="W12" s="7">
        <v>1760334.8807030139</v>
      </c>
      <c r="X12" s="7">
        <v>1933868.3687733153</v>
      </c>
      <c r="Y12" s="40">
        <f t="shared" si="5"/>
        <v>7929107.040945563</v>
      </c>
      <c r="Z12" s="61">
        <f>+Y12/$Y$14</f>
        <v>0.16694524667195998</v>
      </c>
    </row>
    <row r="13" spans="1:26" ht="57">
      <c r="A13" s="4" t="s">
        <v>95</v>
      </c>
      <c r="B13" s="9">
        <v>239282.89228000003</v>
      </c>
      <c r="C13" s="9">
        <v>199785.00481</v>
      </c>
      <c r="D13" s="7">
        <f>+LINEAESTRATEGICA!B13</f>
        <v>1486367.5865196562</v>
      </c>
      <c r="E13" s="7">
        <f>+LINEAESTRATEGICA!C13</f>
        <v>1638392.6557241713</v>
      </c>
      <c r="F13" s="7">
        <f>+LINEAESTRATEGICA!D13</f>
        <v>1755992.5093940885</v>
      </c>
      <c r="G13" s="7">
        <f t="shared" si="2"/>
        <v>5319820.648727916</v>
      </c>
      <c r="H13" s="60">
        <f>+G13/$G$14</f>
        <v>0.09287985319873626</v>
      </c>
      <c r="J13" s="4" t="s">
        <v>95</v>
      </c>
      <c r="K13" s="9">
        <v>239282.89228000003</v>
      </c>
      <c r="L13" s="9">
        <v>199785.00481</v>
      </c>
      <c r="M13" s="7">
        <f>+LINEAESTRATEGICA!I13</f>
        <v>202395.24459999998</v>
      </c>
      <c r="N13" s="7">
        <f>+LINEAESTRATEGICA!J13</f>
        <v>162196.085525</v>
      </c>
      <c r="O13" s="7">
        <f>+LINEAESTRATEGICA!K13</f>
        <v>132176.282175</v>
      </c>
      <c r="P13" s="7">
        <f t="shared" si="4"/>
        <v>935835.50939</v>
      </c>
      <c r="Q13" s="60">
        <f>+P13/$P$14</f>
        <v>0.09539031009586117</v>
      </c>
      <c r="S13" s="4" t="s">
        <v>95</v>
      </c>
      <c r="T13" s="9">
        <v>0</v>
      </c>
      <c r="U13" s="9">
        <v>0</v>
      </c>
      <c r="V13" s="7">
        <v>0</v>
      </c>
      <c r="W13" s="7">
        <v>0</v>
      </c>
      <c r="X13" s="7">
        <v>0</v>
      </c>
      <c r="Y13" s="40">
        <f t="shared" si="5"/>
        <v>0</v>
      </c>
      <c r="Z13" s="61">
        <f>+Y13/$Y$14</f>
        <v>0</v>
      </c>
    </row>
    <row r="14" spans="1:26" ht="14.25">
      <c r="A14" s="4" t="s">
        <v>111</v>
      </c>
      <c r="B14" s="62">
        <f aca="true" t="shared" si="6" ref="B14:G14">+SUM(B4:B13)</f>
        <v>11134714.329513555</v>
      </c>
      <c r="C14" s="62">
        <f t="shared" si="6"/>
        <v>11201955.079360459</v>
      </c>
      <c r="D14" s="62">
        <f t="shared" si="6"/>
        <v>11690015.205119656</v>
      </c>
      <c r="E14" s="62">
        <f t="shared" si="6"/>
        <v>11337958.265724171</v>
      </c>
      <c r="F14" s="62">
        <f t="shared" si="6"/>
        <v>11911725.089394089</v>
      </c>
      <c r="G14" s="62">
        <f t="shared" si="6"/>
        <v>57276367.969111934</v>
      </c>
      <c r="H14" s="60">
        <f>+SUM(H4:H13)+0.0001</f>
        <v>0.9999999999999999</v>
      </c>
      <c r="J14" s="4" t="s">
        <v>111</v>
      </c>
      <c r="K14" s="62">
        <f aca="true" t="shared" si="7" ref="K14:Q14">+SUM(K4:K13)</f>
        <v>3053668.0022799997</v>
      </c>
      <c r="L14" s="62">
        <f t="shared" si="7"/>
        <v>2514184.00481</v>
      </c>
      <c r="M14" s="62">
        <f t="shared" si="7"/>
        <v>1848040.0746</v>
      </c>
      <c r="N14" s="62">
        <f t="shared" si="7"/>
        <v>1389271.395525</v>
      </c>
      <c r="O14" s="62">
        <f t="shared" si="7"/>
        <v>1005429.5321750001</v>
      </c>
      <c r="P14" s="62">
        <f t="shared" si="7"/>
        <v>9810593.00939</v>
      </c>
      <c r="Q14" s="60">
        <f t="shared" si="7"/>
        <v>0.9999999999999999</v>
      </c>
      <c r="S14" s="4" t="s">
        <v>111</v>
      </c>
      <c r="T14" s="62">
        <f aca="true" t="shared" si="8" ref="T14:Z14">+SUM(T4:T13)</f>
        <v>8081046.327233556</v>
      </c>
      <c r="U14" s="62">
        <f t="shared" si="8"/>
        <v>8687771.074550461</v>
      </c>
      <c r="V14" s="62">
        <f t="shared" si="8"/>
        <v>9841975.04528522</v>
      </c>
      <c r="W14" s="62">
        <f t="shared" si="8"/>
        <v>9948686.870703014</v>
      </c>
      <c r="X14" s="62">
        <f t="shared" si="8"/>
        <v>10935775.557773314</v>
      </c>
      <c r="Y14" s="77">
        <f t="shared" si="8"/>
        <v>47495254.87554556</v>
      </c>
      <c r="Z14" s="78">
        <f t="shared" si="8"/>
        <v>1</v>
      </c>
    </row>
  </sheetData>
  <sheetProtection/>
  <mergeCells count="3">
    <mergeCell ref="A1:H1"/>
    <mergeCell ref="J1:Q1"/>
    <mergeCell ref="S1:Z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O69"/>
  <sheetViews>
    <sheetView zoomScale="80" zoomScaleNormal="80" zoomScalePageLayoutView="0" workbookViewId="0" topLeftCell="X1">
      <selection activeCell="Z4" sqref="Z4"/>
    </sheetView>
  </sheetViews>
  <sheetFormatPr defaultColWidth="11.421875" defaultRowHeight="15"/>
  <cols>
    <col min="1" max="1" width="18.140625" style="1" customWidth="1"/>
    <col min="2" max="3" width="16.28125" style="0" customWidth="1"/>
    <col min="4" max="4" width="18.7109375" style="0" customWidth="1"/>
    <col min="5" max="5" width="19.140625" style="70" customWidth="1"/>
    <col min="6" max="6" width="14.7109375" style="0" customWidth="1"/>
    <col min="7" max="7" width="17.00390625" style="0" customWidth="1"/>
    <col min="8" max="8" width="16.7109375" style="1" customWidth="1"/>
    <col min="9" max="11" width="16.7109375" style="0" customWidth="1"/>
    <col min="12" max="12" width="16.7109375" style="70" customWidth="1"/>
    <col min="13" max="14" width="11.28125" style="0" customWidth="1"/>
    <col min="15" max="15" width="16.8515625" style="1" customWidth="1"/>
    <col min="16" max="16" width="13.57421875" style="0" customWidth="1"/>
    <col min="17" max="17" width="13.28125" style="0" customWidth="1"/>
    <col min="18" max="18" width="14.140625" style="0" customWidth="1"/>
    <col min="19" max="19" width="13.57421875" style="0" customWidth="1"/>
    <col min="20" max="20" width="11.28125" style="0" customWidth="1"/>
    <col min="21" max="21" width="5.28125" style="0" customWidth="1"/>
    <col min="22" max="22" width="21.8515625" style="1" customWidth="1"/>
    <col min="23" max="23" width="21.140625" style="0" customWidth="1"/>
    <col min="24" max="24" width="21.00390625" style="0" customWidth="1"/>
    <col min="25" max="25" width="21.421875" style="70" customWidth="1"/>
    <col min="26" max="26" width="21.8515625" style="70" customWidth="1"/>
    <col min="28" max="28" width="3.28125" style="0" customWidth="1"/>
    <col min="29" max="29" width="13.28125" style="0" customWidth="1"/>
    <col min="30" max="30" width="18.421875" style="0" customWidth="1"/>
    <col min="31" max="31" width="18.28125" style="0" customWidth="1"/>
    <col min="32" max="32" width="14.7109375" style="0" customWidth="1"/>
    <col min="34" max="35" width="16.00390625" style="0" customWidth="1"/>
    <col min="36" max="36" width="16.7109375" style="0" customWidth="1"/>
    <col min="37" max="37" width="13.7109375" style="0" bestFit="1" customWidth="1"/>
    <col min="38" max="38" width="17.28125" style="0" customWidth="1"/>
    <col min="39" max="39" width="16.140625" style="0" customWidth="1"/>
    <col min="40" max="40" width="14.8515625" style="0" customWidth="1"/>
    <col min="41" max="41" width="14.28125" style="0" bestFit="1" customWidth="1"/>
  </cols>
  <sheetData>
    <row r="1" spans="1:31" ht="15" customHeight="1">
      <c r="A1" s="94" t="s">
        <v>641</v>
      </c>
      <c r="B1" s="94"/>
      <c r="C1" s="94"/>
      <c r="D1" s="94"/>
      <c r="E1" s="94"/>
      <c r="F1" s="94"/>
      <c r="H1" s="94" t="s">
        <v>642</v>
      </c>
      <c r="I1" s="94"/>
      <c r="J1" s="94"/>
      <c r="K1" s="94"/>
      <c r="L1" s="94"/>
      <c r="M1" s="94"/>
      <c r="N1" s="67"/>
      <c r="O1" s="94" t="s">
        <v>754</v>
      </c>
      <c r="P1" s="94"/>
      <c r="Q1" s="94"/>
      <c r="R1" s="94"/>
      <c r="S1" s="94"/>
      <c r="T1" s="94"/>
      <c r="U1" s="2"/>
      <c r="V1" s="49"/>
      <c r="W1" s="94" t="s">
        <v>12</v>
      </c>
      <c r="X1" s="94"/>
      <c r="Y1" s="94"/>
      <c r="Z1" s="94"/>
      <c r="AA1" s="94"/>
      <c r="AB1" s="3"/>
      <c r="AC1" s="3"/>
      <c r="AD1" s="3"/>
      <c r="AE1" s="3"/>
    </row>
    <row r="3" spans="1:32" ht="14.25">
      <c r="A3" s="57" t="s">
        <v>753</v>
      </c>
      <c r="B3" s="5">
        <v>2019</v>
      </c>
      <c r="C3" s="5">
        <v>2020</v>
      </c>
      <c r="D3" s="5">
        <v>2021</v>
      </c>
      <c r="E3" s="88" t="s">
        <v>116</v>
      </c>
      <c r="F3" s="5" t="s">
        <v>117</v>
      </c>
      <c r="H3" s="41" t="s">
        <v>753</v>
      </c>
      <c r="I3" s="85">
        <v>2019</v>
      </c>
      <c r="J3" s="5">
        <v>2020</v>
      </c>
      <c r="K3" s="5">
        <v>2021</v>
      </c>
      <c r="L3" s="88" t="s">
        <v>116</v>
      </c>
      <c r="M3" s="5" t="s">
        <v>117</v>
      </c>
      <c r="N3" s="57"/>
      <c r="O3" s="52" t="s">
        <v>753</v>
      </c>
      <c r="P3" s="41">
        <v>2019</v>
      </c>
      <c r="Q3" s="41">
        <v>2020</v>
      </c>
      <c r="R3" s="41">
        <v>2021</v>
      </c>
      <c r="S3" s="93" t="s">
        <v>116</v>
      </c>
      <c r="T3" s="41" t="s">
        <v>117</v>
      </c>
      <c r="V3" s="52"/>
      <c r="W3" s="50">
        <v>2019</v>
      </c>
      <c r="X3" s="6">
        <v>2020</v>
      </c>
      <c r="Y3" s="68">
        <v>2021</v>
      </c>
      <c r="Z3" s="68" t="s">
        <v>116</v>
      </c>
      <c r="AA3" s="6" t="s">
        <v>117</v>
      </c>
      <c r="AC3" s="41" t="s">
        <v>743</v>
      </c>
      <c r="AD3" s="41" t="s">
        <v>758</v>
      </c>
      <c r="AE3" s="41" t="s">
        <v>744</v>
      </c>
      <c r="AF3" s="41" t="s">
        <v>750</v>
      </c>
    </row>
    <row r="4" spans="1:41" ht="42.75">
      <c r="A4" s="4" t="str">
        <f>+'PRESUPUESTO PENMTB 2019 2021'!U140</f>
        <v>1: Detección precoz  de casos de tuberculosis </v>
      </c>
      <c r="B4" s="7">
        <f>+'PRESUPUESTO PENMTB 2019 2021'!V140</f>
        <v>906392.0499999999</v>
      </c>
      <c r="C4" s="7">
        <f>+'PRESUPUESTO PENMTB 2019 2021'!W140</f>
        <v>846355.8699999999</v>
      </c>
      <c r="D4" s="7">
        <f>+'PRESUPUESTO PENMTB 2019 2021'!X140</f>
        <v>959459.3949999999</v>
      </c>
      <c r="E4" s="89">
        <f>+'PRESUPUESTO PENMTB 2019 2021'!Y140</f>
        <v>2712207.315</v>
      </c>
      <c r="F4" s="60">
        <f>+E4/E14-0.0002</f>
        <v>0.07742537820193293</v>
      </c>
      <c r="G4" s="1"/>
      <c r="H4" s="86" t="str">
        <f aca="true" t="shared" si="0" ref="H4:H14">+A4</f>
        <v>1: Detección precoz  de casos de tuberculosis </v>
      </c>
      <c r="I4" s="7">
        <f>+'PRESUPUESTO PENMTB 2019 2021'!V212</f>
        <v>435302.48000000004</v>
      </c>
      <c r="J4" s="7">
        <f>+'PRESUPUESTO PENMTB 2019 2021'!W212</f>
        <v>339071.02</v>
      </c>
      <c r="K4" s="7">
        <f>+'PRESUPUESTO PENMTB 2019 2021'!X212</f>
        <v>401446.06000000006</v>
      </c>
      <c r="L4" s="89">
        <f aca="true" t="shared" si="1" ref="L4:L13">+SUM(I4:K4)</f>
        <v>1175819.56</v>
      </c>
      <c r="M4" s="60">
        <f>+L4/L14</f>
        <v>0.27713677534466175</v>
      </c>
      <c r="N4" s="63"/>
      <c r="O4" s="78" t="str">
        <f>+H4</f>
        <v>1: Detección precoz  de casos de tuberculosis </v>
      </c>
      <c r="P4" s="61"/>
      <c r="Q4" s="61"/>
      <c r="R4" s="61"/>
      <c r="S4" s="61"/>
      <c r="T4" s="61"/>
      <c r="V4" s="53" t="str">
        <f aca="true" t="shared" si="2" ref="V4:V14">+H4</f>
        <v>1: Detección precoz  de casos de tuberculosis </v>
      </c>
      <c r="W4" s="51">
        <f aca="true" t="shared" si="3" ref="W4:Y8">+B4-I4</f>
        <v>471089.5699999999</v>
      </c>
      <c r="X4" s="9">
        <f t="shared" si="3"/>
        <v>507284.84999999986</v>
      </c>
      <c r="Y4" s="69">
        <f t="shared" si="3"/>
        <v>558013.3349999998</v>
      </c>
      <c r="Z4" s="69">
        <f aca="true" t="shared" si="4" ref="Z4:Z13">+W4+X4+Y4</f>
        <v>1536387.7549999994</v>
      </c>
      <c r="AA4" s="54">
        <f aca="true" t="shared" si="5" ref="AA4:AA10">+Z4/$Z$14</f>
        <v>0.05068318860508276</v>
      </c>
      <c r="AC4" s="61">
        <f aca="true" t="shared" si="6" ref="AC4:AC13">+L4/E4</f>
        <v>0.4335286441774087</v>
      </c>
      <c r="AD4" s="61"/>
      <c r="AE4" s="61">
        <f aca="true" t="shared" si="7" ref="AE4:AE13">+Z4/E4</f>
        <v>0.5664713558225911</v>
      </c>
      <c r="AF4" s="61">
        <f>+AC4+AE4+AD4</f>
        <v>0.9999999999999998</v>
      </c>
      <c r="AH4" s="10"/>
      <c r="AI4" s="10"/>
      <c r="AJ4" s="10"/>
      <c r="AK4" s="10"/>
      <c r="AL4" s="10"/>
      <c r="AM4" s="10"/>
      <c r="AN4" s="10"/>
      <c r="AO4" s="65"/>
    </row>
    <row r="5" spans="1:40" ht="42.75">
      <c r="A5" s="4" t="str">
        <f>+'PRESUPUESTO PENMTB 2019 2021'!U141</f>
        <v>2: Tratamiento de  casos TB de todas las formas</v>
      </c>
      <c r="B5" s="7">
        <f>+'PRESUPUESTO PENMTB 2019 2021'!V141</f>
        <v>3558078.6689999998</v>
      </c>
      <c r="C5" s="7">
        <f>+'PRESUPUESTO PENMTB 2019 2021'!W141</f>
        <v>3715945.66</v>
      </c>
      <c r="D5" s="7">
        <f>+'PRESUPUESTO PENMTB 2019 2021'!X141</f>
        <v>4082321.826</v>
      </c>
      <c r="E5" s="89">
        <f>+'PRESUPUESTO PENMTB 2019 2021'!Y141</f>
        <v>11356346.155</v>
      </c>
      <c r="F5" s="60">
        <f>+$E$5/E14</f>
        <v>0.32502702149593676</v>
      </c>
      <c r="G5" s="1"/>
      <c r="H5" s="4" t="str">
        <f t="shared" si="0"/>
        <v>2: Tratamiento de  casos TB de todas las formas</v>
      </c>
      <c r="I5" s="7">
        <f>+'PRESUPUESTO PENMTB 2019 2021'!V213</f>
        <v>136604</v>
      </c>
      <c r="J5" s="7">
        <f>+'PRESUPUESTO PENMTB 2019 2021'!W213</f>
        <v>145984</v>
      </c>
      <c r="K5" s="7">
        <f>+'PRESUPUESTO PENMTB 2019 2021'!X213</f>
        <v>155364</v>
      </c>
      <c r="L5" s="89">
        <f t="shared" si="1"/>
        <v>437952</v>
      </c>
      <c r="M5" s="60">
        <f>+L5/L14</f>
        <v>0.10322383566722201</v>
      </c>
      <c r="N5" s="63"/>
      <c r="O5" s="78" t="str">
        <f aca="true" t="shared" si="8" ref="O5:O14">+H5</f>
        <v>2: Tratamiento de  casos TB de todas las formas</v>
      </c>
      <c r="P5" s="61"/>
      <c r="Q5" s="61"/>
      <c r="R5" s="61"/>
      <c r="S5" s="61"/>
      <c r="T5" s="61"/>
      <c r="V5" s="53" t="str">
        <f t="shared" si="2"/>
        <v>2: Tratamiento de  casos TB de todas las formas</v>
      </c>
      <c r="W5" s="51">
        <f t="shared" si="3"/>
        <v>3421474.6689999998</v>
      </c>
      <c r="X5" s="9">
        <f t="shared" si="3"/>
        <v>3569961.66</v>
      </c>
      <c r="Y5" s="69">
        <f t="shared" si="3"/>
        <v>3926957.826</v>
      </c>
      <c r="Z5" s="69">
        <f t="shared" si="4"/>
        <v>10918394.155</v>
      </c>
      <c r="AA5" s="54">
        <f t="shared" si="5"/>
        <v>0.36018188014164326</v>
      </c>
      <c r="AC5" s="61">
        <f t="shared" si="6"/>
        <v>0.0385645166167445</v>
      </c>
      <c r="AD5" s="61"/>
      <c r="AE5" s="61">
        <f t="shared" si="7"/>
        <v>0.9614354833832555</v>
      </c>
      <c r="AF5" s="61">
        <f aca="true" t="shared" si="9" ref="AF5:AF13">+AC5+AE5+AD5</f>
        <v>1</v>
      </c>
      <c r="AH5" s="10"/>
      <c r="AI5" s="10"/>
      <c r="AJ5" s="10"/>
      <c r="AL5" s="10"/>
      <c r="AM5" s="10"/>
      <c r="AN5" s="10"/>
    </row>
    <row r="6" spans="1:40" ht="28.5">
      <c r="A6" s="4" t="str">
        <f>+'PRESUPUESTO PENMTB 2019 2021'!U142</f>
        <v>3: Detección de  casos TB/MDR </v>
      </c>
      <c r="B6" s="7">
        <f>+'PRESUPUESTO PENMTB 2019 2021'!V142</f>
        <v>296760</v>
      </c>
      <c r="C6" s="7">
        <f>+'PRESUPUESTO PENMTB 2019 2021'!W142</f>
        <v>445760</v>
      </c>
      <c r="D6" s="7">
        <f>+'PRESUPUESTO PENMTB 2019 2021'!X142</f>
        <v>329086</v>
      </c>
      <c r="E6" s="89">
        <f>+'PRESUPUESTO PENMTB 2019 2021'!Y142</f>
        <v>1071606</v>
      </c>
      <c r="F6" s="60">
        <f>+E6/E14</f>
        <v>0.030670155844432768</v>
      </c>
      <c r="G6" s="1"/>
      <c r="H6" s="4" t="str">
        <f t="shared" si="0"/>
        <v>3: Detección de  casos TB/MDR </v>
      </c>
      <c r="I6" s="7">
        <f>+'PRESUPUESTO PENMTB 2019 2021'!V214</f>
        <v>13500</v>
      </c>
      <c r="J6" s="7">
        <f>+'PRESUPUESTO PENMTB 2019 2021'!W214</f>
        <v>162500</v>
      </c>
      <c r="K6" s="7">
        <f>+'PRESUPUESTO PENMTB 2019 2021'!X214</f>
        <v>17500</v>
      </c>
      <c r="L6" s="89">
        <f t="shared" si="1"/>
        <v>193500</v>
      </c>
      <c r="M6" s="60">
        <f>+L6/L14</f>
        <v>0.045607309023836994</v>
      </c>
      <c r="N6" s="63"/>
      <c r="O6" s="78" t="str">
        <f t="shared" si="8"/>
        <v>3: Detección de  casos TB/MDR </v>
      </c>
      <c r="P6" s="61"/>
      <c r="Q6" s="61"/>
      <c r="R6" s="61"/>
      <c r="S6" s="61"/>
      <c r="T6" s="61"/>
      <c r="V6" s="53" t="str">
        <f t="shared" si="2"/>
        <v>3: Detección de  casos TB/MDR </v>
      </c>
      <c r="W6" s="51">
        <f t="shared" si="3"/>
        <v>283260</v>
      </c>
      <c r="X6" s="9">
        <f t="shared" si="3"/>
        <v>283260</v>
      </c>
      <c r="Y6" s="69">
        <f t="shared" si="3"/>
        <v>311586</v>
      </c>
      <c r="Z6" s="69">
        <f t="shared" si="4"/>
        <v>878106</v>
      </c>
      <c r="AA6" s="54">
        <f t="shared" si="5"/>
        <v>0.02896743473020899</v>
      </c>
      <c r="AC6" s="61">
        <f t="shared" si="6"/>
        <v>0.18057009759183879</v>
      </c>
      <c r="AD6" s="61"/>
      <c r="AE6" s="61">
        <f t="shared" si="7"/>
        <v>0.8194299024081612</v>
      </c>
      <c r="AF6" s="61">
        <f t="shared" si="9"/>
        <v>1</v>
      </c>
      <c r="AH6" s="10"/>
      <c r="AI6" s="10"/>
      <c r="AJ6" s="10"/>
      <c r="AL6" s="10"/>
      <c r="AM6" s="10"/>
      <c r="AN6" s="10"/>
    </row>
    <row r="7" spans="1:40" ht="28.5">
      <c r="A7" s="4" t="str">
        <f>+'PRESUPUESTO PENMTB 2019 2021'!U143</f>
        <v>4:Tratamiento de casos TB/MDR</v>
      </c>
      <c r="B7" s="7">
        <f>+'PRESUPUESTO PENMTB 2019 2021'!V143</f>
        <v>42359.119999999995</v>
      </c>
      <c r="C7" s="7">
        <f>+'PRESUPUESTO PENMTB 2019 2021'!W143</f>
        <v>4173</v>
      </c>
      <c r="D7" s="7">
        <f>+'PRESUPUESTO PENMTB 2019 2021'!X143</f>
        <v>4590.3</v>
      </c>
      <c r="E7" s="89">
        <f>+'PRESUPUESTO PENMTB 2019 2021'!Y143</f>
        <v>51122.42</v>
      </c>
      <c r="F7" s="60">
        <f>+E7/E14</f>
        <v>0.001463161449772161</v>
      </c>
      <c r="G7" s="1"/>
      <c r="H7" s="4" t="str">
        <f t="shared" si="0"/>
        <v>4:Tratamiento de casos TB/MDR</v>
      </c>
      <c r="I7" s="7">
        <f>+'PRESUPUESTO PENMTB 2019 2021'!V215</f>
        <v>38186.119999999995</v>
      </c>
      <c r="J7" s="7">
        <f>+'PRESUPUESTO PENMTB 2019 2021'!W215</f>
        <v>0</v>
      </c>
      <c r="K7" s="7">
        <f>+'PRESUPUESTO PENMTB 2019 2021'!X215</f>
        <v>0</v>
      </c>
      <c r="L7" s="89">
        <f t="shared" si="1"/>
        <v>38186.119999999995</v>
      </c>
      <c r="M7" s="60">
        <f>+L7/L14</f>
        <v>0.009000341991014585</v>
      </c>
      <c r="N7" s="63"/>
      <c r="O7" s="78" t="str">
        <f t="shared" si="8"/>
        <v>4:Tratamiento de casos TB/MDR</v>
      </c>
      <c r="P7" s="61"/>
      <c r="Q7" s="61"/>
      <c r="R7" s="61"/>
      <c r="S7" s="61"/>
      <c r="T7" s="61"/>
      <c r="V7" s="53" t="str">
        <f t="shared" si="2"/>
        <v>4:Tratamiento de casos TB/MDR</v>
      </c>
      <c r="W7" s="51">
        <f t="shared" si="3"/>
        <v>4173</v>
      </c>
      <c r="X7" s="9">
        <f t="shared" si="3"/>
        <v>4173</v>
      </c>
      <c r="Y7" s="69">
        <f t="shared" si="3"/>
        <v>4590.3</v>
      </c>
      <c r="Z7" s="69">
        <f t="shared" si="4"/>
        <v>12936.3</v>
      </c>
      <c r="AA7" s="54">
        <f t="shared" si="5"/>
        <v>0.00042674964742343466</v>
      </c>
      <c r="AC7" s="61">
        <f t="shared" si="6"/>
        <v>0.7469544673354664</v>
      </c>
      <c r="AD7" s="61"/>
      <c r="AE7" s="61">
        <f t="shared" si="7"/>
        <v>0.2530455326645335</v>
      </c>
      <c r="AF7" s="61">
        <f t="shared" si="9"/>
        <v>1</v>
      </c>
      <c r="AH7" s="10"/>
      <c r="AI7" s="10"/>
      <c r="AJ7" s="10"/>
      <c r="AL7" s="10"/>
      <c r="AM7" s="10"/>
      <c r="AN7" s="10"/>
    </row>
    <row r="8" spans="1:40" ht="42.75">
      <c r="A8" s="4" t="str">
        <f>+'PRESUPUESTO PENMTB 2019 2021'!U144</f>
        <v>5:Disminución de la mortalidad por TB/HIV</v>
      </c>
      <c r="B8" s="7">
        <f>+'PRESUPUESTO PENMTB 2019 2021'!V144</f>
        <v>533335.2</v>
      </c>
      <c r="C8" s="7">
        <f>+'PRESUPUESTO PENMTB 2019 2021'!W144</f>
        <v>139520</v>
      </c>
      <c r="D8" s="7">
        <f>+'PRESUPUESTO PENMTB 2019 2021'!X144</f>
        <v>108824</v>
      </c>
      <c r="E8" s="89">
        <f>+'PRESUPUESTO PENMTB 2019 2021'!Y144</f>
        <v>781679.2</v>
      </c>
      <c r="F8" s="60">
        <f>+E8/E14</f>
        <v>0.022372236516360982</v>
      </c>
      <c r="G8" s="1"/>
      <c r="H8" s="4" t="str">
        <f t="shared" si="0"/>
        <v>5:Disminución de la mortalidad por TB/HIV</v>
      </c>
      <c r="I8" s="7">
        <f>+'PRESUPUESTO PENMTB 2019 2021'!V216</f>
        <v>86480</v>
      </c>
      <c r="J8" s="7">
        <f>+'PRESUPUESTO PENMTB 2019 2021'!W216</f>
        <v>46480</v>
      </c>
      <c r="K8" s="7">
        <f>+'PRESUPUESTO PENMTB 2019 2021'!X216</f>
        <v>6480</v>
      </c>
      <c r="L8" s="89">
        <f t="shared" si="1"/>
        <v>139440</v>
      </c>
      <c r="M8" s="60">
        <f>+L8/L14</f>
        <v>0.03286554609965804</v>
      </c>
      <c r="N8" s="63"/>
      <c r="O8" s="78" t="str">
        <f t="shared" si="8"/>
        <v>5:Disminución de la mortalidad por TB/HIV</v>
      </c>
      <c r="P8" s="61"/>
      <c r="Q8" s="61"/>
      <c r="R8" s="61"/>
      <c r="S8" s="61"/>
      <c r="T8" s="61"/>
      <c r="V8" s="53" t="str">
        <f t="shared" si="2"/>
        <v>5:Disminución de la mortalidad por TB/HIV</v>
      </c>
      <c r="W8" s="51">
        <f t="shared" si="3"/>
        <v>446855.19999999995</v>
      </c>
      <c r="X8" s="9">
        <f t="shared" si="3"/>
        <v>93040</v>
      </c>
      <c r="Y8" s="69">
        <f t="shared" si="3"/>
        <v>102344</v>
      </c>
      <c r="Z8" s="69">
        <f t="shared" si="4"/>
        <v>642239.2</v>
      </c>
      <c r="AA8" s="54">
        <f t="shared" si="5"/>
        <v>0.02118653341075182</v>
      </c>
      <c r="AC8" s="61">
        <f t="shared" si="6"/>
        <v>0.1783851994526655</v>
      </c>
      <c r="AD8" s="61"/>
      <c r="AE8" s="61">
        <f t="shared" si="7"/>
        <v>0.8216148005473345</v>
      </c>
      <c r="AF8" s="61">
        <f t="shared" si="9"/>
        <v>1</v>
      </c>
      <c r="AH8" s="10"/>
      <c r="AI8" s="10"/>
      <c r="AJ8" s="10"/>
      <c r="AL8" s="10"/>
      <c r="AM8" s="10"/>
      <c r="AN8" s="10"/>
    </row>
    <row r="9" spans="1:40" ht="42.75">
      <c r="A9" s="4" t="str">
        <f>+'PRESUPUESTO PENMTB 2019 2021'!U145</f>
        <v>6: Atención integral a grupos de más alto riesgo </v>
      </c>
      <c r="B9" s="7">
        <f>+'PRESUPUESTO PENMTB 2019 2021'!V145</f>
        <v>3605771.7896000003</v>
      </c>
      <c r="C9" s="7">
        <f>+'PRESUPUESTO PENMTB 2019 2021'!W145</f>
        <v>3352634.6699999995</v>
      </c>
      <c r="D9" s="7">
        <f>+'PRESUPUESTO PENMTB 2019 2021'!X145</f>
        <v>3471720.318</v>
      </c>
      <c r="E9" s="89">
        <f>+'PRESUPUESTO PENMTB 2019 2021'!Y145</f>
        <v>10430126.7776</v>
      </c>
      <c r="F9" s="60">
        <f>+E9/E14</f>
        <v>0.29851793825919537</v>
      </c>
      <c r="G9" s="1"/>
      <c r="H9" s="4" t="str">
        <f t="shared" si="0"/>
        <v>6: Atención integral a grupos de más alto riesgo </v>
      </c>
      <c r="I9" s="7">
        <f>+'PRESUPUESTO PENMTB 2019 2021'!V217</f>
        <v>670478.19</v>
      </c>
      <c r="J9" s="7">
        <f>+'PRESUPUESTO PENMTB 2019 2021'!W217</f>
        <v>348978.19</v>
      </c>
      <c r="K9" s="7">
        <f>+'PRESUPUESTO PENMTB 2019 2021'!X217</f>
        <v>172978.19</v>
      </c>
      <c r="L9" s="89">
        <f t="shared" si="1"/>
        <v>1192434.5699999998</v>
      </c>
      <c r="M9" s="60">
        <f>+L9/L14</f>
        <v>0.28105287816380453</v>
      </c>
      <c r="N9" s="63"/>
      <c r="O9" s="78" t="str">
        <f t="shared" si="8"/>
        <v>6: Atención integral a grupos de más alto riesgo </v>
      </c>
      <c r="P9" s="7">
        <f>+'PRESUPUESTO PENMTB 2019 2021'!V224</f>
        <v>202800</v>
      </c>
      <c r="Q9" s="7">
        <f>+'PRESUPUESTO PENMTB 2019 2021'!W224</f>
        <v>52800</v>
      </c>
      <c r="R9" s="7">
        <f>+'PRESUPUESTO PENMTB 2019 2021'!X224</f>
        <v>52800</v>
      </c>
      <c r="S9" s="7">
        <f>+P9+Q9+R9</f>
        <v>308400</v>
      </c>
      <c r="T9" s="61">
        <f>+S9/S14</f>
        <v>0.8043818466353677</v>
      </c>
      <c r="V9" s="53" t="str">
        <f t="shared" si="2"/>
        <v>6: Atención integral a grupos de más alto riesgo </v>
      </c>
      <c r="W9" s="51">
        <f>+B9-I9-P9</f>
        <v>2732493.5996000003</v>
      </c>
      <c r="X9" s="9">
        <f>+C9-J9-Q9</f>
        <v>2950856.4799999995</v>
      </c>
      <c r="Y9" s="69">
        <f>+D9-K9-R9</f>
        <v>3245942.128</v>
      </c>
      <c r="Z9" s="69">
        <f t="shared" si="4"/>
        <v>8929292.2076</v>
      </c>
      <c r="AA9" s="54">
        <f t="shared" si="5"/>
        <v>0.294564311382244</v>
      </c>
      <c r="AC9" s="61">
        <f t="shared" si="6"/>
        <v>0.11432599003119522</v>
      </c>
      <c r="AD9" s="61">
        <f>+S9/Z9</f>
        <v>0.034538011841242146</v>
      </c>
      <c r="AE9" s="61">
        <f t="shared" si="7"/>
        <v>0.856105817119766</v>
      </c>
      <c r="AF9" s="61">
        <f t="shared" si="9"/>
        <v>1.0049698189922034</v>
      </c>
      <c r="AH9" s="10"/>
      <c r="AI9" s="10"/>
      <c r="AJ9" s="10"/>
      <c r="AL9" s="10"/>
      <c r="AM9" s="10"/>
      <c r="AN9" s="10"/>
    </row>
    <row r="10" spans="1:40" ht="28.5">
      <c r="A10" s="4" t="str">
        <f>+'PRESUPUESTO PENMTB 2019 2021'!U146</f>
        <v>7: Fortalecimiento al Sistema de Salud</v>
      </c>
      <c r="B10" s="7">
        <f>+'PRESUPUESTO PENMTB 2019 2021'!V146</f>
        <v>42000</v>
      </c>
      <c r="C10" s="7">
        <f>+'PRESUPUESTO PENMTB 2019 2021'!W146</f>
        <v>57000</v>
      </c>
      <c r="D10" s="7">
        <f>+'PRESUPUESTO PENMTB 2019 2021'!X146</f>
        <v>45200</v>
      </c>
      <c r="E10" s="89">
        <f>+'PRESUPUESTO PENMTB 2019 2021'!Y146</f>
        <v>144200</v>
      </c>
      <c r="F10" s="60">
        <f>+E10/E14</f>
        <v>0.0041271105917354</v>
      </c>
      <c r="G10" s="1"/>
      <c r="H10" s="4" t="str">
        <f t="shared" si="0"/>
        <v>7: Fortalecimiento al Sistema de Salud</v>
      </c>
      <c r="I10" s="7">
        <f>+'PRESUPUESTO PENMTB 2019 2021'!V218</f>
        <v>10000</v>
      </c>
      <c r="J10" s="7">
        <f>+'PRESUPUESTO PENMTB 2019 2021'!W218</f>
        <v>25000</v>
      </c>
      <c r="K10" s="7">
        <f>+'PRESUPUESTO PENMTB 2019 2021'!X218</f>
        <v>10000</v>
      </c>
      <c r="L10" s="89">
        <f t="shared" si="1"/>
        <v>45000</v>
      </c>
      <c r="M10" s="60">
        <f>+L10/L14</f>
        <v>0.010606350935776046</v>
      </c>
      <c r="N10" s="63"/>
      <c r="O10" s="78" t="str">
        <f t="shared" si="8"/>
        <v>7: Fortalecimiento al Sistema de Salud</v>
      </c>
      <c r="P10" s="61"/>
      <c r="Q10" s="61"/>
      <c r="R10" s="61"/>
      <c r="S10" s="61"/>
      <c r="T10" s="61"/>
      <c r="V10" s="53" t="str">
        <f t="shared" si="2"/>
        <v>7: Fortalecimiento al Sistema de Salud</v>
      </c>
      <c r="W10" s="51">
        <f aca="true" t="shared" si="10" ref="W10:Y11">+B10-I10</f>
        <v>32000</v>
      </c>
      <c r="X10" s="9">
        <f t="shared" si="10"/>
        <v>32000</v>
      </c>
      <c r="Y10" s="69">
        <f t="shared" si="10"/>
        <v>35200</v>
      </c>
      <c r="Z10" s="69">
        <f t="shared" si="4"/>
        <v>99200</v>
      </c>
      <c r="AA10" s="54">
        <f t="shared" si="5"/>
        <v>0.0032724631482266738</v>
      </c>
      <c r="AC10" s="61">
        <f t="shared" si="6"/>
        <v>0.3120665742024965</v>
      </c>
      <c r="AD10" s="61"/>
      <c r="AE10" s="61">
        <f t="shared" si="7"/>
        <v>0.6879334257975035</v>
      </c>
      <c r="AF10" s="61">
        <f t="shared" si="9"/>
        <v>1</v>
      </c>
      <c r="AH10" s="10"/>
      <c r="AI10" s="10"/>
      <c r="AJ10" s="10"/>
      <c r="AL10" s="10"/>
      <c r="AM10" s="10"/>
      <c r="AN10" s="10"/>
    </row>
    <row r="11" spans="1:40" ht="28.5" hidden="1">
      <c r="A11" s="4" t="str">
        <f>+'PRESUPUESTO PENMTB 2019 2021'!U147</f>
        <v>8-Sostenibilidad y Transicion</v>
      </c>
      <c r="B11" s="7">
        <f>+'PRESUPUESTO PENMTB 2019 2021'!V147</f>
        <v>633044.2</v>
      </c>
      <c r="C11" s="7">
        <f>+'PRESUPUESTO PENMTB 2019 2021'!W147</f>
        <v>651901.76</v>
      </c>
      <c r="D11" s="7">
        <f>+'PRESUPUESTO PENMTB 2019 2021'!X147</f>
        <v>687611.936</v>
      </c>
      <c r="E11" s="89">
        <f>+'PRESUPUESTO PENMTB 2019 2021'!Y147</f>
        <v>1972557.896</v>
      </c>
      <c r="F11" s="60">
        <f>+E11/E14</f>
        <v>0.056456065085942406</v>
      </c>
      <c r="G11" s="1"/>
      <c r="H11" s="4" t="str">
        <f>+A11</f>
        <v>8-Sostenibilidad y Transicion</v>
      </c>
      <c r="I11" s="7"/>
      <c r="J11" s="7"/>
      <c r="K11" s="7"/>
      <c r="L11" s="89">
        <f t="shared" si="1"/>
        <v>0</v>
      </c>
      <c r="M11" s="60"/>
      <c r="N11" s="63"/>
      <c r="O11" s="78" t="str">
        <f t="shared" si="8"/>
        <v>8-Sostenibilidad y Transicion</v>
      </c>
      <c r="P11" s="61"/>
      <c r="Q11" s="61"/>
      <c r="R11" s="61"/>
      <c r="S11" s="61"/>
      <c r="T11" s="61"/>
      <c r="V11" s="53" t="str">
        <f t="shared" si="2"/>
        <v>8-Sostenibilidad y Transicion</v>
      </c>
      <c r="W11" s="51">
        <f t="shared" si="10"/>
        <v>633044.2</v>
      </c>
      <c r="X11" s="9">
        <f t="shared" si="10"/>
        <v>651901.76</v>
      </c>
      <c r="Y11" s="69">
        <f t="shared" si="10"/>
        <v>687611.936</v>
      </c>
      <c r="Z11" s="69">
        <f t="shared" si="4"/>
        <v>1972557.896</v>
      </c>
      <c r="AA11" s="54"/>
      <c r="AC11" s="61">
        <f t="shared" si="6"/>
        <v>0</v>
      </c>
      <c r="AD11" s="61"/>
      <c r="AE11" s="61">
        <f t="shared" si="7"/>
        <v>1</v>
      </c>
      <c r="AF11" s="61">
        <f t="shared" si="9"/>
        <v>1</v>
      </c>
      <c r="AH11" s="10"/>
      <c r="AI11" s="10"/>
      <c r="AJ11" s="10"/>
      <c r="AL11" s="10"/>
      <c r="AM11" s="10"/>
      <c r="AN11" s="10"/>
    </row>
    <row r="12" spans="1:40" ht="28.5">
      <c r="A12" s="4" t="str">
        <f>+'PRESUPUESTO PENMTB 2019 2021'!U148</f>
        <v>Monitoreo y Evaluación</v>
      </c>
      <c r="B12" s="7">
        <f>+'PRESUPUESTO PENMTB 2019 2021'!V148</f>
        <v>585906.59</v>
      </c>
      <c r="C12" s="7">
        <f>+'PRESUPUESTO PENMTB 2019 2021'!W148</f>
        <v>486274.64999999997</v>
      </c>
      <c r="D12" s="7">
        <f>+'PRESUPUESTO PENMTB 2019 2021'!X148</f>
        <v>466918.805</v>
      </c>
      <c r="E12" s="89">
        <f>+'PRESUPUESTO PENMTB 2019 2021'!Y148</f>
        <v>1539100.045</v>
      </c>
      <c r="F12" s="60">
        <f>+E12/E14</f>
        <v>0.04405018098099813</v>
      </c>
      <c r="G12" s="1"/>
      <c r="H12" s="4" t="str">
        <f t="shared" si="0"/>
        <v>Monitoreo y Evaluación</v>
      </c>
      <c r="I12" s="7">
        <f>+'PRESUPUESTO PENMTB 2019 2021'!V219</f>
        <v>255094.04</v>
      </c>
      <c r="J12" s="7">
        <f>+'PRESUPUESTO PENMTB 2019 2021'!W219</f>
        <v>159062.1</v>
      </c>
      <c r="K12" s="7">
        <f>+'PRESUPUESTO PENMTB 2019 2021'!X219</f>
        <v>109485</v>
      </c>
      <c r="L12" s="89">
        <f t="shared" si="1"/>
        <v>523641.14</v>
      </c>
      <c r="M12" s="60">
        <f>+L12/L14</f>
        <v>0.12342048211666301</v>
      </c>
      <c r="N12" s="63"/>
      <c r="O12" s="78" t="str">
        <f t="shared" si="8"/>
        <v>Monitoreo y Evaluación</v>
      </c>
      <c r="P12" s="7">
        <f>+'PRESUPUESTO PENMTB 2019 2021'!V225</f>
        <v>25000</v>
      </c>
      <c r="Q12" s="7">
        <f>+'PRESUPUESTO PENMTB 2019 2021'!W225</f>
        <v>25000</v>
      </c>
      <c r="R12" s="7">
        <f>+'PRESUPUESTO PENMTB 2019 2021'!X225</f>
        <v>25000</v>
      </c>
      <c r="S12" s="7">
        <f>+P12+Q12+R12</f>
        <v>75000</v>
      </c>
      <c r="T12" s="61">
        <f>+S12/S14</f>
        <v>0.19561815336463223</v>
      </c>
      <c r="V12" s="53" t="str">
        <f t="shared" si="2"/>
        <v>Monitoreo y Evaluación</v>
      </c>
      <c r="W12" s="51">
        <f>+B12-I12-P12</f>
        <v>305812.54999999993</v>
      </c>
      <c r="X12" s="9">
        <f>+C12-J12-Q12</f>
        <v>302212.54999999993</v>
      </c>
      <c r="Y12" s="69">
        <f>+D12-K12-R12</f>
        <v>332433.805</v>
      </c>
      <c r="Z12" s="69">
        <f t="shared" si="4"/>
        <v>940458.9049999998</v>
      </c>
      <c r="AA12" s="54">
        <f>+Z12/$Z$14</f>
        <v>0.03102436601848901</v>
      </c>
      <c r="AC12" s="61">
        <f t="shared" si="6"/>
        <v>0.34022553745036116</v>
      </c>
      <c r="AD12" s="61">
        <f>+S12/E12</f>
        <v>0.048729775717731204</v>
      </c>
      <c r="AE12" s="61">
        <f t="shared" si="7"/>
        <v>0.6110446868319076</v>
      </c>
      <c r="AF12" s="61">
        <f t="shared" si="9"/>
        <v>1</v>
      </c>
      <c r="AH12" s="10"/>
      <c r="AI12" s="10"/>
      <c r="AJ12" s="10"/>
      <c r="AL12" s="10"/>
      <c r="AM12" s="10"/>
      <c r="AN12" s="10"/>
    </row>
    <row r="13" spans="1:40" ht="42.75">
      <c r="A13" s="4" t="str">
        <f>+'PRESUPUESTO PENMTB 2019 2021'!U149</f>
        <v>Planificación, coordinación y gerencia</v>
      </c>
      <c r="B13" s="7">
        <f>+'PRESUPUESTO PENMTB 2019 2021'!V149</f>
        <v>1486367.5865196562</v>
      </c>
      <c r="C13" s="7">
        <f>+'PRESUPUESTO PENMTB 2019 2021'!W149</f>
        <v>1638392.6557241713</v>
      </c>
      <c r="D13" s="7">
        <f>+'PRESUPUESTO PENMTB 2019 2021'!X149</f>
        <v>1755992.5093940885</v>
      </c>
      <c r="E13" s="89">
        <f>+'PRESUPUESTO PENMTB 2019 2021'!Y149</f>
        <v>4880752.751637916</v>
      </c>
      <c r="F13" s="60">
        <f>+E13/E14</f>
        <v>0.13969075157369307</v>
      </c>
      <c r="G13" s="1"/>
      <c r="H13" s="4" t="str">
        <f t="shared" si="0"/>
        <v>Planificación, coordinación y gerencia</v>
      </c>
      <c r="I13" s="7">
        <f>+'PRESUPUESTO PENMTB 2019 2021'!V220</f>
        <v>202395.24459999998</v>
      </c>
      <c r="J13" s="7">
        <f>+'PRESUPUESTO PENMTB 2019 2021'!W220</f>
        <v>162196.085525</v>
      </c>
      <c r="K13" s="7">
        <f>+'PRESUPUESTO PENMTB 2019 2021'!X220</f>
        <v>132176.282175</v>
      </c>
      <c r="L13" s="89">
        <f t="shared" si="1"/>
        <v>496767.6123</v>
      </c>
      <c r="M13" s="60">
        <f>+L13/L14</f>
        <v>0.11708648065736303</v>
      </c>
      <c r="N13" s="63"/>
      <c r="O13" s="78" t="str">
        <f t="shared" si="8"/>
        <v>Planificación, coordinación y gerencia</v>
      </c>
      <c r="P13" s="61"/>
      <c r="Q13" s="61"/>
      <c r="R13" s="61"/>
      <c r="S13" s="61"/>
      <c r="T13" s="61"/>
      <c r="V13" s="53" t="str">
        <f t="shared" si="2"/>
        <v>Planificación, coordinación y gerencia</v>
      </c>
      <c r="W13" s="51">
        <f>+B13-I13</f>
        <v>1283972.3419196564</v>
      </c>
      <c r="X13" s="9">
        <f>+C13-J13</f>
        <v>1476196.5701991713</v>
      </c>
      <c r="Y13" s="69">
        <f>+D13-K13</f>
        <v>1623816.2272190885</v>
      </c>
      <c r="Z13" s="69">
        <f t="shared" si="4"/>
        <v>4383985.139337916</v>
      </c>
      <c r="AA13" s="54">
        <f>+Z13/$Z$14</f>
        <v>0.14462126825460395</v>
      </c>
      <c r="AC13" s="61">
        <f t="shared" si="6"/>
        <v>0.1017809419117351</v>
      </c>
      <c r="AD13" s="61"/>
      <c r="AE13" s="61">
        <f t="shared" si="7"/>
        <v>0.8982190580882649</v>
      </c>
      <c r="AF13" s="61">
        <f t="shared" si="9"/>
        <v>1</v>
      </c>
      <c r="AH13" s="10"/>
      <c r="AI13" s="10"/>
      <c r="AJ13" s="10"/>
      <c r="AL13" s="10"/>
      <c r="AM13" s="10"/>
      <c r="AN13" s="10"/>
    </row>
    <row r="14" spans="1:40" ht="14.25">
      <c r="A14" s="4" t="str">
        <f>+'PRESUPUESTO PENMTB 2019 2021'!U150</f>
        <v>TOTAL</v>
      </c>
      <c r="B14" s="7">
        <f>+SUM(B4:B13)</f>
        <v>11690015.205119656</v>
      </c>
      <c r="C14" s="7">
        <f>+SUM(C4:C13)</f>
        <v>11337958.265724171</v>
      </c>
      <c r="D14" s="7">
        <f>+SUM(D4:D13)</f>
        <v>11911725.089394089</v>
      </c>
      <c r="E14" s="89">
        <f>+SUM(E4:E13)</f>
        <v>34939698.560237914</v>
      </c>
      <c r="F14" s="60">
        <f>+SUM(F4:F13)+0.0002</f>
        <v>0.9999999999999999</v>
      </c>
      <c r="H14" s="4" t="str">
        <f t="shared" si="0"/>
        <v>TOTAL</v>
      </c>
      <c r="I14" s="7">
        <f>+SUM(I4:I13)</f>
        <v>1848040.0746</v>
      </c>
      <c r="J14" s="7">
        <f>+SUM(J4:J13)</f>
        <v>1389271.395525</v>
      </c>
      <c r="K14" s="7">
        <f>+SUM(K4:K13)</f>
        <v>1005429.5321750001</v>
      </c>
      <c r="L14" s="89">
        <f>+SUM(L4:L13)</f>
        <v>4242741.0023</v>
      </c>
      <c r="M14" s="60">
        <f>+SUM(M4:M13)</f>
        <v>1</v>
      </c>
      <c r="N14" s="63"/>
      <c r="O14" s="78" t="str">
        <f t="shared" si="8"/>
        <v>TOTAL</v>
      </c>
      <c r="P14" s="7">
        <f>+SUM(P4:P13)</f>
        <v>227800</v>
      </c>
      <c r="Q14" s="7">
        <f>+SUM(Q4:Q13)</f>
        <v>77800</v>
      </c>
      <c r="R14" s="7">
        <f>+SUM(R4:R13)</f>
        <v>77800</v>
      </c>
      <c r="S14" s="7">
        <f>+P14+Q14+R14</f>
        <v>383400</v>
      </c>
      <c r="T14" s="61"/>
      <c r="V14" s="53" t="str">
        <f t="shared" si="2"/>
        <v>TOTAL</v>
      </c>
      <c r="W14" s="51">
        <f>+SUM(W4:W13)</f>
        <v>9614175.130519656</v>
      </c>
      <c r="X14" s="9">
        <f>+SUM(X4:X13)</f>
        <v>9870886.87019917</v>
      </c>
      <c r="Y14" s="69">
        <f>+SUM(Y4:Y13)</f>
        <v>10828495.557219088</v>
      </c>
      <c r="Z14" s="69">
        <f>+SUM(Z4:Z13)</f>
        <v>30313557.557937916</v>
      </c>
      <c r="AA14" s="54">
        <f>+SUM(AA4:AA13)</f>
        <v>0.934928195338674</v>
      </c>
      <c r="AC14" s="71"/>
      <c r="AD14" s="71"/>
      <c r="AE14" s="71"/>
      <c r="AH14" s="10"/>
      <c r="AI14" s="10"/>
      <c r="AJ14" s="10"/>
      <c r="AL14" s="10"/>
      <c r="AM14" s="10"/>
      <c r="AN14" s="10"/>
    </row>
    <row r="15" spans="1:27" ht="14.25">
      <c r="A15" s="58"/>
      <c r="B15" s="59"/>
      <c r="C15" s="59"/>
      <c r="D15" s="59"/>
      <c r="E15" s="87"/>
      <c r="F15" s="63"/>
      <c r="H15" s="58"/>
      <c r="I15" s="59"/>
      <c r="J15" s="59"/>
      <c r="K15" s="59"/>
      <c r="L15" s="87"/>
      <c r="M15" s="63"/>
      <c r="N15" s="63"/>
      <c r="O15" s="79"/>
      <c r="P15" s="63"/>
      <c r="Q15" s="63"/>
      <c r="R15" s="63"/>
      <c r="S15" s="63"/>
      <c r="T15" s="63"/>
      <c r="V15" s="64"/>
      <c r="W15" s="59"/>
      <c r="X15" s="59"/>
      <c r="Y15" s="59"/>
      <c r="Z15" s="87"/>
      <c r="AA15" s="63"/>
    </row>
    <row r="16" spans="2:12" ht="14.25">
      <c r="B16" s="10"/>
      <c r="C16" s="10"/>
      <c r="D16" s="10"/>
      <c r="E16" s="92"/>
      <c r="I16" s="65"/>
      <c r="J16" s="65"/>
      <c r="K16" s="65"/>
      <c r="L16" s="84"/>
    </row>
    <row r="17" ht="14.25">
      <c r="B17" s="10"/>
    </row>
    <row r="21" ht="14.25">
      <c r="G21" t="s">
        <v>766</v>
      </c>
    </row>
    <row r="56" spans="7:12" ht="14.25">
      <c r="G56" s="57"/>
      <c r="H56" s="58"/>
      <c r="I56" s="57"/>
      <c r="J56" s="57"/>
      <c r="K56" s="57"/>
      <c r="L56" s="90"/>
    </row>
    <row r="57" spans="7:12" ht="14.25">
      <c r="G57" s="58"/>
      <c r="H57" s="57"/>
      <c r="I57" s="57"/>
      <c r="J57" s="57"/>
      <c r="K57" s="57"/>
      <c r="L57" s="90"/>
    </row>
    <row r="58" spans="7:12" ht="14.25">
      <c r="G58" s="58"/>
      <c r="H58" s="59"/>
      <c r="I58" s="59"/>
      <c r="J58" s="59"/>
      <c r="K58" s="59"/>
      <c r="L58" s="91"/>
    </row>
    <row r="59" spans="7:12" ht="14.25">
      <c r="G59" s="58"/>
      <c r="H59" s="59"/>
      <c r="I59" s="59"/>
      <c r="J59" s="59"/>
      <c r="K59" s="59"/>
      <c r="L59" s="91"/>
    </row>
    <row r="60" spans="7:12" ht="14.25">
      <c r="G60" s="58"/>
      <c r="H60" s="59"/>
      <c r="I60" s="59"/>
      <c r="J60" s="59"/>
      <c r="K60" s="59"/>
      <c r="L60" s="91"/>
    </row>
    <row r="61" spans="7:12" ht="14.25">
      <c r="G61" s="58"/>
      <c r="H61" s="59"/>
      <c r="I61" s="59"/>
      <c r="J61" s="59"/>
      <c r="K61" s="59"/>
      <c r="L61" s="91"/>
    </row>
    <row r="62" spans="7:12" ht="14.25">
      <c r="G62" s="58"/>
      <c r="H62" s="59"/>
      <c r="I62" s="59"/>
      <c r="J62" s="59"/>
      <c r="K62" s="59"/>
      <c r="L62" s="91"/>
    </row>
    <row r="63" spans="7:12" ht="14.25">
      <c r="G63" s="58"/>
      <c r="H63" s="59"/>
      <c r="I63" s="59"/>
      <c r="J63" s="59"/>
      <c r="K63" s="59"/>
      <c r="L63" s="91"/>
    </row>
    <row r="64" spans="7:12" ht="14.25">
      <c r="G64" s="58"/>
      <c r="H64" s="59"/>
      <c r="I64" s="59"/>
      <c r="J64" s="59"/>
      <c r="K64" s="59"/>
      <c r="L64" s="91"/>
    </row>
    <row r="65" spans="7:12" ht="14.25">
      <c r="G65" s="58"/>
      <c r="H65" s="59"/>
      <c r="I65" s="59"/>
      <c r="J65" s="59"/>
      <c r="K65" s="59"/>
      <c r="L65" s="91"/>
    </row>
    <row r="66" spans="7:12" ht="14.25">
      <c r="G66" s="58"/>
      <c r="H66" s="59"/>
      <c r="I66" s="59"/>
      <c r="J66" s="59"/>
      <c r="K66" s="59"/>
      <c r="L66" s="91"/>
    </row>
    <row r="67" spans="7:12" ht="14.25">
      <c r="G67" s="58"/>
      <c r="H67" s="59"/>
      <c r="I67" s="59"/>
      <c r="J67" s="59"/>
      <c r="K67" s="59"/>
      <c r="L67" s="91"/>
    </row>
    <row r="68" spans="7:12" ht="14.25">
      <c r="G68" s="57"/>
      <c r="H68" s="58"/>
      <c r="I68" s="57"/>
      <c r="J68" s="57"/>
      <c r="K68" s="57"/>
      <c r="L68" s="90"/>
    </row>
    <row r="69" spans="7:12" ht="14.25">
      <c r="G69" s="57"/>
      <c r="H69" s="58"/>
      <c r="I69" s="57"/>
      <c r="J69" s="57"/>
      <c r="K69" s="57"/>
      <c r="L69" s="90"/>
    </row>
  </sheetData>
  <sheetProtection selectLockedCells="1" selectUnlockedCells="1"/>
  <mergeCells count="4">
    <mergeCell ref="A1:F1"/>
    <mergeCell ref="H1:M1"/>
    <mergeCell ref="W1:AA1"/>
    <mergeCell ref="O1:T1"/>
  </mergeCells>
  <printOptions/>
  <pageMargins left="0.7" right="0.7" top="0.75" bottom="0.75" header="0.5118055555555555" footer="0.511805555555555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F10"/>
  <sheetViews>
    <sheetView zoomScale="80" zoomScaleNormal="80" zoomScalePageLayoutView="0" workbookViewId="0" topLeftCell="A1">
      <selection activeCell="E4" sqref="E4"/>
    </sheetView>
  </sheetViews>
  <sheetFormatPr defaultColWidth="11.421875" defaultRowHeight="15"/>
  <cols>
    <col min="1" max="1" width="13.7109375" style="0" customWidth="1"/>
    <col min="2" max="2" width="36.7109375" style="0" customWidth="1"/>
    <col min="3" max="3" width="16.7109375" style="0" customWidth="1"/>
    <col min="4" max="4" width="20.140625" style="0" customWidth="1"/>
    <col min="5" max="5" width="18.28125" style="0" customWidth="1"/>
    <col min="6" max="6" width="15.7109375" style="0" bestFit="1" customWidth="1"/>
  </cols>
  <sheetData>
    <row r="1" spans="1:5" ht="14.25">
      <c r="A1" s="95" t="s">
        <v>675</v>
      </c>
      <c r="B1" s="95"/>
      <c r="C1" s="95"/>
      <c r="D1" s="95"/>
      <c r="E1" s="95"/>
    </row>
    <row r="3" spans="1:6" ht="42.75">
      <c r="A3" s="4" t="str">
        <f>+'PRESUPUESTO PENMTB 2019 2021'!T153</f>
        <v>CODIGO PRESUPUESTARIO</v>
      </c>
      <c r="B3" s="5" t="str">
        <f>+'PRESUPUESTO PENMTB 2019 2021'!U153</f>
        <v>DESCRIPCION</v>
      </c>
      <c r="C3" s="5">
        <f>+'PRESUPUESTO PENMTB 2019 2021'!V153</f>
        <v>2019</v>
      </c>
      <c r="D3" s="5">
        <f>+'PRESUPUESTO PENMTB 2019 2021'!W153</f>
        <v>2020</v>
      </c>
      <c r="E3" s="39">
        <f>+'PRESUPUESTO PENMTB 2019 2021'!X153</f>
        <v>2021</v>
      </c>
      <c r="F3" s="41" t="s">
        <v>111</v>
      </c>
    </row>
    <row r="4" spans="1:6" ht="14.25">
      <c r="A4" s="11">
        <f>+'PRESUPUESTO PENMTB 2019 2021'!T155</f>
        <v>51</v>
      </c>
      <c r="B4" s="5" t="str">
        <f>+'PRESUPUESTO PENMTB 2019 2021'!U155</f>
        <v>REMUNERACION</v>
      </c>
      <c r="C4" s="7">
        <f>+'PRESUPUESTO PENMTB 2019 2021'!V155</f>
        <v>7635549.661519656</v>
      </c>
      <c r="D4" s="7">
        <f>+'PRESUPUESTO PENMTB 2019 2021'!W155</f>
        <v>8180584.23019917</v>
      </c>
      <c r="E4" s="40">
        <f>+'PRESUPUESTO PENMTB 2019 2021'!X155</f>
        <v>8998642.653219087</v>
      </c>
      <c r="F4" s="42">
        <f>+C4+D4+E4</f>
        <v>24814776.544937916</v>
      </c>
    </row>
    <row r="5" spans="1:6" ht="14.25">
      <c r="A5" s="11">
        <f>+'PRESUPUESTO PENMTB 2019 2021'!T157</f>
        <v>54</v>
      </c>
      <c r="B5" s="5" t="str">
        <f>+'PRESUPUESTO PENMTB 2019 2021'!U157</f>
        <v>ADQUISICIONES DE BIENES Y SERVICIOS</v>
      </c>
      <c r="C5" s="7">
        <f>+'PRESUPUESTO PENMTB 2019 2021'!V157</f>
        <v>3110430.3590000006</v>
      </c>
      <c r="D5" s="7">
        <f>+'PRESUPUESTO PENMTB 2019 2021'!W157</f>
        <v>2549456.06</v>
      </c>
      <c r="E5" s="40">
        <f>+'PRESUPUESTO PENMTB 2019 2021'!X157</f>
        <v>2752314.4339999994</v>
      </c>
      <c r="F5" s="42">
        <f>+C5+D5+E5</f>
        <v>8412200.853</v>
      </c>
    </row>
    <row r="6" spans="1:6" ht="14.25">
      <c r="A6" s="11">
        <f>+'PRESUPUESTO PENMTB 2019 2021'!T158</f>
        <v>55</v>
      </c>
      <c r="B6" s="5" t="str">
        <f>+'PRESUPUESTO PENMTB 2019 2021'!U158</f>
        <v>GASTOS FINANCIEROS Y OTROS</v>
      </c>
      <c r="C6" s="7">
        <f>+'PRESUPUESTO PENMTB 2019 2021'!V158</f>
        <v>107849.0646</v>
      </c>
      <c r="D6" s="7">
        <f>+'PRESUPUESTO PENMTB 2019 2021'!W158</f>
        <v>73417.975525</v>
      </c>
      <c r="E6" s="40">
        <f>+'PRESUPUESTO PENMTB 2019 2021'!X158</f>
        <v>54068.002175</v>
      </c>
      <c r="F6" s="42">
        <f>+C6+D6+E6</f>
        <v>235335.0423</v>
      </c>
    </row>
    <row r="7" spans="1:6" ht="14.25">
      <c r="A7" s="11">
        <f>+'PRESUPUESTO PENMTB 2019 2021'!T159</f>
        <v>61</v>
      </c>
      <c r="B7" s="5" t="str">
        <f>+'PRESUPUESTO PENMTB 2019 2021'!U159</f>
        <v>INVERSIONES EN ACTIVOS FIJOS</v>
      </c>
      <c r="C7" s="7">
        <f>+'PRESUPUESTO PENMTB 2019 2021'!V159</f>
        <v>836186.12</v>
      </c>
      <c r="D7" s="7">
        <f>+'PRESUPUESTO PENMTB 2019 2021'!W159</f>
        <v>534500</v>
      </c>
      <c r="E7" s="40">
        <f>+'PRESUPUESTO PENMTB 2019 2021'!X159</f>
        <v>106700</v>
      </c>
      <c r="F7" s="42">
        <f>+C7+D7+E7</f>
        <v>1477386.12</v>
      </c>
    </row>
    <row r="8" spans="2:6" ht="14.25">
      <c r="B8" s="11" t="s">
        <v>111</v>
      </c>
      <c r="C8" s="7">
        <f>+'PRESUPUESTO PENMTB 2019 2021'!V160</f>
        <v>11690015.205119656</v>
      </c>
      <c r="D8" s="7">
        <f>+'PRESUPUESTO PENMTB 2019 2021'!W160</f>
        <v>11337958.26572417</v>
      </c>
      <c r="E8" s="40">
        <f>+'PRESUPUESTO PENMTB 2019 2021'!X160</f>
        <v>11911725.089394085</v>
      </c>
      <c r="F8" s="42">
        <f>+C8+D8+E8</f>
        <v>34939698.560237914</v>
      </c>
    </row>
    <row r="10" spans="3:5" ht="14.25">
      <c r="C10" s="10"/>
      <c r="D10" s="10"/>
      <c r="E10" s="10"/>
    </row>
  </sheetData>
  <sheetProtection selectLockedCells="1" selectUnlockedCells="1"/>
  <mergeCells count="1">
    <mergeCell ref="A1:E1"/>
  </mergeCells>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B1:I87"/>
  <sheetViews>
    <sheetView zoomScalePageLayoutView="0" workbookViewId="0" topLeftCell="A6">
      <selection activeCell="B1" sqref="B1:G1"/>
    </sheetView>
  </sheetViews>
  <sheetFormatPr defaultColWidth="11.28125" defaultRowHeight="15"/>
  <cols>
    <col min="1" max="1" width="11.28125" style="12" customWidth="1"/>
    <col min="2" max="2" width="14.28125" style="12" customWidth="1"/>
    <col min="3" max="3" width="13.28125" style="12" customWidth="1"/>
    <col min="4" max="4" width="15.140625" style="12" customWidth="1"/>
    <col min="5" max="5" width="15.7109375" style="12" customWidth="1"/>
    <col min="6" max="6" width="13.28125" style="12" customWidth="1"/>
    <col min="7" max="7" width="11.00390625" style="12" customWidth="1"/>
    <col min="8" max="8" width="11.28125" style="12" customWidth="1"/>
    <col min="9" max="9" width="14.7109375" style="12" customWidth="1"/>
    <col min="10" max="16384" width="11.28125" style="12" customWidth="1"/>
  </cols>
  <sheetData>
    <row r="1" spans="2:7" ht="15" customHeight="1">
      <c r="B1" s="96" t="s">
        <v>142</v>
      </c>
      <c r="C1" s="96"/>
      <c r="D1" s="96"/>
      <c r="E1" s="96"/>
      <c r="F1" s="96"/>
      <c r="G1" s="96"/>
    </row>
    <row r="3" spans="2:7" ht="50.25" customHeight="1">
      <c r="B3" s="13" t="s">
        <v>143</v>
      </c>
      <c r="C3" s="14">
        <v>2019</v>
      </c>
      <c r="D3" s="14">
        <v>2020</v>
      </c>
      <c r="E3" s="14">
        <v>2021</v>
      </c>
      <c r="F3" s="14" t="s">
        <v>144</v>
      </c>
      <c r="G3" s="15" t="s">
        <v>145</v>
      </c>
    </row>
    <row r="4" spans="2:7" ht="14.25">
      <c r="B4" s="16" t="s">
        <v>395</v>
      </c>
      <c r="C4" s="17">
        <f>+'PRESUPUESTO PENMTB 2019 2021'!E142</f>
        <v>98144</v>
      </c>
      <c r="D4" s="17">
        <f>+'PRESUPUESTO PENMTB 2019 2021'!F142</f>
        <v>107524</v>
      </c>
      <c r="E4" s="17">
        <f>+'PRESUPUESTO PENMTB 2019 2021'!G142</f>
        <v>116904</v>
      </c>
      <c r="F4" s="17">
        <f aca="true" t="shared" si="0" ref="F4:F18">+SUM(C4:E4)</f>
        <v>322572</v>
      </c>
      <c r="G4" s="18">
        <f aca="true" t="shared" si="1" ref="G4:G13">+F4/$F$18</f>
        <v>0.07602915186789223</v>
      </c>
    </row>
    <row r="5" spans="2:7" ht="14.25">
      <c r="B5" s="16" t="s">
        <v>406</v>
      </c>
      <c r="C5" s="17">
        <f>+'PRESUPUESTO PENMTB 2019 2021'!E143</f>
        <v>500064</v>
      </c>
      <c r="D5" s="17">
        <f>+'PRESUPUESTO PENMTB 2019 2021'!F143</f>
        <v>260064</v>
      </c>
      <c r="E5" s="17">
        <f>+'PRESUPUESTO PENMTB 2019 2021'!G143</f>
        <v>20064</v>
      </c>
      <c r="F5" s="17">
        <f t="shared" si="0"/>
        <v>780192</v>
      </c>
      <c r="G5" s="18">
        <f t="shared" si="1"/>
        <v>0.18388866998411077</v>
      </c>
    </row>
    <row r="6" spans="2:7" ht="14.25">
      <c r="B6" s="16" t="s">
        <v>413</v>
      </c>
      <c r="C6" s="17">
        <f>+'PRESUPUESTO PENMTB 2019 2021'!E144</f>
        <v>31260</v>
      </c>
      <c r="D6" s="17">
        <f>+'PRESUPUESTO PENMTB 2019 2021'!F144</f>
        <v>34860</v>
      </c>
      <c r="E6" s="17">
        <f>+'PRESUPUESTO PENMTB 2019 2021'!G144</f>
        <v>34860</v>
      </c>
      <c r="F6" s="17">
        <f t="shared" si="0"/>
        <v>100980</v>
      </c>
      <c r="G6" s="18">
        <f t="shared" si="1"/>
        <v>0.023800651499881444</v>
      </c>
    </row>
    <row r="7" spans="2:8" ht="14.25">
      <c r="B7" s="16" t="s">
        <v>332</v>
      </c>
      <c r="C7" s="17">
        <f>+'PRESUPUESTO PENMTB 2019 2021'!E145</f>
        <v>47898.19</v>
      </c>
      <c r="D7" s="17">
        <f>+'PRESUPUESTO PENMTB 2019 2021'!F145</f>
        <v>47898.19</v>
      </c>
      <c r="E7" s="17">
        <f>+'PRESUPUESTO PENMTB 2019 2021'!G145</f>
        <v>47898.19</v>
      </c>
      <c r="F7" s="17">
        <f t="shared" si="0"/>
        <v>143694.57</v>
      </c>
      <c r="G7" s="37">
        <f t="shared" si="1"/>
        <v>0.033868334155231924</v>
      </c>
      <c r="H7" s="38"/>
    </row>
    <row r="8" spans="2:7" ht="14.25">
      <c r="B8" s="16" t="s">
        <v>281</v>
      </c>
      <c r="C8" s="17">
        <f>+'PRESUPUESTO PENMTB 2019 2021'!E146</f>
        <v>68666.12</v>
      </c>
      <c r="D8" s="17">
        <f>+'PRESUPUESTO PENMTB 2019 2021'!F146</f>
        <v>6480</v>
      </c>
      <c r="E8" s="17">
        <f>+'PRESUPUESTO PENMTB 2019 2021'!G146</f>
        <v>30480</v>
      </c>
      <c r="F8" s="17">
        <f t="shared" si="0"/>
        <v>105626.12</v>
      </c>
      <c r="G8" s="18">
        <f t="shared" si="1"/>
        <v>0.02489572659343095</v>
      </c>
    </row>
    <row r="9" spans="2:7" ht="14.25">
      <c r="B9" s="16" t="s">
        <v>291</v>
      </c>
      <c r="C9" s="17">
        <f>+'PRESUPUESTO PENMTB 2019 2021'!E148</f>
        <v>3360</v>
      </c>
      <c r="D9" s="17">
        <f>+'PRESUPUESTO PENMTB 2019 2021'!F148</f>
        <v>18360</v>
      </c>
      <c r="E9" s="17">
        <f>+'PRESUPUESTO PENMTB 2019 2021'!G148</f>
        <v>3360</v>
      </c>
      <c r="F9" s="17">
        <f t="shared" si="0"/>
        <v>25080</v>
      </c>
      <c r="G9" s="18">
        <f t="shared" si="1"/>
        <v>0.005911272921539183</v>
      </c>
    </row>
    <row r="10" spans="2:9" ht="14.25">
      <c r="B10" s="16" t="s">
        <v>309</v>
      </c>
      <c r="C10" s="17">
        <f>+'PRESUPUESTO PENMTB 2019 2021'!E149</f>
        <v>190340</v>
      </c>
      <c r="D10" s="17">
        <f>+'PRESUPUESTO PENMTB 2019 2021'!F149</f>
        <v>92840</v>
      </c>
      <c r="E10" s="17">
        <f>+'PRESUPUESTO PENMTB 2019 2021'!G149</f>
        <v>42840</v>
      </c>
      <c r="F10" s="17">
        <f t="shared" si="0"/>
        <v>326020</v>
      </c>
      <c r="G10" s="18">
        <f t="shared" si="1"/>
        <v>0.07684183404626015</v>
      </c>
      <c r="I10" s="36"/>
    </row>
    <row r="11" spans="2:7" ht="14.25">
      <c r="B11" s="16" t="s">
        <v>197</v>
      </c>
      <c r="C11" s="17">
        <f>+'PRESUPUESTO PENMTB 2019 2021'!E150</f>
        <v>281900</v>
      </c>
      <c r="D11" s="17">
        <f>+'PRESUPUESTO PENMTB 2019 2021'!F150</f>
        <v>427900</v>
      </c>
      <c r="E11" s="17">
        <f>+'PRESUPUESTO PENMTB 2019 2021'!G150</f>
        <v>268700</v>
      </c>
      <c r="F11" s="17">
        <f t="shared" si="0"/>
        <v>978500</v>
      </c>
      <c r="G11" s="18">
        <f t="shared" si="1"/>
        <v>0.23062920868126358</v>
      </c>
    </row>
    <row r="12" spans="2:7" ht="14.25">
      <c r="B12" s="16" t="s">
        <v>325</v>
      </c>
      <c r="C12" s="17">
        <f>+'PRESUPUESTO PENMTB 2019 2021'!E151</f>
        <v>115262.44</v>
      </c>
      <c r="D12" s="17">
        <f>+'PRESUPUESTO PENMTB 2019 2021'!F151</f>
        <v>68913.04</v>
      </c>
      <c r="E12" s="17">
        <f>+'PRESUPUESTO PENMTB 2019 2021'!G151</f>
        <v>68695.98000000001</v>
      </c>
      <c r="F12" s="17">
        <f t="shared" si="0"/>
        <v>252871.46</v>
      </c>
      <c r="G12" s="18">
        <f t="shared" si="1"/>
        <v>0.05960096547560122</v>
      </c>
    </row>
    <row r="13" spans="2:7" ht="14.25">
      <c r="B13" s="16" t="s">
        <v>457</v>
      </c>
      <c r="C13" s="17">
        <f>+'PRESUPUESTO PENMTB 2019 2021'!E152</f>
        <v>103900.08</v>
      </c>
      <c r="D13" s="17">
        <f>+'PRESUPUESTO PENMTB 2019 2021'!F152</f>
        <v>103900.08</v>
      </c>
      <c r="E13" s="17">
        <f>+'PRESUPUESTO PENMTB 2019 2021'!G152</f>
        <v>103900.08</v>
      </c>
      <c r="F13" s="17">
        <f t="shared" si="0"/>
        <v>311700.24</v>
      </c>
      <c r="G13" s="18">
        <f t="shared" si="1"/>
        <v>0.07346671404901373</v>
      </c>
    </row>
    <row r="14" spans="2:7" ht="14.25">
      <c r="B14" s="16" t="s">
        <v>446</v>
      </c>
      <c r="C14" s="17">
        <f>+'PRESUPUESTO PENMTB 2019 2021'!E153</f>
        <v>19500</v>
      </c>
      <c r="D14" s="17">
        <f>+'PRESUPUESTO PENMTB 2019 2021'!F153</f>
        <v>19500</v>
      </c>
      <c r="E14" s="17">
        <f>+'PRESUPUESTO PENMTB 2019 2021'!G153</f>
        <v>19500</v>
      </c>
      <c r="F14" s="17">
        <f>+SUM(C14:E14)</f>
        <v>58500</v>
      </c>
      <c r="G14" s="18">
        <f>+F14/F18</f>
        <v>0.01378825621650886</v>
      </c>
    </row>
    <row r="15" spans="2:7" ht="14.25">
      <c r="B15" s="16" t="s">
        <v>330</v>
      </c>
      <c r="C15" s="17">
        <f>+'PRESUPUESTO PENMTB 2019 2021'!E154</f>
        <v>61650</v>
      </c>
      <c r="D15" s="17">
        <f>+'PRESUPUESTO PENMTB 2019 2021'!F154</f>
        <v>14136</v>
      </c>
      <c r="E15" s="17">
        <f>+'PRESUPUESTO PENMTB 2019 2021'!G154</f>
        <v>91351</v>
      </c>
      <c r="F15" s="17">
        <f t="shared" si="0"/>
        <v>167137</v>
      </c>
      <c r="G15" s="18">
        <f>+F15/$F$18</f>
        <v>0.039393637252284466</v>
      </c>
    </row>
    <row r="16" spans="2:7" ht="14.25">
      <c r="B16" s="16" t="s">
        <v>565</v>
      </c>
      <c r="C16" s="17">
        <f>+'PRESUPUESTO PENMTB 2019 2021'!E155</f>
        <v>18700</v>
      </c>
      <c r="D16" s="17">
        <f>+'PRESUPUESTO PENMTB 2019 2021'!F155</f>
        <v>18700</v>
      </c>
      <c r="E16" s="17">
        <f>+'PRESUPUESTO PENMTB 2019 2021'!G155</f>
        <v>18700</v>
      </c>
      <c r="F16" s="17">
        <f t="shared" si="0"/>
        <v>56100</v>
      </c>
      <c r="G16" s="18">
        <f>+F16/F18</f>
        <v>0.013222584166600803</v>
      </c>
    </row>
    <row r="17" spans="2:7" ht="14.25">
      <c r="B17" s="16" t="s">
        <v>45</v>
      </c>
      <c r="C17" s="17">
        <f>+'PRESUPUESTO PENMTB 2019 2021'!E156</f>
        <v>307395.24460000003</v>
      </c>
      <c r="D17" s="17">
        <f>+'PRESUPUESTO PENMTB 2019 2021'!F156</f>
        <v>168196.085525</v>
      </c>
      <c r="E17" s="17">
        <f>+'PRESUPUESTO PENMTB 2019 2021'!G156</f>
        <v>138176.282175</v>
      </c>
      <c r="F17" s="17">
        <f t="shared" si="0"/>
        <v>613767.6123</v>
      </c>
      <c r="G17" s="18">
        <f>+F17/$F$18</f>
        <v>0.14466299309038078</v>
      </c>
    </row>
    <row r="18" spans="2:7" ht="14.25">
      <c r="B18" s="19" t="s">
        <v>111</v>
      </c>
      <c r="C18" s="20">
        <f>+SUM(C4:C17)</f>
        <v>1848040.0746000002</v>
      </c>
      <c r="D18" s="20">
        <f>+SUM(D4:D17)</f>
        <v>1389271.395525</v>
      </c>
      <c r="E18" s="20">
        <f>+SUM(E4:E17)</f>
        <v>1005429.5321749998</v>
      </c>
      <c r="F18" s="20">
        <f t="shared" si="0"/>
        <v>4242741.0023</v>
      </c>
      <c r="G18" s="21">
        <f>+SUM(G4:G17)</f>
        <v>1</v>
      </c>
    </row>
    <row r="19" spans="2:7" ht="14.25" hidden="1">
      <c r="B19" s="22" t="s">
        <v>156</v>
      </c>
      <c r="C19" s="22"/>
      <c r="D19" s="23"/>
      <c r="E19" s="23"/>
      <c r="F19" s="24"/>
      <c r="G19" s="22"/>
    </row>
    <row r="20" spans="2:9" ht="14.25" hidden="1">
      <c r="B20" s="22" t="s">
        <v>146</v>
      </c>
      <c r="C20" s="25">
        <f>+F20*C21</f>
        <v>1866806.04</v>
      </c>
      <c r="D20" s="23">
        <f>+F20*D21</f>
        <v>1315249.71</v>
      </c>
      <c r="E20" s="23">
        <f>+F20*E21</f>
        <v>1060685.25</v>
      </c>
      <c r="F20" s="23">
        <v>4242741</v>
      </c>
      <c r="G20" s="22">
        <f>+F15/F20</f>
        <v>0.03939363727363985</v>
      </c>
      <c r="I20" s="36">
        <f>+F20-F18</f>
        <v>-0.0022999998182058334</v>
      </c>
    </row>
    <row r="21" spans="2:7" ht="14.25" hidden="1">
      <c r="B21" s="26"/>
      <c r="C21" s="27">
        <v>0.44</v>
      </c>
      <c r="D21" s="27">
        <v>0.31</v>
      </c>
      <c r="E21" s="27">
        <v>0.25</v>
      </c>
      <c r="F21" s="28"/>
      <c r="G21" s="29"/>
    </row>
    <row r="22" spans="2:7" ht="14.25" hidden="1">
      <c r="B22" s="26"/>
      <c r="C22" s="28">
        <f>+C18-C20</f>
        <v>-18765.96539999987</v>
      </c>
      <c r="D22" s="28">
        <f>+D18-D20</f>
        <v>74021.6855250001</v>
      </c>
      <c r="E22" s="28">
        <f>+E18-E20</f>
        <v>-55255.717825000174</v>
      </c>
      <c r="F22" s="28">
        <f>+F18-F20</f>
        <v>0.0022999998182058334</v>
      </c>
      <c r="G22" s="29"/>
    </row>
    <row r="23" spans="2:7" ht="14.25" hidden="1">
      <c r="B23" s="26" t="s">
        <v>147</v>
      </c>
      <c r="C23" s="28"/>
      <c r="D23" s="28"/>
      <c r="E23" s="28"/>
      <c r="F23" s="28"/>
      <c r="G23" s="29"/>
    </row>
    <row r="24" spans="2:8" ht="14.25" hidden="1">
      <c r="B24" s="26"/>
      <c r="C24" s="28"/>
      <c r="D24" s="28"/>
      <c r="E24" s="28"/>
      <c r="F24" s="28">
        <f>+F20*7%</f>
        <v>296991.87000000005</v>
      </c>
      <c r="G24" s="29">
        <f>+F24/F20</f>
        <v>0.07</v>
      </c>
      <c r="H24" s="12" t="s">
        <v>148</v>
      </c>
    </row>
    <row r="25" spans="2:7" ht="14.25" hidden="1">
      <c r="B25" s="26"/>
      <c r="C25" s="28">
        <f>+C18*7%</f>
        <v>129362.80522200002</v>
      </c>
      <c r="D25" s="28">
        <f>+D18*7%</f>
        <v>97248.99768675001</v>
      </c>
      <c r="E25" s="28">
        <f>+E18*7%</f>
        <v>70380.06725225</v>
      </c>
      <c r="F25" s="28">
        <f>+F22+F24</f>
        <v>296991.8722999999</v>
      </c>
      <c r="G25" s="29" t="s">
        <v>149</v>
      </c>
    </row>
    <row r="26" spans="2:7" ht="14.25" hidden="1">
      <c r="B26" s="26"/>
      <c r="C26" s="28">
        <f>+C18+C25</f>
        <v>1977402.8798220002</v>
      </c>
      <c r="D26" s="28">
        <f>+D18+D25</f>
        <v>1486520.39321175</v>
      </c>
      <c r="E26" s="28">
        <f>+E18+E25</f>
        <v>1075809.5994272497</v>
      </c>
      <c r="F26" s="28">
        <f>+C26+D26+E26</f>
        <v>4539732.872461</v>
      </c>
      <c r="G26" s="29"/>
    </row>
    <row r="27" spans="2:7" ht="14.25" hidden="1">
      <c r="B27" s="26"/>
      <c r="C27" s="28"/>
      <c r="D27" s="28"/>
      <c r="E27" s="28"/>
      <c r="F27" s="28"/>
      <c r="G27" s="29"/>
    </row>
    <row r="28" spans="2:7" ht="14.25" hidden="1">
      <c r="B28" s="26"/>
      <c r="C28" s="28">
        <v>1437366.11</v>
      </c>
      <c r="D28" s="28">
        <v>1247569.28</v>
      </c>
      <c r="E28" s="28">
        <v>1235762.22</v>
      </c>
      <c r="F28" s="28">
        <v>3920697.61</v>
      </c>
      <c r="G28" s="29"/>
    </row>
    <row r="29" spans="2:7" ht="14.25" hidden="1">
      <c r="B29" s="26"/>
      <c r="C29" s="28">
        <f>+C18-C28</f>
        <v>410673.96460000006</v>
      </c>
      <c r="D29" s="28"/>
      <c r="E29" s="28"/>
      <c r="F29" s="28"/>
      <c r="G29" s="29"/>
    </row>
    <row r="30" spans="2:7" ht="14.25" hidden="1">
      <c r="B30" s="26"/>
      <c r="C30" s="28"/>
      <c r="D30" s="28"/>
      <c r="E30" s="28"/>
      <c r="F30" s="28"/>
      <c r="G30" s="29"/>
    </row>
    <row r="31" spans="2:7" ht="14.25" hidden="1">
      <c r="B31" s="26"/>
      <c r="C31" s="28">
        <v>1533366</v>
      </c>
      <c r="D31" s="28"/>
      <c r="E31" s="28"/>
      <c r="F31" s="28"/>
      <c r="G31" s="29"/>
    </row>
    <row r="32" spans="2:7" ht="14.25" hidden="1">
      <c r="B32" s="26"/>
      <c r="C32" s="28">
        <f>+C28-C31</f>
        <v>-95999.8899999999</v>
      </c>
      <c r="D32" s="28"/>
      <c r="E32" s="28"/>
      <c r="F32" s="28">
        <f>+F18-F20</f>
        <v>0.0022999998182058334</v>
      </c>
      <c r="G32" s="29"/>
    </row>
    <row r="33" spans="2:7" ht="14.25">
      <c r="B33" s="26"/>
      <c r="C33" s="28"/>
      <c r="D33" s="28"/>
      <c r="E33" s="28"/>
      <c r="F33" s="28"/>
      <c r="G33" s="29"/>
    </row>
    <row r="34" spans="2:7" ht="14.25">
      <c r="B34" s="26"/>
      <c r="C34" s="28"/>
      <c r="D34" s="28"/>
      <c r="E34" s="28"/>
      <c r="F34" s="28"/>
      <c r="G34" s="29"/>
    </row>
    <row r="35" spans="2:7" ht="14.25">
      <c r="B35" s="26"/>
      <c r="C35" s="28"/>
      <c r="D35" s="28"/>
      <c r="E35" s="28"/>
      <c r="F35" s="28"/>
      <c r="G35" s="29"/>
    </row>
    <row r="39" ht="14.25" hidden="1"/>
    <row r="40" spans="2:6" ht="14.25" hidden="1">
      <c r="B40" s="30"/>
      <c r="C40" s="30">
        <v>2017</v>
      </c>
      <c r="D40" s="30">
        <v>2018</v>
      </c>
      <c r="E40" s="30">
        <v>2019</v>
      </c>
      <c r="F40" s="30" t="s">
        <v>111</v>
      </c>
    </row>
    <row r="41" spans="2:6" ht="39" hidden="1">
      <c r="B41" s="31" t="s">
        <v>400</v>
      </c>
      <c r="C41" s="32">
        <f>+'PRESUPUESTO PENMTB 2019 2021'!D166</f>
        <v>98124</v>
      </c>
      <c r="D41" s="32">
        <f>+'PRESUPUESTO PENMTB 2019 2021'!E166</f>
        <v>74124</v>
      </c>
      <c r="E41" s="32">
        <f>+'PRESUPUESTO PENMTB 2019 2021'!F166</f>
        <v>98124</v>
      </c>
      <c r="F41" s="32">
        <f>+SUM(C41:E41)</f>
        <v>270372</v>
      </c>
    </row>
    <row r="42" ht="14.25" hidden="1"/>
    <row r="43" ht="14.25" hidden="1"/>
    <row r="44" ht="14.25" hidden="1"/>
    <row r="45" spans="4:6" ht="14.25" hidden="1">
      <c r="D45" s="30"/>
      <c r="E45" s="30">
        <v>2019</v>
      </c>
      <c r="F45" s="30" t="s">
        <v>111</v>
      </c>
    </row>
    <row r="46" spans="4:7" ht="14.25" hidden="1">
      <c r="D46" s="31" t="s">
        <v>400</v>
      </c>
      <c r="E46" s="32">
        <f>+E41</f>
        <v>98124</v>
      </c>
      <c r="F46" s="32" t="e">
        <f>+E46+#REF!+#REF!</f>
        <v>#REF!</v>
      </c>
      <c r="G46" s="33" t="e">
        <f>+F46/#REF!</f>
        <v>#REF!</v>
      </c>
    </row>
    <row r="47" ht="14.25" hidden="1"/>
    <row r="51" spans="2:7" ht="14.25">
      <c r="B51" s="43"/>
      <c r="C51" s="43"/>
      <c r="D51" s="43"/>
      <c r="E51" s="43"/>
      <c r="F51" s="43"/>
      <c r="G51" s="43"/>
    </row>
    <row r="52" spans="2:7" ht="14.25" customHeight="1">
      <c r="B52" s="97"/>
      <c r="C52" s="97"/>
      <c r="D52" s="97"/>
      <c r="E52" s="97"/>
      <c r="F52" s="97"/>
      <c r="G52" s="97"/>
    </row>
    <row r="53" spans="2:7" ht="14.25">
      <c r="B53" s="44"/>
      <c r="C53" s="44"/>
      <c r="D53" s="44"/>
      <c r="E53" s="44"/>
      <c r="F53" s="44"/>
      <c r="G53" s="44"/>
    </row>
    <row r="54" spans="2:7" ht="14.25">
      <c r="B54" s="45"/>
      <c r="C54" s="46"/>
      <c r="D54" s="46"/>
      <c r="E54" s="46"/>
      <c r="F54" s="46"/>
      <c r="G54" s="46"/>
    </row>
    <row r="55" spans="2:7" ht="14.25">
      <c r="B55" s="45"/>
      <c r="C55" s="47"/>
      <c r="D55" s="47"/>
      <c r="E55" s="47"/>
      <c r="F55" s="47"/>
      <c r="G55" s="48"/>
    </row>
    <row r="56" spans="2:7" ht="14.25">
      <c r="B56" s="45"/>
      <c r="C56" s="47"/>
      <c r="D56" s="47"/>
      <c r="E56" s="47"/>
      <c r="F56" s="47"/>
      <c r="G56" s="48"/>
    </row>
    <row r="57" spans="2:7" ht="14.25">
      <c r="B57" s="45"/>
      <c r="C57" s="47"/>
      <c r="D57" s="47"/>
      <c r="E57" s="47"/>
      <c r="F57" s="47"/>
      <c r="G57" s="48"/>
    </row>
    <row r="58" spans="2:7" ht="14.25">
      <c r="B58" s="45"/>
      <c r="C58" s="47"/>
      <c r="D58" s="47"/>
      <c r="E58" s="47"/>
      <c r="F58" s="47"/>
      <c r="G58" s="48"/>
    </row>
    <row r="59" spans="2:7" ht="14.25">
      <c r="B59" s="45"/>
      <c r="C59" s="47"/>
      <c r="D59" s="47"/>
      <c r="E59" s="47"/>
      <c r="F59" s="47"/>
      <c r="G59" s="48"/>
    </row>
    <row r="60" spans="2:7" ht="14.25">
      <c r="B60" s="45"/>
      <c r="C60" s="47"/>
      <c r="D60" s="47"/>
      <c r="E60" s="47"/>
      <c r="F60" s="47"/>
      <c r="G60" s="48"/>
    </row>
    <row r="61" spans="2:7" ht="14.25">
      <c r="B61" s="45"/>
      <c r="C61" s="47"/>
      <c r="D61" s="47"/>
      <c r="E61" s="47"/>
      <c r="F61" s="47"/>
      <c r="G61" s="48"/>
    </row>
    <row r="62" spans="2:7" ht="14.25">
      <c r="B62" s="45"/>
      <c r="C62" s="47"/>
      <c r="D62" s="47"/>
      <c r="E62" s="47"/>
      <c r="F62" s="47"/>
      <c r="G62" s="48"/>
    </row>
    <row r="63" spans="2:7" ht="14.25">
      <c r="B63" s="45"/>
      <c r="C63" s="47"/>
      <c r="D63" s="47"/>
      <c r="E63" s="47"/>
      <c r="F63" s="47"/>
      <c r="G63" s="48"/>
    </row>
    <row r="64" spans="2:7" ht="14.25">
      <c r="B64" s="45"/>
      <c r="C64" s="47"/>
      <c r="D64" s="47"/>
      <c r="E64" s="47"/>
      <c r="F64" s="47"/>
      <c r="G64" s="48"/>
    </row>
    <row r="65" spans="2:7" ht="14.25">
      <c r="B65" s="43"/>
      <c r="C65" s="43"/>
      <c r="D65" s="43"/>
      <c r="E65" s="43"/>
      <c r="F65" s="43"/>
      <c r="G65" s="43"/>
    </row>
    <row r="66" spans="2:7" ht="14.25">
      <c r="B66" s="43"/>
      <c r="C66" s="43"/>
      <c r="D66" s="43"/>
      <c r="E66" s="43"/>
      <c r="F66" s="43"/>
      <c r="G66" s="43"/>
    </row>
    <row r="67" spans="2:7" ht="14.25" customHeight="1">
      <c r="B67" s="97"/>
      <c r="C67" s="97"/>
      <c r="D67" s="97"/>
      <c r="E67" s="97"/>
      <c r="F67" s="34"/>
      <c r="G67" s="34"/>
    </row>
    <row r="68" spans="2:7" ht="14.25">
      <c r="B68" s="43"/>
      <c r="C68" s="44"/>
      <c r="D68" s="44"/>
      <c r="E68" s="44"/>
      <c r="F68" s="43"/>
      <c r="G68" s="43"/>
    </row>
    <row r="69" spans="2:7" ht="14.25">
      <c r="B69" s="43"/>
      <c r="C69" s="46"/>
      <c r="D69" s="46"/>
      <c r="E69" s="46"/>
      <c r="F69" s="43"/>
      <c r="G69" s="43"/>
    </row>
    <row r="70" spans="2:7" ht="14.25">
      <c r="B70" s="45"/>
      <c r="C70" s="47"/>
      <c r="D70" s="47"/>
      <c r="E70" s="47"/>
      <c r="F70" s="43"/>
      <c r="G70" s="43"/>
    </row>
    <row r="71" spans="2:7" ht="14.25">
      <c r="B71" s="45"/>
      <c r="C71" s="47"/>
      <c r="D71" s="47"/>
      <c r="E71" s="47"/>
      <c r="F71" s="43"/>
      <c r="G71" s="43"/>
    </row>
    <row r="72" spans="2:7" ht="14.25">
      <c r="B72" s="45"/>
      <c r="C72" s="47"/>
      <c r="D72" s="47"/>
      <c r="E72" s="47"/>
      <c r="F72" s="43"/>
      <c r="G72" s="43"/>
    </row>
    <row r="73" spans="2:7" ht="14.25">
      <c r="B73" s="45"/>
      <c r="C73" s="47"/>
      <c r="D73" s="47"/>
      <c r="E73" s="47"/>
      <c r="F73" s="43"/>
      <c r="G73" s="43"/>
    </row>
    <row r="74" spans="2:7" ht="14.25">
      <c r="B74" s="45"/>
      <c r="C74" s="47"/>
      <c r="D74" s="47"/>
      <c r="E74" s="47"/>
      <c r="F74" s="43"/>
      <c r="G74" s="43"/>
    </row>
    <row r="75" spans="2:7" ht="14.25">
      <c r="B75" s="45"/>
      <c r="C75" s="47"/>
      <c r="D75" s="47"/>
      <c r="E75" s="47"/>
      <c r="F75" s="43"/>
      <c r="G75" s="43"/>
    </row>
    <row r="76" spans="2:7" ht="14.25">
      <c r="B76" s="45"/>
      <c r="C76" s="47"/>
      <c r="D76" s="47"/>
      <c r="E76" s="47"/>
      <c r="F76" s="43"/>
      <c r="G76" s="43"/>
    </row>
    <row r="77" spans="2:7" ht="14.25">
      <c r="B77" s="45"/>
      <c r="C77" s="47"/>
      <c r="D77" s="47"/>
      <c r="E77" s="47"/>
      <c r="F77" s="43"/>
      <c r="G77" s="43"/>
    </row>
    <row r="78" spans="2:7" ht="14.25">
      <c r="B78" s="45"/>
      <c r="C78" s="47"/>
      <c r="D78" s="47"/>
      <c r="E78" s="47"/>
      <c r="F78" s="43"/>
      <c r="G78" s="43"/>
    </row>
    <row r="79" spans="2:7" ht="14.25">
      <c r="B79" s="45"/>
      <c r="C79" s="47"/>
      <c r="D79" s="47"/>
      <c r="E79" s="47"/>
      <c r="F79" s="43"/>
      <c r="G79" s="43"/>
    </row>
    <row r="80" spans="2:7" ht="14.25">
      <c r="B80" s="43"/>
      <c r="C80" s="43"/>
      <c r="D80" s="43"/>
      <c r="E80" s="43"/>
      <c r="F80" s="43"/>
      <c r="G80" s="43"/>
    </row>
    <row r="81" spans="2:7" ht="14.25">
      <c r="B81" s="43"/>
      <c r="C81" s="43"/>
      <c r="D81" s="43"/>
      <c r="E81" s="43"/>
      <c r="F81" s="43"/>
      <c r="G81" s="43"/>
    </row>
    <row r="82" spans="2:7" ht="14.25">
      <c r="B82" s="43"/>
      <c r="C82" s="43"/>
      <c r="D82" s="43"/>
      <c r="E82" s="43"/>
      <c r="F82" s="43"/>
      <c r="G82" s="43"/>
    </row>
    <row r="83" spans="2:7" ht="14.25">
      <c r="B83" s="43"/>
      <c r="C83" s="43"/>
      <c r="D83" s="43"/>
      <c r="E83" s="43"/>
      <c r="F83" s="43"/>
      <c r="G83" s="43"/>
    </row>
    <row r="84" spans="2:7" ht="14.25">
      <c r="B84" s="43"/>
      <c r="C84" s="43"/>
      <c r="D84" s="43"/>
      <c r="E84" s="43"/>
      <c r="F84" s="43"/>
      <c r="G84" s="43"/>
    </row>
    <row r="85" spans="2:7" ht="14.25">
      <c r="B85" s="43"/>
      <c r="C85" s="43"/>
      <c r="D85" s="43"/>
      <c r="E85" s="43"/>
      <c r="F85" s="43"/>
      <c r="G85" s="43"/>
    </row>
    <row r="86" spans="2:7" ht="14.25">
      <c r="B86" s="43"/>
      <c r="C86" s="43"/>
      <c r="D86" s="43"/>
      <c r="E86" s="43"/>
      <c r="F86" s="43"/>
      <c r="G86" s="43"/>
    </row>
    <row r="87" spans="2:7" ht="14.25">
      <c r="B87" s="43"/>
      <c r="C87" s="43"/>
      <c r="D87" s="43"/>
      <c r="E87" s="43"/>
      <c r="F87" s="43"/>
      <c r="G87" s="43"/>
    </row>
  </sheetData>
  <sheetProtection selectLockedCells="1" selectUnlockedCells="1"/>
  <mergeCells count="3">
    <mergeCell ref="B1:G1"/>
    <mergeCell ref="B52:G52"/>
    <mergeCell ref="B67:E67"/>
  </mergeCells>
  <printOptions horizontalCentered="1" verticalCentered="1"/>
  <pageMargins left="0.5513888888888889" right="0.5513888888888889" top="0.9840277777777777" bottom="0.9840277777777777" header="0.5118055555555555" footer="0.511805555555555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U44"/>
  <sheetViews>
    <sheetView zoomScale="80" zoomScaleNormal="80" zoomScalePageLayoutView="0" workbookViewId="0" topLeftCell="J1">
      <selection activeCell="R34" sqref="R34"/>
    </sheetView>
  </sheetViews>
  <sheetFormatPr defaultColWidth="11.421875" defaultRowHeight="15"/>
  <cols>
    <col min="1" max="1" width="34.28125" style="0" customWidth="1"/>
    <col min="2" max="2" width="16.28125" style="0" customWidth="1"/>
    <col min="3" max="3" width="16.7109375" style="0" customWidth="1"/>
    <col min="4" max="4" width="16.28125" style="0" customWidth="1"/>
    <col min="5" max="5" width="17.7109375" style="0" customWidth="1"/>
    <col min="6" max="6" width="13.7109375" style="0" customWidth="1"/>
    <col min="7" max="7" width="20.28125" style="0" customWidth="1"/>
    <col min="8" max="8" width="17.28125" style="0" customWidth="1"/>
    <col min="9" max="9" width="11.7109375" style="0" customWidth="1"/>
    <col min="10" max="10" width="26.28125" style="0" customWidth="1"/>
    <col min="11" max="11" width="18.57421875" style="0" customWidth="1"/>
    <col min="12" max="12" width="20.8515625" style="0" customWidth="1"/>
    <col min="13" max="13" width="26.28125" style="0" customWidth="1"/>
    <col min="14" max="14" width="23.8515625" style="0" customWidth="1"/>
    <col min="15" max="15" width="24.28125" style="0" customWidth="1"/>
    <col min="16" max="16" width="19.00390625" style="0" customWidth="1"/>
    <col min="17" max="17" width="16.28125" style="0" customWidth="1"/>
    <col min="18" max="18" width="18.28125" style="0" customWidth="1"/>
    <col min="19" max="19" width="16.421875" style="0" customWidth="1"/>
    <col min="20" max="20" width="15.421875" style="0" customWidth="1"/>
  </cols>
  <sheetData>
    <row r="1" spans="1:17" ht="15">
      <c r="A1" s="95" t="s">
        <v>643</v>
      </c>
      <c r="B1" s="95"/>
      <c r="C1" s="95"/>
      <c r="D1" s="95"/>
      <c r="E1" s="95"/>
      <c r="F1" s="95"/>
      <c r="J1" s="101" t="s">
        <v>681</v>
      </c>
      <c r="K1" s="101"/>
      <c r="L1" s="101"/>
      <c r="M1" s="101"/>
      <c r="N1" s="101"/>
      <c r="O1" s="101"/>
      <c r="P1" s="101"/>
      <c r="Q1" s="101"/>
    </row>
    <row r="3" spans="1:17" ht="14.25">
      <c r="A3" s="5" t="str">
        <f>+'PRESUPUESTO PENMTB 2019 2021'!U201</f>
        <v>FUENTE DE FINANCIAMIENTO</v>
      </c>
      <c r="B3" s="5">
        <v>2019</v>
      </c>
      <c r="C3" s="5">
        <v>2020</v>
      </c>
      <c r="D3" s="5">
        <v>2021</v>
      </c>
      <c r="E3" s="5" t="str">
        <f>+'PRESUPUESTO PENMTB 2019 2021'!AA201</f>
        <v>TOTALES</v>
      </c>
      <c r="F3" s="5" t="str">
        <f>+'PRESUPUESTO PENMTB 2019 2021'!AB201</f>
        <v>%</v>
      </c>
      <c r="J3" s="41" t="str">
        <f>+A3</f>
        <v>FUENTE DE FINANCIAMIENTO</v>
      </c>
      <c r="K3" s="41">
        <v>2017</v>
      </c>
      <c r="L3" s="41">
        <v>2018</v>
      </c>
      <c r="M3" s="41">
        <v>2019</v>
      </c>
      <c r="N3" s="41">
        <v>2020</v>
      </c>
      <c r="O3" s="41">
        <v>2021</v>
      </c>
      <c r="P3" s="41" t="s">
        <v>111</v>
      </c>
      <c r="Q3" s="41" t="s">
        <v>674</v>
      </c>
    </row>
    <row r="4" spans="1:17" ht="14.25">
      <c r="A4" s="5" t="str">
        <f>+'PRESUPUESTO PENMTB 2019 2021'!U184</f>
        <v>BRECHA FINANCIERA</v>
      </c>
      <c r="B4" s="55">
        <f>+'PRESUPUESTO PENMTB 2019 2021'!V184</f>
        <v>227800</v>
      </c>
      <c r="C4" s="55">
        <f>+'PRESUPUESTO PENMTB 2019 2021'!W184</f>
        <v>77800</v>
      </c>
      <c r="D4" s="55">
        <f>+'PRESUPUESTO PENMTB 2019 2021'!X184</f>
        <v>77800</v>
      </c>
      <c r="E4" s="7">
        <f aca="true" t="shared" si="0" ref="E4:E9">+SUM(B4:D4)</f>
        <v>383400</v>
      </c>
      <c r="F4" s="8">
        <f>+E4/E9</f>
        <v>0.010973191406874843</v>
      </c>
      <c r="G4" s="10"/>
      <c r="H4" s="35"/>
      <c r="J4" s="41" t="s">
        <v>156</v>
      </c>
      <c r="K4" s="42">
        <v>0</v>
      </c>
      <c r="L4" s="42">
        <v>0</v>
      </c>
      <c r="M4" s="42">
        <f aca="true" t="shared" si="1" ref="M4:O9">+B4</f>
        <v>227800</v>
      </c>
      <c r="N4" s="42">
        <f t="shared" si="1"/>
        <v>77800</v>
      </c>
      <c r="O4" s="42">
        <f t="shared" si="1"/>
        <v>77800</v>
      </c>
      <c r="P4" s="42">
        <f aca="true" t="shared" si="2" ref="P4:P9">+SUM(K4:O4)</f>
        <v>383400</v>
      </c>
      <c r="Q4" s="61">
        <f>+P4/P9</f>
        <v>0.006693860200890538</v>
      </c>
    </row>
    <row r="5" spans="1:17" ht="14.25">
      <c r="A5" s="5" t="str">
        <f>+'PRESUPUESTO PENMTB 2019 2021'!U185</f>
        <v>FONDO MUNDIAL</v>
      </c>
      <c r="B5" s="56">
        <f>+'PRESUPUESTO PENMTB 2019 2021'!V185</f>
        <v>1848040.0746000004</v>
      </c>
      <c r="C5" s="56">
        <f>+'PRESUPUESTO PENMTB 2019 2021'!W185</f>
        <v>1389271.395525</v>
      </c>
      <c r="D5" s="56">
        <f>+'PRESUPUESTO PENMTB 2019 2021'!X185</f>
        <v>1005429.532175</v>
      </c>
      <c r="E5" s="7">
        <f t="shared" si="0"/>
        <v>4242741.002300001</v>
      </c>
      <c r="F5" s="8">
        <f>+E5/E9</f>
        <v>0.12143038369335922</v>
      </c>
      <c r="G5" s="10"/>
      <c r="H5" s="35"/>
      <c r="J5" s="41" t="s">
        <v>397</v>
      </c>
      <c r="K5" s="42">
        <v>3053668.002279999</v>
      </c>
      <c r="L5" s="42">
        <v>2514184.00481</v>
      </c>
      <c r="M5" s="42">
        <f t="shared" si="1"/>
        <v>1848040.0746000004</v>
      </c>
      <c r="N5" s="42">
        <f t="shared" si="1"/>
        <v>1389271.395525</v>
      </c>
      <c r="O5" s="42">
        <f t="shared" si="1"/>
        <v>1005429.532175</v>
      </c>
      <c r="P5" s="42">
        <f t="shared" si="2"/>
        <v>9810593.00939</v>
      </c>
      <c r="Q5" s="61">
        <f>+P5/P9</f>
        <v>0.17128518021046077</v>
      </c>
    </row>
    <row r="6" spans="1:17" ht="14.25">
      <c r="A6" s="5" t="str">
        <f>+'PRESUPUESTO PENMTB 2019 2021'!U203</f>
        <v>MINSAL </v>
      </c>
      <c r="B6" s="7">
        <f>+'PRESUPUESTO PENMTB 2019 2021'!V203</f>
        <v>8127446.241519656</v>
      </c>
      <c r="C6" s="7">
        <f>+'PRESUPUESTO PENMTB 2019 2021'!W203</f>
        <v>8333378.800199171</v>
      </c>
      <c r="D6" s="7">
        <f>+'PRESUPUESTO PENMTB 2019 2021'!X203</f>
        <v>9137236.680219088</v>
      </c>
      <c r="E6" s="7">
        <f t="shared" si="0"/>
        <v>25598061.721937913</v>
      </c>
      <c r="F6" s="8">
        <f>+E6/E9</f>
        <v>0.7326354484085054</v>
      </c>
      <c r="G6" s="35"/>
      <c r="J6" s="41" t="s">
        <v>196</v>
      </c>
      <c r="K6" s="42">
        <v>6671999.665233556</v>
      </c>
      <c r="L6" s="42">
        <v>7248398.78555046</v>
      </c>
      <c r="M6" s="42">
        <f t="shared" si="1"/>
        <v>8127446.241519656</v>
      </c>
      <c r="N6" s="42">
        <f t="shared" si="1"/>
        <v>8333378.800199171</v>
      </c>
      <c r="O6" s="42">
        <f t="shared" si="1"/>
        <v>9137236.680219088</v>
      </c>
      <c r="P6" s="42">
        <f t="shared" si="2"/>
        <v>39518460.17272193</v>
      </c>
      <c r="Q6" s="61">
        <f>+P6/P9</f>
        <v>0.6899610009146091</v>
      </c>
    </row>
    <row r="7" spans="1:17" ht="14.25">
      <c r="A7" s="5" t="str">
        <f>+'PRESUPUESTO PENMTB 2019 2021'!U204</f>
        <v>ISSS </v>
      </c>
      <c r="B7" s="7">
        <f>+'PRESUPUESTO PENMTB 2019 2021'!V204</f>
        <v>1179345.239</v>
      </c>
      <c r="C7" s="7">
        <f>+'PRESUPUESTO PENMTB 2019 2021'!W204</f>
        <v>1230124.42</v>
      </c>
      <c r="D7" s="7">
        <f>+'PRESUPUESTO PENMTB 2019 2021'!X204</f>
        <v>1353136.8620000002</v>
      </c>
      <c r="E7" s="7">
        <f t="shared" si="0"/>
        <v>3762606.521</v>
      </c>
      <c r="F7" s="8">
        <f>+E7/E9</f>
        <v>0.10768857992615663</v>
      </c>
      <c r="G7" s="10"/>
      <c r="J7" s="41" t="s">
        <v>136</v>
      </c>
      <c r="K7" s="42">
        <v>1087663.012</v>
      </c>
      <c r="L7" s="42">
        <v>1131988.639</v>
      </c>
      <c r="M7" s="42">
        <f t="shared" si="1"/>
        <v>1179345.239</v>
      </c>
      <c r="N7" s="42">
        <f t="shared" si="1"/>
        <v>1230124.42</v>
      </c>
      <c r="O7" s="42">
        <f t="shared" si="1"/>
        <v>1353136.8620000002</v>
      </c>
      <c r="P7" s="42">
        <f t="shared" si="2"/>
        <v>5982258.172</v>
      </c>
      <c r="Q7" s="61">
        <f>+P7/P9</f>
        <v>0.1044454874517553</v>
      </c>
    </row>
    <row r="8" spans="1:17" ht="14.25">
      <c r="A8" s="5" t="str">
        <f>+'PRESUPUESTO PENMTB 2019 2021'!U205</f>
        <v>FOSALUD</v>
      </c>
      <c r="B8" s="7">
        <f>+'PRESUPUESTO PENMTB 2019 2021'!V205</f>
        <v>307383.64999999997</v>
      </c>
      <c r="C8" s="7">
        <f>+'PRESUPUESTO PENMTB 2019 2021'!W205</f>
        <v>307383.64999999997</v>
      </c>
      <c r="D8" s="7">
        <f>+'PRESUPUESTO PENMTB 2019 2021'!X205</f>
        <v>338122.015</v>
      </c>
      <c r="E8" s="7">
        <f t="shared" si="0"/>
        <v>952889.315</v>
      </c>
      <c r="F8" s="8">
        <f>+E8/E9</f>
        <v>0.02727239656510395</v>
      </c>
      <c r="J8" s="41" t="s">
        <v>463</v>
      </c>
      <c r="K8" s="42">
        <v>321383.64999999997</v>
      </c>
      <c r="L8" s="42">
        <v>307383.64999999997</v>
      </c>
      <c r="M8" s="42">
        <f t="shared" si="1"/>
        <v>307383.64999999997</v>
      </c>
      <c r="N8" s="42">
        <f t="shared" si="1"/>
        <v>307383.64999999997</v>
      </c>
      <c r="O8" s="42">
        <f t="shared" si="1"/>
        <v>338122.015</v>
      </c>
      <c r="P8" s="42">
        <f t="shared" si="2"/>
        <v>1581656.6149999998</v>
      </c>
      <c r="Q8" s="61">
        <f>+P8/P9</f>
        <v>0.02761447122228416</v>
      </c>
    </row>
    <row r="9" spans="1:17" ht="14.25">
      <c r="A9" s="5" t="str">
        <f>+'PRESUPUESTO PENMTB 2019 2021'!U206</f>
        <v>TOTALES</v>
      </c>
      <c r="B9" s="7">
        <f>+SUM(B4:B8)</f>
        <v>11690015.205119656</v>
      </c>
      <c r="C9" s="7">
        <f>+SUM(C4:C8)</f>
        <v>11337958.265724171</v>
      </c>
      <c r="D9" s="7">
        <f>+SUM(D4:D8)</f>
        <v>11911725.089394089</v>
      </c>
      <c r="E9" s="7">
        <f t="shared" si="0"/>
        <v>34939698.560237914</v>
      </c>
      <c r="F9" s="8">
        <f>+SUM(F4:F8)</f>
        <v>1</v>
      </c>
      <c r="J9" s="41" t="s">
        <v>133</v>
      </c>
      <c r="K9" s="42">
        <v>11134714.329513555</v>
      </c>
      <c r="L9" s="42">
        <v>11201955.07936046</v>
      </c>
      <c r="M9" s="42">
        <f t="shared" si="1"/>
        <v>11690015.205119656</v>
      </c>
      <c r="N9" s="42">
        <f t="shared" si="1"/>
        <v>11337958.265724171</v>
      </c>
      <c r="O9" s="42">
        <f t="shared" si="1"/>
        <v>11911725.089394089</v>
      </c>
      <c r="P9" s="42">
        <f t="shared" si="2"/>
        <v>57276367.969111934</v>
      </c>
      <c r="Q9" s="61">
        <f>+SUM(Q4:Q8)</f>
        <v>0.9999999999999998</v>
      </c>
    </row>
    <row r="10" spans="11:15" ht="14.25">
      <c r="K10" s="65"/>
      <c r="L10" s="65"/>
      <c r="M10" s="65"/>
      <c r="N10" s="65"/>
      <c r="O10" s="65"/>
    </row>
    <row r="11" spans="2:16" ht="14.25">
      <c r="B11" s="10"/>
      <c r="M11" s="65"/>
      <c r="N11" s="65"/>
      <c r="O11" s="65"/>
      <c r="P11" s="65"/>
    </row>
    <row r="13" spans="13:16" ht="23.25">
      <c r="M13" s="82"/>
      <c r="N13" s="82"/>
      <c r="O13" s="82"/>
      <c r="P13" s="83"/>
    </row>
    <row r="14" spans="13:16" ht="14.25">
      <c r="M14" s="84"/>
      <c r="N14" s="84"/>
      <c r="O14" s="84"/>
      <c r="P14" s="70"/>
    </row>
    <row r="23" spans="5:7" ht="14.25">
      <c r="E23" s="10"/>
      <c r="F23" s="10"/>
      <c r="G23" s="10"/>
    </row>
    <row r="24" spans="5:7" ht="14.25">
      <c r="E24" s="10"/>
      <c r="F24" s="10"/>
      <c r="G24" s="10"/>
    </row>
    <row r="25" spans="5:7" ht="14.25">
      <c r="E25" s="10"/>
      <c r="F25" s="10"/>
      <c r="G25" s="10"/>
    </row>
    <row r="26" spans="5:6" ht="14.25">
      <c r="E26" s="10"/>
      <c r="F26" s="10"/>
    </row>
    <row r="27" ht="14.25">
      <c r="G27" s="10"/>
    </row>
    <row r="37" spans="10:21" ht="72">
      <c r="J37" s="57"/>
      <c r="K37" s="57"/>
      <c r="L37" s="57"/>
      <c r="M37" s="57"/>
      <c r="N37" s="57"/>
      <c r="O37" s="57"/>
      <c r="Q37" s="52" t="s">
        <v>749</v>
      </c>
      <c r="R37" s="52" t="s">
        <v>748</v>
      </c>
      <c r="S37" s="73" t="s">
        <v>111</v>
      </c>
      <c r="T37" s="74" t="s">
        <v>746</v>
      </c>
      <c r="U37" s="74" t="s">
        <v>747</v>
      </c>
    </row>
    <row r="38" spans="10:21" ht="14.25">
      <c r="J38" s="57"/>
      <c r="K38" s="72"/>
      <c r="L38" s="72"/>
      <c r="M38" s="72"/>
      <c r="N38" s="72"/>
      <c r="O38" s="63"/>
      <c r="P38" s="72"/>
      <c r="Q38" s="102">
        <v>1972557.896</v>
      </c>
      <c r="R38" s="102">
        <v>23625503.825937912</v>
      </c>
      <c r="S38" s="102">
        <v>25598061.721937913</v>
      </c>
      <c r="T38" s="98">
        <f>+Q38/S38</f>
        <v>0.07705887724731475</v>
      </c>
      <c r="U38" s="98">
        <f>+R38/S38</f>
        <v>0.9229411227526851</v>
      </c>
    </row>
    <row r="39" spans="10:21" ht="14.25">
      <c r="J39" s="57"/>
      <c r="K39" s="72"/>
      <c r="L39" s="72"/>
      <c r="M39" s="72"/>
      <c r="N39" s="72"/>
      <c r="O39" s="63"/>
      <c r="P39" s="72"/>
      <c r="Q39" s="103"/>
      <c r="R39" s="103"/>
      <c r="S39" s="103"/>
      <c r="T39" s="99"/>
      <c r="U39" s="99"/>
    </row>
    <row r="40" spans="10:21" ht="14.25">
      <c r="J40" s="57"/>
      <c r="K40" s="72"/>
      <c r="L40" s="72"/>
      <c r="M40" s="72"/>
      <c r="N40" s="72"/>
      <c r="O40" s="63"/>
      <c r="P40" s="72"/>
      <c r="Q40" s="104"/>
      <c r="R40" s="104"/>
      <c r="S40" s="104"/>
      <c r="T40" s="100"/>
      <c r="U40" s="100"/>
    </row>
    <row r="41" spans="10:17" ht="14.25">
      <c r="J41" s="57"/>
      <c r="K41" s="72"/>
      <c r="L41" s="72"/>
      <c r="M41" s="72"/>
      <c r="N41" s="72"/>
      <c r="O41" s="63"/>
      <c r="P41" s="72"/>
      <c r="Q41" s="72"/>
    </row>
    <row r="42" spans="10:17" ht="14.25">
      <c r="J42" s="57"/>
      <c r="K42" s="72"/>
      <c r="L42" s="72"/>
      <c r="M42" s="72"/>
      <c r="N42" s="72"/>
      <c r="O42" s="63"/>
      <c r="P42" s="72"/>
      <c r="Q42" s="72"/>
    </row>
    <row r="43" spans="10:17" ht="14.25">
      <c r="J43" s="57"/>
      <c r="K43" s="72"/>
      <c r="L43" s="72"/>
      <c r="M43" s="72"/>
      <c r="N43" s="72"/>
      <c r="O43" s="63"/>
      <c r="P43" s="72"/>
      <c r="Q43" s="72"/>
    </row>
    <row r="44" spans="10:15" ht="14.25">
      <c r="J44" s="57"/>
      <c r="K44" s="57"/>
      <c r="L44" s="57"/>
      <c r="M44" s="57"/>
      <c r="N44" s="72"/>
      <c r="O44" s="57"/>
    </row>
  </sheetData>
  <sheetProtection selectLockedCells="1" selectUnlockedCells="1"/>
  <mergeCells count="7">
    <mergeCell ref="U38:U40"/>
    <mergeCell ref="A1:F1"/>
    <mergeCell ref="J1:Q1"/>
    <mergeCell ref="Q38:Q40"/>
    <mergeCell ref="R38:R40"/>
    <mergeCell ref="S38:S40"/>
    <mergeCell ref="T38:T40"/>
  </mergeCells>
  <printOptions/>
  <pageMargins left="0.7" right="0.7" top="0.75" bottom="0.75" header="0.5118055555555555" footer="0.511805555555555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dimension ref="A1:I16"/>
  <sheetViews>
    <sheetView zoomScale="70" zoomScaleNormal="70" zoomScalePageLayoutView="0" workbookViewId="0" topLeftCell="A1">
      <selection activeCell="I16" sqref="I16"/>
    </sheetView>
  </sheetViews>
  <sheetFormatPr defaultColWidth="11.421875" defaultRowHeight="15"/>
  <cols>
    <col min="1" max="1" width="47.7109375" style="0" customWidth="1"/>
    <col min="2" max="2" width="24.8515625" style="0" customWidth="1"/>
    <col min="3" max="4" width="16.7109375" style="0" customWidth="1"/>
    <col min="5" max="5" width="17.8515625" style="0" customWidth="1"/>
    <col min="7" max="7" width="15.57421875" style="0" customWidth="1"/>
    <col min="8" max="8" width="12.8515625" style="0" customWidth="1"/>
    <col min="9" max="9" width="14.8515625" style="0" customWidth="1"/>
  </cols>
  <sheetData>
    <row r="1" spans="1:6" ht="14.25">
      <c r="A1" s="94" t="s">
        <v>767</v>
      </c>
      <c r="B1" s="94"/>
      <c r="C1" s="94"/>
      <c r="D1" s="94"/>
      <c r="E1" s="94"/>
      <c r="F1" s="94"/>
    </row>
    <row r="4" spans="1:9" ht="57" customHeight="1">
      <c r="A4" s="81" t="s">
        <v>368</v>
      </c>
      <c r="B4" s="81" t="s">
        <v>752</v>
      </c>
      <c r="C4" s="81" t="s">
        <v>103</v>
      </c>
      <c r="D4" s="80" t="s">
        <v>763</v>
      </c>
      <c r="E4" s="81" t="s">
        <v>751</v>
      </c>
      <c r="F4" s="80" t="s">
        <v>760</v>
      </c>
      <c r="G4" s="80" t="s">
        <v>759</v>
      </c>
      <c r="H4" s="80" t="s">
        <v>762</v>
      </c>
      <c r="I4" s="80" t="s">
        <v>761</v>
      </c>
    </row>
    <row r="5" spans="1:9" ht="14.25">
      <c r="A5" s="41" t="str">
        <f>+LINEAESTRATEGICA!A4</f>
        <v>1: Detección precoz  de casos de tuberculosis </v>
      </c>
      <c r="B5" s="76">
        <f>+LINEAESTRATEGICA!E4</f>
        <v>2712207.315</v>
      </c>
      <c r="C5" s="76">
        <f>+LINEAESTRATEGICA!L4</f>
        <v>1175819.56</v>
      </c>
      <c r="D5" s="76"/>
      <c r="E5" s="76">
        <f>+LINEAESTRATEGICA!Z4</f>
        <v>1536387.7549999994</v>
      </c>
      <c r="F5" s="75">
        <f aca="true" t="shared" si="0" ref="F5:F14">+C5/B5</f>
        <v>0.4335286441774087</v>
      </c>
      <c r="G5" s="75"/>
      <c r="H5" s="61">
        <f>100%-F5</f>
        <v>0.5664713558225913</v>
      </c>
      <c r="I5" s="61">
        <f>+F5+H5</f>
        <v>1</v>
      </c>
    </row>
    <row r="6" spans="1:9" ht="14.25">
      <c r="A6" s="41" t="str">
        <f>+LINEAESTRATEGICA!A5</f>
        <v>2: Tratamiento de  casos TB de todas las formas</v>
      </c>
      <c r="B6" s="76">
        <f>+LINEAESTRATEGICA!E5</f>
        <v>11356346.155</v>
      </c>
      <c r="C6" s="76">
        <f>+LINEAESTRATEGICA!L5</f>
        <v>437952</v>
      </c>
      <c r="D6" s="76"/>
      <c r="E6" s="76">
        <f>+LINEAESTRATEGICA!Z5</f>
        <v>10918394.155</v>
      </c>
      <c r="F6" s="75">
        <f t="shared" si="0"/>
        <v>0.0385645166167445</v>
      </c>
      <c r="G6" s="75"/>
      <c r="H6" s="61">
        <f aca="true" t="shared" si="1" ref="H6:H14">100%-F6</f>
        <v>0.9614354833832555</v>
      </c>
      <c r="I6" s="61">
        <f aca="true" t="shared" si="2" ref="I6:I14">+F6+H6</f>
        <v>1</v>
      </c>
    </row>
    <row r="7" spans="1:9" ht="14.25">
      <c r="A7" s="41" t="str">
        <f>+LINEAESTRATEGICA!A6</f>
        <v>3: Detección de  casos TB/MDR </v>
      </c>
      <c r="B7" s="76">
        <f>+LINEAESTRATEGICA!E6</f>
        <v>1071606</v>
      </c>
      <c r="C7" s="76">
        <f>+LINEAESTRATEGICA!L6</f>
        <v>193500</v>
      </c>
      <c r="D7" s="76"/>
      <c r="E7" s="76">
        <f>+LINEAESTRATEGICA!Z6</f>
        <v>878106</v>
      </c>
      <c r="F7" s="75">
        <f t="shared" si="0"/>
        <v>0.18057009759183879</v>
      </c>
      <c r="G7" s="75"/>
      <c r="H7" s="61">
        <f t="shared" si="1"/>
        <v>0.8194299024081613</v>
      </c>
      <c r="I7" s="61">
        <f t="shared" si="2"/>
        <v>1</v>
      </c>
    </row>
    <row r="8" spans="1:9" ht="14.25">
      <c r="A8" s="41" t="str">
        <f>+LINEAESTRATEGICA!A7</f>
        <v>4:Tratamiento de casos TB/MDR</v>
      </c>
      <c r="B8" s="76">
        <f>+LINEAESTRATEGICA!E7</f>
        <v>51122.42</v>
      </c>
      <c r="C8" s="76">
        <f>+LINEAESTRATEGICA!L7</f>
        <v>38186.119999999995</v>
      </c>
      <c r="D8" s="76"/>
      <c r="E8" s="76">
        <f>+LINEAESTRATEGICA!Z7</f>
        <v>12936.3</v>
      </c>
      <c r="F8" s="75">
        <f t="shared" si="0"/>
        <v>0.7469544673354664</v>
      </c>
      <c r="G8" s="75"/>
      <c r="H8" s="61">
        <f t="shared" si="1"/>
        <v>0.25304553266453356</v>
      </c>
      <c r="I8" s="61">
        <f t="shared" si="2"/>
        <v>1</v>
      </c>
    </row>
    <row r="9" spans="1:9" ht="14.25">
      <c r="A9" s="41" t="str">
        <f>+LINEAESTRATEGICA!A8</f>
        <v>5:Disminución de la mortalidad por TB/HIV</v>
      </c>
      <c r="B9" s="76">
        <f>+LINEAESTRATEGICA!E8</f>
        <v>781679.2</v>
      </c>
      <c r="C9" s="76">
        <f>+LINEAESTRATEGICA!L8</f>
        <v>139440</v>
      </c>
      <c r="D9" s="76"/>
      <c r="E9" s="76">
        <f>+LINEAESTRATEGICA!Z8</f>
        <v>642239.2</v>
      </c>
      <c r="F9" s="75">
        <f t="shared" si="0"/>
        <v>0.1783851994526655</v>
      </c>
      <c r="G9" s="75"/>
      <c r="H9" s="61">
        <f t="shared" si="1"/>
        <v>0.8216148005473345</v>
      </c>
      <c r="I9" s="61">
        <f t="shared" si="2"/>
        <v>1</v>
      </c>
    </row>
    <row r="10" spans="1:9" ht="14.25">
      <c r="A10" s="41" t="str">
        <f>+LINEAESTRATEGICA!A9</f>
        <v>6: Atención integral a grupos de más alto riesgo </v>
      </c>
      <c r="B10" s="76">
        <f>+LINEAESTRATEGICA!E9</f>
        <v>10430126.7776</v>
      </c>
      <c r="C10" s="76">
        <f>+LINEAESTRATEGICA!L9</f>
        <v>1192434.5699999998</v>
      </c>
      <c r="D10" s="76">
        <f>+LINEAESTRATEGICA!S9</f>
        <v>308400</v>
      </c>
      <c r="E10" s="76">
        <f>+LINEAESTRATEGICA!Z9</f>
        <v>8929292.2076</v>
      </c>
      <c r="F10" s="75">
        <f t="shared" si="0"/>
        <v>0.11432599003119522</v>
      </c>
      <c r="G10" s="75">
        <f>+LINEAESTRATEGICA!AD9</f>
        <v>0.034538011841242146</v>
      </c>
      <c r="H10" s="61">
        <f>100%-F10-G10</f>
        <v>0.8511359981275626</v>
      </c>
      <c r="I10" s="61">
        <f>+F10+H10+G10</f>
        <v>1</v>
      </c>
    </row>
    <row r="11" spans="1:9" ht="14.25">
      <c r="A11" s="41" t="str">
        <f>+LINEAESTRATEGICA!A10</f>
        <v>7: Fortalecimiento al Sistema de Salud</v>
      </c>
      <c r="B11" s="76">
        <f>+LINEAESTRATEGICA!E10</f>
        <v>144200</v>
      </c>
      <c r="C11" s="76">
        <f>+LINEAESTRATEGICA!L10</f>
        <v>45000</v>
      </c>
      <c r="D11" s="76"/>
      <c r="E11" s="76">
        <f>+LINEAESTRATEGICA!Z10</f>
        <v>99200</v>
      </c>
      <c r="F11" s="75">
        <f t="shared" si="0"/>
        <v>0.3120665742024965</v>
      </c>
      <c r="G11" s="75"/>
      <c r="H11" s="61">
        <f t="shared" si="1"/>
        <v>0.6879334257975035</v>
      </c>
      <c r="I11" s="61">
        <f t="shared" si="2"/>
        <v>1</v>
      </c>
    </row>
    <row r="12" spans="1:9" ht="14.25">
      <c r="A12" s="41" t="str">
        <f>+LINEAESTRATEGICA!A11</f>
        <v>8-Sostenibilidad y Transicion</v>
      </c>
      <c r="B12" s="76">
        <f>+LINEAESTRATEGICA!E11</f>
        <v>1972557.896</v>
      </c>
      <c r="C12" s="76">
        <f>+LINEAESTRATEGICA!L11</f>
        <v>0</v>
      </c>
      <c r="D12" s="76"/>
      <c r="E12" s="76">
        <f>+LINEAESTRATEGICA!Z11</f>
        <v>1972557.896</v>
      </c>
      <c r="F12" s="75">
        <f t="shared" si="0"/>
        <v>0</v>
      </c>
      <c r="G12" s="75"/>
      <c r="H12" s="61">
        <f t="shared" si="1"/>
        <v>1</v>
      </c>
      <c r="I12" s="61">
        <f t="shared" si="2"/>
        <v>1</v>
      </c>
    </row>
    <row r="13" spans="1:9" ht="14.25">
      <c r="A13" s="41" t="str">
        <f>+LINEAESTRATEGICA!A12</f>
        <v>Monitoreo y Evaluación</v>
      </c>
      <c r="B13" s="76">
        <f>+LINEAESTRATEGICA!E12</f>
        <v>1539100.045</v>
      </c>
      <c r="C13" s="76">
        <f>+LINEAESTRATEGICA!L12</f>
        <v>523641.14</v>
      </c>
      <c r="D13" s="76">
        <f>+LINEAESTRATEGICA!S12</f>
        <v>75000</v>
      </c>
      <c r="E13" s="76">
        <f>+LINEAESTRATEGICA!Z12</f>
        <v>940458.9049999998</v>
      </c>
      <c r="F13" s="75">
        <f t="shared" si="0"/>
        <v>0.34022553745036116</v>
      </c>
      <c r="G13" s="75">
        <f>+LINEAESTRATEGICA!AD12</f>
        <v>0.048729775717731204</v>
      </c>
      <c r="H13" s="61">
        <f>100%-F13-G13</f>
        <v>0.6110446868319077</v>
      </c>
      <c r="I13" s="61">
        <f>+F13+G13+H13</f>
        <v>1</v>
      </c>
    </row>
    <row r="14" spans="1:9" ht="14.25">
      <c r="A14" s="41" t="str">
        <f>+LINEAESTRATEGICA!A13</f>
        <v>Planificación, coordinación y gerencia</v>
      </c>
      <c r="B14" s="76">
        <f>+LINEAESTRATEGICA!E13</f>
        <v>4880752.751637916</v>
      </c>
      <c r="C14" s="76">
        <f>+LINEAESTRATEGICA!L13</f>
        <v>496767.6123</v>
      </c>
      <c r="D14" s="76"/>
      <c r="E14" s="76">
        <f>+LINEAESTRATEGICA!Z13</f>
        <v>4383985.139337916</v>
      </c>
      <c r="F14" s="75">
        <f t="shared" si="0"/>
        <v>0.1017809419117351</v>
      </c>
      <c r="G14" s="75"/>
      <c r="H14" s="61">
        <f t="shared" si="1"/>
        <v>0.8982190580882649</v>
      </c>
      <c r="I14" s="61">
        <f t="shared" si="2"/>
        <v>1</v>
      </c>
    </row>
    <row r="15" spans="1:5" ht="14.25">
      <c r="A15" s="41" t="str">
        <f>+LINEAESTRATEGICA!A14</f>
        <v>TOTAL</v>
      </c>
      <c r="B15" s="76">
        <f>+SUM(B5:B14)</f>
        <v>34939698.560237914</v>
      </c>
      <c r="C15" s="76">
        <f>+SUM(C5:C14)</f>
        <v>4242741.0023</v>
      </c>
      <c r="D15" s="76">
        <f>+SUM(D5:D14)</f>
        <v>383400</v>
      </c>
      <c r="E15" s="76">
        <f>+SUM(E5:E14)</f>
        <v>30313557.557937916</v>
      </c>
    </row>
    <row r="16" spans="1:5" ht="14.25">
      <c r="A16" s="105" t="s">
        <v>768</v>
      </c>
      <c r="B16" s="106"/>
      <c r="C16" s="75">
        <f>+C15/B15</f>
        <v>0.12143038369335919</v>
      </c>
      <c r="D16" s="75">
        <f>+D15/B15</f>
        <v>0.010973191406874843</v>
      </c>
      <c r="E16" s="75">
        <f>+E15/B15</f>
        <v>0.867596424899766</v>
      </c>
    </row>
  </sheetData>
  <sheetProtection/>
  <mergeCells count="2">
    <mergeCell ref="A16:B16"/>
    <mergeCell ref="A1:F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16"/>
  <sheetViews>
    <sheetView zoomScale="70" zoomScaleNormal="70" zoomScalePageLayoutView="0" workbookViewId="0" topLeftCell="A1">
      <selection activeCell="L10" sqref="L10"/>
    </sheetView>
  </sheetViews>
  <sheetFormatPr defaultColWidth="11.421875" defaultRowHeight="15"/>
  <cols>
    <col min="1" max="1" width="47.7109375" style="0" customWidth="1"/>
    <col min="2" max="2" width="24.8515625" style="0" hidden="1" customWidth="1"/>
    <col min="3" max="4" width="16.7109375" style="0" customWidth="1"/>
    <col min="5" max="5" width="17.8515625" style="0" customWidth="1"/>
    <col min="7" max="7" width="15.57421875" style="0" customWidth="1"/>
    <col min="8" max="8" width="12.8515625" style="0" customWidth="1"/>
    <col min="9" max="9" width="14.8515625" style="0" customWidth="1"/>
  </cols>
  <sheetData>
    <row r="1" spans="1:6" ht="14.25">
      <c r="A1" s="94" t="s">
        <v>767</v>
      </c>
      <c r="B1" s="94"/>
      <c r="C1" s="94"/>
      <c r="D1" s="94"/>
      <c r="E1" s="94"/>
      <c r="F1" s="94"/>
    </row>
    <row r="4" spans="1:9" ht="57" customHeight="1">
      <c r="A4" s="81" t="s">
        <v>368</v>
      </c>
      <c r="B4" s="81" t="s">
        <v>752</v>
      </c>
      <c r="C4" s="81" t="s">
        <v>103</v>
      </c>
      <c r="D4" s="80" t="s">
        <v>763</v>
      </c>
      <c r="E4" s="81" t="s">
        <v>751</v>
      </c>
      <c r="F4" s="80" t="s">
        <v>760</v>
      </c>
      <c r="G4" s="80" t="s">
        <v>759</v>
      </c>
      <c r="H4" s="80" t="s">
        <v>762</v>
      </c>
      <c r="I4" s="80" t="s">
        <v>761</v>
      </c>
    </row>
    <row r="5" spans="1:9" ht="14.25">
      <c r="A5" s="41" t="str">
        <f>+LINEAESTRATEGICA!A4</f>
        <v>1: Detección precoz  de casos de tuberculosis </v>
      </c>
      <c r="B5" s="76">
        <f>+LINEAESTRATEGICA!E4</f>
        <v>2712207.315</v>
      </c>
      <c r="C5" s="76">
        <f>+LINEAESTRATEGICA!L4</f>
        <v>1175819.56</v>
      </c>
      <c r="D5" s="76"/>
      <c r="E5" s="76">
        <f>+LINEAESTRATEGICA!Z4</f>
        <v>1536387.7549999994</v>
      </c>
      <c r="F5" s="75">
        <f aca="true" t="shared" si="0" ref="F5:F14">+C5/B5</f>
        <v>0.4335286441774087</v>
      </c>
      <c r="G5" s="75"/>
      <c r="H5" s="61">
        <f>100%-F5</f>
        <v>0.5664713558225913</v>
      </c>
      <c r="I5" s="61">
        <f>+F5+H5</f>
        <v>1</v>
      </c>
    </row>
    <row r="6" spans="1:9" ht="14.25">
      <c r="A6" s="41" t="str">
        <f>+LINEAESTRATEGICA!A5</f>
        <v>2: Tratamiento de  casos TB de todas las formas</v>
      </c>
      <c r="B6" s="76">
        <f>+LINEAESTRATEGICA!E5</f>
        <v>11356346.155</v>
      </c>
      <c r="C6" s="76">
        <f>+LINEAESTRATEGICA!L5</f>
        <v>437952</v>
      </c>
      <c r="D6" s="76"/>
      <c r="E6" s="76">
        <f>+LINEAESTRATEGICA!Z5</f>
        <v>10918394.155</v>
      </c>
      <c r="F6" s="75">
        <f t="shared" si="0"/>
        <v>0.0385645166167445</v>
      </c>
      <c r="G6" s="75"/>
      <c r="H6" s="61">
        <f aca="true" t="shared" si="1" ref="H6:H14">100%-F6</f>
        <v>0.9614354833832555</v>
      </c>
      <c r="I6" s="61">
        <f aca="true" t="shared" si="2" ref="I6:I14">+F6+H6</f>
        <v>1</v>
      </c>
    </row>
    <row r="7" spans="1:9" ht="14.25">
      <c r="A7" s="41" t="str">
        <f>+LINEAESTRATEGICA!A6</f>
        <v>3: Detección de  casos TB/MDR </v>
      </c>
      <c r="B7" s="76">
        <f>+LINEAESTRATEGICA!E6</f>
        <v>1071606</v>
      </c>
      <c r="C7" s="76">
        <f>+LINEAESTRATEGICA!L6</f>
        <v>193500</v>
      </c>
      <c r="D7" s="76"/>
      <c r="E7" s="76">
        <f>+LINEAESTRATEGICA!Z6</f>
        <v>878106</v>
      </c>
      <c r="F7" s="75">
        <f t="shared" si="0"/>
        <v>0.18057009759183879</v>
      </c>
      <c r="G7" s="75"/>
      <c r="H7" s="61">
        <f t="shared" si="1"/>
        <v>0.8194299024081613</v>
      </c>
      <c r="I7" s="61">
        <f t="shared" si="2"/>
        <v>1</v>
      </c>
    </row>
    <row r="8" spans="1:9" ht="14.25">
      <c r="A8" s="41" t="str">
        <f>+LINEAESTRATEGICA!A7</f>
        <v>4:Tratamiento de casos TB/MDR</v>
      </c>
      <c r="B8" s="76">
        <f>+LINEAESTRATEGICA!E7</f>
        <v>51122.42</v>
      </c>
      <c r="C8" s="76">
        <f>+LINEAESTRATEGICA!L7</f>
        <v>38186.119999999995</v>
      </c>
      <c r="D8" s="76"/>
      <c r="E8" s="76">
        <f>+LINEAESTRATEGICA!Z7</f>
        <v>12936.3</v>
      </c>
      <c r="F8" s="75">
        <f t="shared" si="0"/>
        <v>0.7469544673354664</v>
      </c>
      <c r="G8" s="75"/>
      <c r="H8" s="61">
        <f t="shared" si="1"/>
        <v>0.25304553266453356</v>
      </c>
      <c r="I8" s="61">
        <f t="shared" si="2"/>
        <v>1</v>
      </c>
    </row>
    <row r="9" spans="1:9" ht="14.25">
      <c r="A9" s="41" t="str">
        <f>+LINEAESTRATEGICA!A8</f>
        <v>5:Disminución de la mortalidad por TB/HIV</v>
      </c>
      <c r="B9" s="76">
        <f>+LINEAESTRATEGICA!E8</f>
        <v>781679.2</v>
      </c>
      <c r="C9" s="76">
        <f>+LINEAESTRATEGICA!L8</f>
        <v>139440</v>
      </c>
      <c r="D9" s="76"/>
      <c r="E9" s="76">
        <f>+LINEAESTRATEGICA!Z8</f>
        <v>642239.2</v>
      </c>
      <c r="F9" s="75">
        <f t="shared" si="0"/>
        <v>0.1783851994526655</v>
      </c>
      <c r="G9" s="75"/>
      <c r="H9" s="61">
        <f t="shared" si="1"/>
        <v>0.8216148005473345</v>
      </c>
      <c r="I9" s="61">
        <f t="shared" si="2"/>
        <v>1</v>
      </c>
    </row>
    <row r="10" spans="1:9" ht="14.25">
      <c r="A10" s="41" t="str">
        <f>+LINEAESTRATEGICA!A9</f>
        <v>6: Atención integral a grupos de más alto riesgo </v>
      </c>
      <c r="B10" s="76">
        <f>+LINEAESTRATEGICA!E9</f>
        <v>10430126.7776</v>
      </c>
      <c r="C10" s="76">
        <f>+LINEAESTRATEGICA!L9</f>
        <v>1192434.5699999998</v>
      </c>
      <c r="D10" s="76">
        <f>+LINEAESTRATEGICA!S9</f>
        <v>308400</v>
      </c>
      <c r="E10" s="76">
        <f>+LINEAESTRATEGICA!Z9</f>
        <v>8929292.2076</v>
      </c>
      <c r="F10" s="75">
        <f t="shared" si="0"/>
        <v>0.11432599003119522</v>
      </c>
      <c r="G10" s="75">
        <f>+LINEAESTRATEGICA!AD9</f>
        <v>0.034538011841242146</v>
      </c>
      <c r="H10" s="61">
        <f>100%-F10-G10</f>
        <v>0.8511359981275626</v>
      </c>
      <c r="I10" s="61">
        <f>+F10+H10+G10</f>
        <v>1</v>
      </c>
    </row>
    <row r="11" spans="1:9" ht="14.25">
      <c r="A11" s="41" t="str">
        <f>+LINEAESTRATEGICA!A10</f>
        <v>7: Fortalecimiento al Sistema de Salud</v>
      </c>
      <c r="B11" s="76">
        <f>+LINEAESTRATEGICA!E10</f>
        <v>144200</v>
      </c>
      <c r="C11" s="76">
        <f>+LINEAESTRATEGICA!L10</f>
        <v>45000</v>
      </c>
      <c r="D11" s="76"/>
      <c r="E11" s="76">
        <f>+LINEAESTRATEGICA!Z10</f>
        <v>99200</v>
      </c>
      <c r="F11" s="75">
        <f t="shared" si="0"/>
        <v>0.3120665742024965</v>
      </c>
      <c r="G11" s="75"/>
      <c r="H11" s="61">
        <f t="shared" si="1"/>
        <v>0.6879334257975035</v>
      </c>
      <c r="I11" s="61">
        <f t="shared" si="2"/>
        <v>1</v>
      </c>
    </row>
    <row r="12" spans="1:9" ht="14.25">
      <c r="A12" s="41" t="str">
        <f>+LINEAESTRATEGICA!A11</f>
        <v>8-Sostenibilidad y Transicion</v>
      </c>
      <c r="B12" s="76">
        <f>+LINEAESTRATEGICA!E11</f>
        <v>1972557.896</v>
      </c>
      <c r="C12" s="76">
        <f>+LINEAESTRATEGICA!L11</f>
        <v>0</v>
      </c>
      <c r="D12" s="76"/>
      <c r="E12" s="76">
        <f>+LINEAESTRATEGICA!Z11</f>
        <v>1972557.896</v>
      </c>
      <c r="F12" s="75">
        <f t="shared" si="0"/>
        <v>0</v>
      </c>
      <c r="G12" s="75"/>
      <c r="H12" s="61">
        <f t="shared" si="1"/>
        <v>1</v>
      </c>
      <c r="I12" s="61">
        <f t="shared" si="2"/>
        <v>1</v>
      </c>
    </row>
    <row r="13" spans="1:9" ht="14.25">
      <c r="A13" s="41" t="str">
        <f>+LINEAESTRATEGICA!A12</f>
        <v>Monitoreo y Evaluación</v>
      </c>
      <c r="B13" s="76">
        <f>+LINEAESTRATEGICA!E12</f>
        <v>1539100.045</v>
      </c>
      <c r="C13" s="76">
        <f>+LINEAESTRATEGICA!L12</f>
        <v>523641.14</v>
      </c>
      <c r="D13" s="76">
        <f>+LINEAESTRATEGICA!S12</f>
        <v>75000</v>
      </c>
      <c r="E13" s="76">
        <f>+LINEAESTRATEGICA!Z12</f>
        <v>940458.9049999998</v>
      </c>
      <c r="F13" s="75">
        <f t="shared" si="0"/>
        <v>0.34022553745036116</v>
      </c>
      <c r="G13" s="75">
        <f>+LINEAESTRATEGICA!AD12</f>
        <v>0.048729775717731204</v>
      </c>
      <c r="H13" s="61">
        <f>100%-F13-G13</f>
        <v>0.6110446868319077</v>
      </c>
      <c r="I13" s="61">
        <f>+F13+G13+H13</f>
        <v>1</v>
      </c>
    </row>
    <row r="14" spans="1:9" ht="14.25">
      <c r="A14" s="41" t="str">
        <f>+LINEAESTRATEGICA!A13</f>
        <v>Planificación, coordinación y gerencia</v>
      </c>
      <c r="B14" s="76">
        <f>+LINEAESTRATEGICA!E13</f>
        <v>4880752.751637916</v>
      </c>
      <c r="C14" s="76">
        <f>+LINEAESTRATEGICA!L13</f>
        <v>496767.6123</v>
      </c>
      <c r="D14" s="76"/>
      <c r="E14" s="76">
        <f>+LINEAESTRATEGICA!Z13</f>
        <v>4383985.139337916</v>
      </c>
      <c r="F14" s="75">
        <f t="shared" si="0"/>
        <v>0.1017809419117351</v>
      </c>
      <c r="G14" s="75"/>
      <c r="H14" s="61">
        <f t="shared" si="1"/>
        <v>0.8982190580882649</v>
      </c>
      <c r="I14" s="61">
        <f t="shared" si="2"/>
        <v>1</v>
      </c>
    </row>
    <row r="15" spans="1:5" ht="14.25">
      <c r="A15" s="41" t="str">
        <f>+LINEAESTRATEGICA!A14</f>
        <v>TOTAL</v>
      </c>
      <c r="B15" s="76">
        <f>+SUM(B5:B14)</f>
        <v>34939698.560237914</v>
      </c>
      <c r="C15" s="76">
        <f>+SUM(C5:C14)</f>
        <v>4242741.0023</v>
      </c>
      <c r="D15" s="76">
        <f>+SUM(D5:D14)</f>
        <v>383400</v>
      </c>
      <c r="E15" s="76">
        <f>+SUM(E5:E14)</f>
        <v>30313557.557937916</v>
      </c>
    </row>
    <row r="16" spans="1:5" ht="14.25">
      <c r="A16" s="105" t="s">
        <v>768</v>
      </c>
      <c r="B16" s="106"/>
      <c r="C16" s="75">
        <f>+C15/B15</f>
        <v>0.12143038369335919</v>
      </c>
      <c r="D16" s="75">
        <f>+D15/B15</f>
        <v>0.010973191406874843</v>
      </c>
      <c r="E16" s="75">
        <f>+E15/B15</f>
        <v>0.867596424899766</v>
      </c>
    </row>
  </sheetData>
  <sheetProtection/>
  <mergeCells count="2">
    <mergeCell ref="A1:F1"/>
    <mergeCell ref="A16:B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16068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Julio Garay</dc:creator>
  <cp:keywords/>
  <dc:description/>
  <cp:lastModifiedBy>María Leydies Portillo Díaz</cp:lastModifiedBy>
  <cp:lastPrinted>2017-10-06T17:22:42Z</cp:lastPrinted>
  <dcterms:created xsi:type="dcterms:W3CDTF">2017-09-18T20:15:41Z</dcterms:created>
  <dcterms:modified xsi:type="dcterms:W3CDTF">2018-02-07T18:40:08Z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1033-10.2.0.5934</vt:lpwstr>
  </property>
</Properties>
</file>