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tabRatio="820" activeTab="2"/>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etup" sheetId="10" state="hidden" r:id="rId10"/>
  </sheets>
  <externalReferences>
    <externalReference r:id="rId13"/>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'Financiamiento'!$A$2:$L$31</definedName>
    <definedName name="_xlnm.Print_Area" localSheetId="5">'Gestión'!$A$1:$L$31</definedName>
    <definedName name="_xlnm.Print_Area" localSheetId="3">'Información de la subvención'!$A$1:$K$15</definedName>
    <definedName name="_xlnm.Print_Area" localSheetId="2">'Introducción de datos'!$A$1:$Q$142</definedName>
    <definedName name="_xlnm.Print_Area" localSheetId="6">'Programatico'!$A$1:$Q$23</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datos'!$B$25:$J$64</definedName>
    <definedName name="PrintDataM">'Introducción de datos'!$B$66:$H$108</definedName>
    <definedName name="PrintF">'Financiamiento'!$A$2:$K$31</definedName>
    <definedName name="PrintGD">'Información de la subvención'!$A$2:$J$13</definedName>
    <definedName name="PrintM" localSheetId="8">'Acciones'!$A$2:$L$6</definedName>
    <definedName name="PrintM">'Gestión'!$A$2:$L$31</definedName>
    <definedName name="PrintP">'Programatico'!$A$2:$P$23</definedName>
    <definedName name="PrintR">'Recomendaciones'!$A$2:$N$41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
  </authors>
  <commentList>
    <comment ref="B71" authorId="0">
      <text>
        <r>
          <rPr>
            <b/>
            <sz val="8"/>
            <color indexed="32"/>
            <rFont val="Tahoma"/>
            <family val="2"/>
          </rPr>
          <t xml:space="preserve">Si los datos no están disponibles, no introduzca ceros; deje las celdas de la tabla en blanco. </t>
        </r>
      </text>
    </comment>
    <comment ref="B72" authorId="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<sst xmlns="http://schemas.openxmlformats.org/spreadsheetml/2006/main" count="507" uniqueCount="366">
  <si>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</si>
  <si>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</si>
  <si>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</si>
  <si>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</si>
  <si>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</si>
  <si>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</si>
  <si>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</si>
  <si>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</si>
  <si>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</si>
  <si>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</si>
  <si>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</si>
  <si>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</si>
  <si>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</si>
  <si>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</si>
  <si>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</si>
  <si>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</si>
  <si>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</si>
  <si>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</si>
  <si>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</si>
  <si>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</si>
  <si>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</si>
  <si>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</si>
  <si>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</si>
  <si>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</si>
  <si>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</si>
  <si>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</si>
  <si>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</si>
  <si>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</si>
  <si>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</si>
  <si>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</si>
  <si>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</si>
  <si>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</si>
  <si>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</si>
  <si>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</si>
  <si>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</si>
  <si>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</si>
  <si>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</si>
  <si>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</si>
  <si>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</si>
  <si>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</si>
  <si>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</si>
  <si>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</si>
  <si>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</si>
  <si>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</si>
  <si>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</si>
  <si>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</si>
  <si>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</si>
  <si>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Componente:</t>
  </si>
  <si>
    <t>TB</t>
  </si>
  <si>
    <t>Financiación total:</t>
  </si>
  <si>
    <t>Receptor Principal:</t>
  </si>
  <si>
    <t xml:space="preserve">Ministerio de Salud </t>
  </si>
  <si>
    <t>Fecha de inicio (dd/mm/aa):</t>
  </si>
  <si>
    <t>Agente Local del Fondo:</t>
  </si>
  <si>
    <t>Ultima calificación:</t>
  </si>
  <si>
    <t>A2</t>
  </si>
  <si>
    <t>Gerente de Cartera del Fondo:</t>
  </si>
  <si>
    <t>Periodo de referencia del que se informa</t>
  </si>
  <si>
    <t>Periodo:</t>
  </si>
  <si>
    <t>P1</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</si>
  <si>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</si>
  <si>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</si>
  <si>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</si>
  <si>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</si>
  <si>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</si>
  <si>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</si>
  <si>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</si>
  <si>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</si>
  <si>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</si>
  <si>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</si>
  <si>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</si>
  <si>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</si>
  <si>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</si>
  <si>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</si>
  <si>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</si>
  <si>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P2</t>
  </si>
  <si>
    <t>P3</t>
  </si>
  <si>
    <t>P4</t>
  </si>
  <si>
    <t>P5</t>
  </si>
  <si>
    <t>P6</t>
  </si>
  <si>
    <t>P7</t>
  </si>
  <si>
    <t>P8</t>
  </si>
  <si>
    <t>P9</t>
  </si>
  <si>
    <t>P10</t>
  </si>
  <si>
    <t>P11</t>
  </si>
  <si>
    <t>P12</t>
  </si>
  <si>
    <t>Presupuesto acumulado</t>
  </si>
  <si>
    <t>Desembolsos  acumulados</t>
  </si>
  <si>
    <t>Estrategias de la Subvención</t>
  </si>
  <si>
    <t>Total</t>
  </si>
  <si>
    <t>F3: Desembolsos y gastos</t>
  </si>
  <si>
    <t>Anterior al periodo de referencia</t>
  </si>
  <si>
    <t>Periodo de referencia actual</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</si>
  <si>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</si>
  <si>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</si>
  <si>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</si>
  <si>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</si>
  <si>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</si>
  <si>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</si>
  <si>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Información de gestión:</t>
  </si>
  <si>
    <t xml:space="preserve">     Introduzca los datos de gestión en todas las celdas azules.</t>
  </si>
  <si>
    <t>M1: Estado de las condiciones precedentes y acciones con fecha límite</t>
  </si>
  <si>
    <t>Para el periodo</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</si>
  <si>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</si>
  <si>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</si>
  <si>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</si>
  <si>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</si>
  <si>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</si>
  <si>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</si>
  <si>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</si>
  <si>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</si>
  <si>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</si>
  <si>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</si>
  <si>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Identificados</t>
  </si>
  <si>
    <t>Evaluados</t>
  </si>
  <si>
    <t>Aprobados</t>
  </si>
  <si>
    <t>Firmados</t>
  </si>
  <si>
    <t>Que reciben financiación</t>
  </si>
  <si>
    <t>Subreceptores</t>
  </si>
  <si>
    <t>Esperados</t>
  </si>
  <si>
    <t>Recibidos</t>
  </si>
  <si>
    <t>Pendientes</t>
  </si>
  <si>
    <t>Sub SR al SR</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</si>
  <si>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</si>
  <si>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</si>
  <si>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</si>
  <si>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</si>
  <si>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</si>
  <si>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</si>
  <si>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</si>
  <si>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</si>
  <si>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</si>
  <si>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</si>
  <si>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</si>
  <si>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</si>
  <si>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</si>
  <si>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</si>
  <si>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</si>
  <si>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</si>
  <si>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</si>
  <si>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</si>
  <si>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</si>
  <si>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PASER</t>
  </si>
  <si>
    <t>Cicloserina 250mg</t>
  </si>
  <si>
    <t>Kanamicina 1gr</t>
  </si>
  <si>
    <t>Etionamida 250mg</t>
  </si>
  <si>
    <t>Producto 1</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</si>
  <si>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</si>
  <si>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</si>
  <si>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</si>
  <si>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</si>
  <si>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</si>
  <si>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</si>
  <si>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</si>
  <si>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</si>
  <si>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</si>
  <si>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La tabla se actualiza de forma automática. No debe introducirse aquí ningún dato o información.</t>
  </si>
  <si>
    <t>Fecha de inicio:</t>
  </si>
  <si>
    <t>Financiación total</t>
  </si>
  <si>
    <t>Convocatoria:</t>
  </si>
  <si>
    <t>Fase:</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</si>
  <si>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</si>
  <si>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</si>
  <si>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</si>
  <si>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</si>
  <si>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</si>
  <si>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</si>
  <si>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</si>
  <si>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</si>
  <si>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</si>
  <si>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</si>
  <si>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</si>
  <si>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Último desembolso de fondos: Días calendario</t>
  </si>
  <si>
    <t>No hay sub receptores</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</si>
  <si>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</si>
  <si>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</si>
  <si>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</si>
  <si>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</si>
  <si>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</si>
  <si>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</si>
  <si>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</si>
  <si>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</si>
  <si>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</si>
  <si>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</si>
  <si>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</si>
  <si>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</si>
  <si>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</si>
  <si>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</si>
  <si>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</si>
  <si>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</si>
  <si>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</si>
  <si>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</si>
  <si>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</si>
  <si>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</si>
  <si>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</si>
  <si>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</si>
  <si>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</si>
  <si>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</si>
  <si>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</si>
  <si>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</si>
  <si>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</si>
  <si>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</si>
  <si>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</si>
  <si>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</si>
  <si>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</si>
  <si>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</si>
  <si>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</si>
  <si>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</si>
  <si>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</si>
  <si>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</si>
  <si>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</si>
  <si>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</si>
  <si>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</si>
  <si>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</si>
  <si>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</si>
  <si>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</si>
  <si>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</si>
  <si>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</si>
  <si>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</si>
  <si>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</si>
  <si>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</si>
  <si>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</si>
  <si>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</si>
  <si>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</si>
  <si>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</si>
  <si>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</si>
  <si>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</si>
  <si>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</si>
  <si>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</si>
  <si>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</si>
  <si>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</si>
  <si>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</si>
  <si>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</si>
  <si>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A1</t>
  </si>
  <si>
    <t>CA (Crown Agents)</t>
  </si>
  <si>
    <t>Antigua y Barbuda</t>
  </si>
  <si>
    <t>MALARIA</t>
  </si>
  <si>
    <t>€</t>
  </si>
  <si>
    <t>Ronda 2</t>
  </si>
  <si>
    <t>Fase 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</si>
  <si>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</si>
  <si>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</si>
  <si>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</si>
  <si>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</si>
  <si>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</si>
  <si>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</si>
  <si>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</si>
  <si>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</si>
  <si>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</si>
  <si>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</si>
  <si>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</si>
  <si>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</si>
  <si>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</si>
  <si>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</si>
  <si>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</si>
  <si>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</si>
  <si>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</si>
  <si>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</si>
  <si>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</si>
  <si>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</si>
  <si>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</si>
  <si>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</si>
  <si>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</si>
  <si>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</si>
  <si>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</si>
  <si>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</si>
  <si>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</si>
  <si>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</si>
  <si>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</si>
  <si>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</si>
  <si>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</si>
  <si>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</si>
  <si>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</si>
  <si>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</si>
  <si>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</si>
  <si>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 xml:space="preserve">STI (Swiss Tropical Institute), </t>
  </si>
  <si>
    <t>DDI</t>
  </si>
  <si>
    <t>Brasil</t>
  </si>
  <si>
    <t>UNOPS</t>
  </si>
  <si>
    <t>EFV</t>
  </si>
  <si>
    <t>Cabo Verde</t>
  </si>
  <si>
    <t>AS/LF</t>
  </si>
  <si>
    <t>Chile</t>
  </si>
  <si>
    <t>AS/AQ</t>
  </si>
  <si>
    <t>Colombia</t>
  </si>
  <si>
    <t>AS/MQ</t>
  </si>
  <si>
    <t>Costa Rica</t>
  </si>
  <si>
    <t>Al/Lum</t>
  </si>
  <si>
    <t>Cuba</t>
  </si>
  <si>
    <t>Dominica</t>
  </si>
  <si>
    <t>TB nutri'l supplements</t>
  </si>
  <si>
    <t>Ecuador</t>
  </si>
  <si>
    <t>E-PAP</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</si>
  <si>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</si>
  <si>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</si>
  <si>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</si>
  <si>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</si>
  <si>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</si>
  <si>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</si>
  <si>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</si>
  <si>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</si>
  <si>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</si>
  <si>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</si>
  <si>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</si>
  <si>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</si>
  <si>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</si>
  <si>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</si>
  <si>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</si>
  <si>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</si>
  <si>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</si>
  <si>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</si>
  <si>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</si>
  <si>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</si>
  <si>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</si>
  <si>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</si>
  <si>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</si>
  <si>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1117</t>
  </si>
  <si>
    <t>Eliminación de la malaria en El Salvador: un esfuerzo de país</t>
  </si>
  <si>
    <t>JACOBS</t>
  </si>
  <si>
    <t>Modulo 1: Control de Vectores</t>
  </si>
  <si>
    <t>Modulo 2: Gestión de Casos</t>
  </si>
  <si>
    <t>Modulo 3: Sistemas de información sanitaria y M &amp; E</t>
  </si>
  <si>
    <t>Modulo 4: Salud Comunitaria</t>
  </si>
  <si>
    <t>Modulo 5: Gestión de Programas</t>
  </si>
  <si>
    <t>F2: Presupuesto y gastos reales por modulos de la subvención</t>
  </si>
  <si>
    <t>* Informe de avance semestral de gastos</t>
  </si>
  <si>
    <t>Desembolsado por el Fondo Mundial</t>
  </si>
  <si>
    <t xml:space="preserve">Gastos </t>
  </si>
  <si>
    <t xml:space="preserve">Compromisos </t>
  </si>
  <si>
    <t>M3: Acuerdos contractuales (N/A)</t>
  </si>
  <si>
    <t>M4: Número de informes completos recibidos a tiempo (N/A)</t>
  </si>
  <si>
    <t xml:space="preserve">* Incluye sólo insumos y equipos de laboratorio y entomología </t>
  </si>
  <si>
    <t xml:space="preserve">Malaria O-4: Proporción de viviendas que han sido rociadas en los últimos 12 meses. </t>
  </si>
  <si>
    <t xml:space="preserve">Malaria O-9: 2. Tasa anual de muestras de sangre (laminas leídas). </t>
  </si>
  <si>
    <t xml:space="preserve">VC-5: Proporción de vivienda en las áreas priorizadas que reciben la fumigación intra-domiciliar </t>
  </si>
  <si>
    <t xml:space="preserve">CM-5: Porcentaje de casos confirmados, de todos los casos investigados. </t>
  </si>
  <si>
    <t xml:space="preserve">CM-6: 2. Porcentaje de focos del total investigados </t>
  </si>
  <si>
    <t xml:space="preserve">M&amp;E-2: Proporción de establecimientos de salud públicos y privados que reportan al sistema de vigilancia. </t>
  </si>
  <si>
    <t>Malaria 1-9: Numero de Focos activos. (IMPACTO)</t>
  </si>
  <si>
    <t>Malaria 1-10: Incidencia parasitaria anual (número y tasa por mil) (IMPACTO)</t>
  </si>
  <si>
    <t>INDICADORES DE IMPACTO</t>
  </si>
  <si>
    <t>Outcome</t>
  </si>
  <si>
    <t>Resultado</t>
  </si>
  <si>
    <t>Impacto</t>
  </si>
  <si>
    <t>UAFM/UFE/MINSAL.</t>
  </si>
  <si>
    <t>Para el periodo reportado no existen focos, tomando como base el documento de OPS OMS "Marco para la eliminación de Malaria"</t>
  </si>
  <si>
    <t>intereses</t>
  </si>
  <si>
    <t>P2 (AÑO 2018)</t>
  </si>
  <si>
    <t>Jaime Brizz</t>
  </si>
  <si>
    <t xml:space="preserve"> Módulo 6: Presupuesto por Resultados</t>
  </si>
  <si>
    <t>Saldo en Caja al 31 de diciembre de 2019</t>
  </si>
  <si>
    <t>%</t>
  </si>
  <si>
    <t>El reporte fue entregado el 28 de febrero de 2020</t>
  </si>
  <si>
    <t xml:space="preserve">Durante el año 2019  se recibieron desembolsos por $ 217,471.28; asi tambien se alcanzo una ejecución financiera del 72.7% en relación al presupuesto acumulado de los años 2017-2019 ; ademas existen compromisos por el monto de $2,000.00 los cuales corresponden a pagos pendientes por servicios de auditoria.
Al 31 de diciembre de 2019 se tenia en cuentas bancarias la cantidad de $334,499.06, de los cuales se estima ejecutar en el año 2020 el pago de la auditoria por $ 2,000.00  
</t>
  </si>
  <si>
    <t>Durante el periodo del 2017-2019 el proyecto reporto una ejecución del 85.5% en relación al presupuesto modificado de $ 1,744,000.00; la ejecución estuvo concentrada en un 100% para el módulo relacionado a los col.vol.; asi tambien el módulo de control del vector alcanzo una ejecución acumulada de $ 441,720.50 que corresponde a un 93% del presupuesto aprobado por el FM para dicho módulo.
De la categoria del gasto de insumos de laboratorio se ejecuto el 74%, dichos insumos de laboratorio son distribuidos para  la detección de los casos a nivel comunitario con apoyo de los colaboradores voluntarios y a nivel de las fronteras con las oficinas sanitarias internacionales que no fue posible las entregas durante el periodo de ejecución del proyecto.</t>
  </si>
  <si>
    <t>De la categoria del gasto de insumos de laboratorio se ejecuto el 74%, dichos insumos de laboratorio son distribuidos para  la detección de los casos a nivel comunitario con apoyo de los colaboradores voluntarios y a nivel de las fronteras con las oficinas sanitarias internacionales que no fue posible las entregas durante el periodo de ejecución del proyecto.</t>
  </si>
  <si>
    <t xml:space="preserve">Durante el periodo de 2017 al 2019 nos desembolso FM la cantidad de $1,794,011.28, el cual  representa el 90% del presupuesto aprobado para la subvención.
En relación al presupuesto aprobado para el año 2019  por el monto de $ 850,970.00 solo nos desembolsaron en el año el monto de $217,471.28. en vista que contabamos con  saldo de caja para los gastos del periodo. </t>
  </si>
  <si>
    <t>Delphine De Quina</t>
  </si>
  <si>
    <t>Para el periodo reportado no existen casos autóctonos, por lo que según la clasificación de focos según el Marco para la Eliminación de la Malaria (OMS), no se reportan focos activos.  La meta para el año 2019 era 6,519 viviendas habiéndose realizado RRI en 4,275 viviendas, logrando un porcentaje de 93.4%,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t>
  </si>
  <si>
    <t xml:space="preserve">En 2015 la Tasa anual de exámenes de sangre se calculó en base a la población residentes en los focos activos y residuales no activos, estableciéndose como meta 3.6% para los focos activos. Para el 2019, no se han reportado casos autóctonos, por consiguiente no existieron focos activos, por lo que el resultado reportado pudo ser cero, pero debido al accionar preventivo bajo la modalidad búsqueda activa y pasiva con toma de gota gruesa. Se realizó vigilancia  y se ha tomado como población en riesgo aquella que viven en áreas receptibles y vulnerables que para e laño 2019, era de 1,243,080 perosnals y se tomaron el tota l de 89,839 gotas gruesas, obteniendo un incremento enel indicador esperado el cual era de 3.6% siendo lo alcanzado un 7.2%. 
Fuente: Sistema Estadístico de Producción de Servicios (SEPS).
</t>
  </si>
  <si>
    <t>En 2019 no existen focos activos debido a que los casos reportados fueron importados. Por lo que no hubo rociado a focos activos; sin embargo, el país realizo la accion de rociado en focos residuales no activos que cumpliean criterio para RRI, en 4,275 viviendas y ubicadas en areas con vulnerabilidad y receptividad para malaria, por lo que se sobrepaso de la meta, logrando el 174.92%. Fuente: Informe de acciones para Malaria 2019.</t>
  </si>
  <si>
    <t>Para el año 2019, se esperaban que fueran 9 casos de malaria autóctona para investigar, se confirmaron tres casos importados de Mexico (1) y Africa (2), ubicados en los municipios de Sensuntepeque del departamento de Cabañas, Olocuilta del departamento de La Paz y Cojutepeque del departamento de Cuscatlan, los cuales se confirmaron, investigaron y clasificaron completamente, logrando una meta de 100%.
Fuente: Formulario de investigación de caso de malaria</t>
  </si>
  <si>
    <t>Para el año 2019 no se reportaron casos autoctonos. Los 3 casos importados procedian de Mexico (1) y Africa (2). En base a la clasificación de focos del Marco de Eliminación de Malaria 2017 (OMS) no se pueden clasificar como focos, por lo que se cumplio la meta del 100%.  Fuente: VIGEPES</t>
  </si>
  <si>
    <t>El 98% de las Unidades Notificadoras reportó en el VIGEPES al menos una vez.
Fuente de datos: Documentos administrativos:reporte del VIGEPES sobre unidades notificadoras que reportaron de manera oportuna y completa al sistema.</t>
  </si>
  <si>
    <t>Casos notificados en 2019 son clasificados como importados, no se reportan focos activos, lo anterior ha sido verificado mediante las acciones de busqueda de casos, como parte de la estricta vigilancia epidemiologica. Fuente: VIGEPES</t>
  </si>
  <si>
    <t>En 2019, la Incidencia Parasitaria Anual (IPA) es de 0 (cero), ya que no se registraton casos autóctonos para el periodo reportado. Fuente: VIGEPES-LAB</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</si>
</sst>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_([$€]* \(#,##0.00\);_([$€]* \-??_);_(@_)"/>
    <numFmt numFmtId="181" formatCode="_(* #,##0.00_);_(* \(#,##0.00\);_(* \-??_);_(@_)"/>
    <numFmt numFmtId="182" formatCode="_(\$* #,##0.00_);_(\$* \(#,##0.00\);_(\$* \-??_);_(@_)"/>
    <numFmt numFmtId="183" formatCode="d&quot; de &quot;mmm&quot; de &quot;yy"/>
    <numFmt numFmtId="184" formatCode="\Q#,##0_);[Red]&quot;(Q&quot;#,##0\)"/>
    <numFmt numFmtId="185" formatCode="_(* #,##0_);_(* \(#,##0\);_(* \-??_);_(@_)"/>
    <numFmt numFmtId="186" formatCode="_([$$-440A]* #,##0.00_);_([$$-440A]* \(#,##0.00\);_([$$-440A]* \-??_);_(@_)"/>
    <numFmt numFmtId="187" formatCode="#.##0"/>
    <numFmt numFmtId="188" formatCode="_-* #,##0.00\ _€_-;\-* #,##0.00\ _€_-;_-* \-??\ _€_-;_-@_-"/>
    <numFmt numFmtId="189" formatCode="_ [$$-240A]\ * #,##0.00_ ;_ [$$-240A]\ * \-#,##0.00_ ;_ [$$-240A]\ * \-??_ ;_ @_ "/>
    <numFmt numFmtId="190" formatCode="#.##000"/>
    <numFmt numFmtId="191" formatCode="[$$-409]#,##0"/>
    <numFmt numFmtId="192" formatCode="[$$-340A]\ #,##0.00"/>
    <numFmt numFmtId="193" formatCode="000%"/>
    <numFmt numFmtId="194" formatCode="[$$-240A]\ #,##0.00"/>
    <numFmt numFmtId="195" formatCode="000"/>
    <numFmt numFmtId="196" formatCode="[$$-340A]#,##0.00"/>
    <numFmt numFmtId="197" formatCode="#"/>
    <numFmt numFmtId="198" formatCode="0.0"/>
    <numFmt numFmtId="199" formatCode="#.00"/>
    <numFmt numFmtId="200" formatCode="#.##"/>
    <numFmt numFmtId="201" formatCode="0.0%"/>
    <numFmt numFmtId="202" formatCode="dd/mm/yyyy"/>
    <numFmt numFmtId="203" formatCode="[$$-409]#,##0_);\([$$-409]#,##0\)"/>
    <numFmt numFmtId="204" formatCode="d/mmm/yyyy;@"/>
    <numFmt numFmtId="205" formatCode="dd/mm/yy\ hh:mm"/>
    <numFmt numFmtId="206" formatCode="#.0"/>
    <numFmt numFmtId="207" formatCode=";;;"/>
    <numFmt numFmtId="208" formatCode=";;;&quot;Financial Variance in %&quot;"/>
    <numFmt numFmtId="209" formatCode="_([$$-440A]* #,##0.00_);_([$$-440A]* \(#,##0.00\);_([$$-440A]* &quot;-&quot;??_);_(@_)"/>
    <numFmt numFmtId="210" formatCode="_(\$* #,##0.00_);_(\$* \(#,##0.00\);_(\$* &quot;-&quot;??_);_(@_)"/>
    <numFmt numFmtId="211" formatCode="\$#,##0"/>
    <numFmt numFmtId="212" formatCode="_(\Q* #,##0.00_);_(\Q* \(#,##0.00\);_(\Q* \-??_);_(@_)"/>
    <numFmt numFmtId="213" formatCode="\$#,##0.00"/>
    <numFmt numFmtId="214" formatCode="\$#,##0.000"/>
    <numFmt numFmtId="215" formatCode="0.000"/>
    <numFmt numFmtId="216" formatCode="[$EUR]\ #,##0.00;[Red]\-[$EUR]\ #,##0.00"/>
    <numFmt numFmtId="217" formatCode="&quot;$&quot;#,##0"/>
    <numFmt numFmtId="218" formatCode="0.000%"/>
    <numFmt numFmtId="219" formatCode="#.##00"/>
    <numFmt numFmtId="220" formatCode="#.#"/>
  </numFmts>
  <fonts count="163">
    <font>
      <sz val="11"/>
      <color indexed="8"/>
      <name val="Calibri"/>
      <family val="2"/>
    </font>
    <font>
      <sz val="10"/>
      <name val="Arial"/>
      <family val="0"/>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sz val="11"/>
      <color indexed="53"/>
      <name val="Calibri"/>
      <family val="2"/>
    </font>
    <font>
      <i/>
      <sz val="11"/>
      <color indexed="8"/>
      <name val="Arial"/>
      <family val="2"/>
    </font>
    <font>
      <sz val="11"/>
      <name val="Arial"/>
      <family val="2"/>
    </font>
    <font>
      <b/>
      <sz val="14"/>
      <color indexed="61"/>
      <name val="Calibri"/>
      <family val="2"/>
    </font>
    <font>
      <b/>
      <sz val="11"/>
      <color indexed="8"/>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sz val="11"/>
      <color indexed="9"/>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60"/>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b/>
      <sz val="14"/>
      <color indexed="40"/>
      <name val="Calibri"/>
      <family val="2"/>
    </font>
    <font>
      <b/>
      <sz val="14"/>
      <color indexed="44"/>
      <name val="Calibri"/>
      <family val="2"/>
    </font>
    <font>
      <sz val="11"/>
      <color indexed="40"/>
      <name val="Calibri"/>
      <family val="2"/>
    </font>
    <font>
      <b/>
      <sz val="11"/>
      <color indexed="53"/>
      <name val="Calibri"/>
      <family val="2"/>
    </font>
    <font>
      <i/>
      <sz val="11"/>
      <name val="Calibri"/>
      <family val="2"/>
    </font>
    <font>
      <b/>
      <sz val="11"/>
      <name val="Calibri"/>
      <family val="2"/>
    </font>
    <font>
      <sz val="8"/>
      <color indexed="8"/>
      <name val="Calibri"/>
      <family val="2"/>
    </font>
    <font>
      <b/>
      <sz val="14"/>
      <color indexed="52"/>
      <name val="Calibri"/>
      <family val="2"/>
    </font>
    <font>
      <b/>
      <sz val="14"/>
      <color indexed="51"/>
      <name val="Calibri"/>
      <family val="2"/>
    </font>
    <font>
      <b/>
      <sz val="10"/>
      <color indexed="53"/>
      <name val="Calibri"/>
      <family val="2"/>
    </font>
    <font>
      <b/>
      <sz val="11"/>
      <color indexed="52"/>
      <name val="Calibri"/>
      <family val="2"/>
    </font>
    <font>
      <b/>
      <sz val="10"/>
      <name val="Arial"/>
      <family val="2"/>
    </font>
    <font>
      <b/>
      <sz val="8"/>
      <color indexed="32"/>
      <name val="Tahoma"/>
      <family val="2"/>
    </font>
    <font>
      <sz val="28"/>
      <name val="Calibri"/>
      <family val="2"/>
    </font>
    <font>
      <sz val="12"/>
      <color indexed="8"/>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b/>
      <sz val="8"/>
      <name val="Calibri"/>
      <family val="2"/>
    </font>
    <font>
      <sz val="9"/>
      <name val="Calibri"/>
      <family val="2"/>
    </font>
    <font>
      <b/>
      <sz val="8"/>
      <color indexed="8"/>
      <name val="Calibri"/>
      <family val="2"/>
    </font>
    <font>
      <sz val="9"/>
      <color indexed="16"/>
      <name val="Calibri"/>
      <family val="2"/>
    </font>
    <font>
      <sz val="7"/>
      <color indexed="16"/>
      <name val="Calibri"/>
      <family val="2"/>
    </font>
    <font>
      <sz val="8"/>
      <name val="Calibri"/>
      <family val="2"/>
    </font>
    <font>
      <sz val="12"/>
      <color indexed="53"/>
      <name val="Calibri"/>
      <family val="2"/>
    </font>
    <font>
      <i/>
      <sz val="8"/>
      <color indexed="8"/>
      <name val="Calibri"/>
      <family val="2"/>
    </font>
    <font>
      <sz val="11"/>
      <color indexed="29"/>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18"/>
      <color indexed="8"/>
      <name val="Calibri"/>
      <family val="2"/>
    </font>
    <font>
      <b/>
      <u val="single"/>
      <sz val="12"/>
      <name val="Calibri"/>
      <family val="2"/>
    </font>
    <font>
      <b/>
      <sz val="12"/>
      <color indexed="16"/>
      <name val="Calibri"/>
      <family val="2"/>
    </font>
    <font>
      <sz val="12"/>
      <name val="Arial"/>
      <family val="2"/>
    </font>
    <font>
      <b/>
      <sz val="12"/>
      <name val="Calibri"/>
      <family val="2"/>
    </font>
    <font>
      <b/>
      <sz val="11"/>
      <color indexed="9"/>
      <name val="Calibri"/>
      <family val="2"/>
    </font>
    <font>
      <sz val="11"/>
      <color indexed="17"/>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12"/>
      <color indexed="8"/>
      <name val="Arial"/>
      <family val="2"/>
    </font>
    <font>
      <sz val="18"/>
      <name val="Arial"/>
      <family val="2"/>
    </font>
    <font>
      <sz val="9"/>
      <color indexed="8"/>
      <name val="Calibri"/>
      <family val="2"/>
    </font>
    <font>
      <sz val="6"/>
      <color indexed="8"/>
      <name val="Calibri"/>
      <family val="2"/>
    </font>
    <font>
      <sz val="7"/>
      <color indexed="8"/>
      <name val="Calibri"/>
      <family val="2"/>
    </font>
    <font>
      <sz val="5"/>
      <color indexed="8"/>
      <name val="Arial"/>
      <family val="2"/>
    </font>
    <font>
      <b/>
      <sz val="10.5"/>
      <color indexed="8"/>
      <name val="Calibri"/>
      <family val="2"/>
    </font>
    <font>
      <sz val="6.5"/>
      <color indexed="8"/>
      <name val="Calibri"/>
      <family val="2"/>
    </font>
    <font>
      <b/>
      <sz val="9"/>
      <color indexed="8"/>
      <name val="Arial"/>
      <family val="2"/>
    </font>
    <font>
      <b/>
      <sz val="8"/>
      <color indexed="8"/>
      <name val="Arial"/>
      <family val="2"/>
    </font>
    <font>
      <sz val="8"/>
      <color indexed="8"/>
      <name val="Arial"/>
      <family val="2"/>
    </font>
    <font>
      <sz val="5.85"/>
      <color indexed="8"/>
      <name val="Arial"/>
      <family val="2"/>
    </font>
    <font>
      <sz val="4.35"/>
      <color indexed="8"/>
      <name val="Arial"/>
      <family val="2"/>
    </font>
    <font>
      <sz val="6.75"/>
      <color indexed="8"/>
      <name val="Arial"/>
      <family val="2"/>
    </font>
    <font>
      <sz val="4.25"/>
      <color indexed="8"/>
      <name val="Arial"/>
      <family val="2"/>
    </font>
    <font>
      <sz val="6.4"/>
      <color indexed="8"/>
      <name val="Arial"/>
      <family val="2"/>
    </font>
    <font>
      <b/>
      <sz val="5.5"/>
      <color indexed="8"/>
      <name val="Arial"/>
      <family val="2"/>
    </font>
    <font>
      <sz val="4.75"/>
      <color indexed="8"/>
      <name val="Arial"/>
      <family val="2"/>
    </font>
    <font>
      <sz val="7.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Calibri"/>
      <family val="2"/>
    </font>
    <font>
      <sz val="12"/>
      <color theme="1"/>
      <name val="Arial"/>
      <family val="2"/>
    </font>
    <font>
      <b/>
      <sz val="12"/>
      <color rgb="FF000000"/>
      <name val="Calibri"/>
      <family val="2"/>
    </font>
    <font>
      <b/>
      <sz val="16"/>
      <color rgb="FF000000"/>
      <name val="Calibri"/>
      <family val="2"/>
    </font>
    <font>
      <b/>
      <sz val="18"/>
      <color rgb="FF000000"/>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2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34"/>
        <bgColor indexed="64"/>
      </patternFill>
    </fill>
    <fill>
      <patternFill patternType="solid">
        <fgColor theme="4" tint="0.7999799847602844"/>
        <bgColor indexed="64"/>
      </patternFill>
    </fill>
    <fill>
      <patternFill patternType="solid">
        <fgColor indexed="18"/>
        <bgColor indexed="64"/>
      </patternFill>
    </fill>
    <fill>
      <patternFill patternType="solid">
        <fgColor indexed="62"/>
        <bgColor indexed="64"/>
      </patternFill>
    </fill>
    <fill>
      <patternFill patternType="solid">
        <fgColor indexed="61"/>
        <bgColor indexed="64"/>
      </patternFill>
    </fill>
    <fill>
      <patternFill patternType="solid">
        <fgColor theme="0" tint="-0.24997000396251678"/>
        <bgColor indexed="64"/>
      </patternFill>
    </fill>
    <fill>
      <patternFill patternType="solid">
        <fgColor theme="4" tint="0.39998000860214233"/>
        <bgColor indexed="64"/>
      </patternFill>
    </fill>
    <fill>
      <patternFill patternType="solid">
        <fgColor theme="4" tint="0.5999900102615356"/>
        <bgColor indexed="64"/>
      </patternFill>
    </fill>
  </fills>
  <borders count="1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thin">
        <color indexed="16"/>
      </left>
      <right style="thin">
        <color indexed="16"/>
      </right>
      <top style="thin">
        <color indexed="16"/>
      </top>
      <bottom>
        <color indexed="63"/>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thin">
        <color indexed="60"/>
      </right>
      <top>
        <color indexed="63"/>
      </top>
      <bottom>
        <color indexed="63"/>
      </bottom>
    </border>
    <border>
      <left style="medium">
        <color indexed="60"/>
      </left>
      <right>
        <color indexed="63"/>
      </right>
      <top style="medium">
        <color indexed="60"/>
      </top>
      <bottom style="thin">
        <color indexed="32"/>
      </bottom>
    </border>
    <border>
      <left style="thin">
        <color indexed="60"/>
      </left>
      <right style="thin">
        <color indexed="60"/>
      </right>
      <top style="medium">
        <color indexed="60"/>
      </top>
      <bottom style="thin">
        <color indexed="32"/>
      </bottom>
    </border>
    <border>
      <left>
        <color indexed="63"/>
      </left>
      <right style="medium">
        <color indexed="60"/>
      </right>
      <top style="medium">
        <color indexed="60"/>
      </top>
      <bottom>
        <color indexed="63"/>
      </bottom>
    </border>
    <border>
      <left style="thin">
        <color indexed="32"/>
      </left>
      <right style="medium">
        <color indexed="60"/>
      </right>
      <top style="thin">
        <color indexed="32"/>
      </top>
      <bottom style="thin">
        <color indexed="32"/>
      </bottom>
    </border>
    <border>
      <left>
        <color indexed="63"/>
      </left>
      <right style="medium">
        <color indexed="60"/>
      </right>
      <top style="thin">
        <color indexed="32"/>
      </top>
      <bottom style="thin">
        <color indexed="32"/>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style="thin">
        <color indexed="32"/>
      </right>
      <top>
        <color indexed="63"/>
      </top>
      <bottom>
        <color indexed="63"/>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thin">
        <color indexed="32"/>
      </left>
      <right style="thin">
        <color indexed="32"/>
      </right>
      <top style="thin">
        <color indexed="32"/>
      </top>
      <bottom>
        <color indexed="63"/>
      </bottom>
    </border>
    <border>
      <left style="medium">
        <color indexed="48"/>
      </left>
      <right style="thin">
        <color indexed="32"/>
      </right>
      <top>
        <color indexed="63"/>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thin">
        <color indexed="58"/>
      </left>
      <right style="thin">
        <color indexed="58"/>
      </right>
      <top style="thin">
        <color indexed="58"/>
      </top>
      <bottom style="thin">
        <color indexed="58"/>
      </bottom>
    </border>
    <border>
      <left style="medium">
        <color indexed="32"/>
      </left>
      <right style="thin">
        <color indexed="32"/>
      </right>
      <top>
        <color indexed="63"/>
      </top>
      <bottom style="thin">
        <color indexed="32"/>
      </bottom>
    </border>
    <border>
      <left style="thin">
        <color indexed="32"/>
      </left>
      <right style="thin">
        <color indexed="32"/>
      </right>
      <top style="medium">
        <color indexed="32"/>
      </top>
      <bottom style="thin">
        <color indexed="32"/>
      </bottom>
    </border>
    <border>
      <left style="thin">
        <color indexed="32"/>
      </left>
      <right style="medium">
        <color indexed="32"/>
      </right>
      <top style="medium">
        <color indexed="32"/>
      </top>
      <bottom style="thin">
        <color indexed="32"/>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color indexed="63"/>
      </left>
      <right style="medium">
        <color indexed="51"/>
      </right>
      <top>
        <color indexed="63"/>
      </top>
      <bottom>
        <color indexed="63"/>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thin">
        <color indexed="32"/>
      </top>
      <bottom style="medium">
        <color indexed="32"/>
      </bottom>
    </border>
    <border>
      <left style="medium">
        <color indexed="32"/>
      </left>
      <right style="thin">
        <color indexed="32"/>
      </right>
      <top style="thin">
        <color indexed="32"/>
      </top>
      <bottom style="medium">
        <color indexed="32"/>
      </bottom>
    </border>
    <border>
      <left style="thin">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color indexed="63"/>
      </left>
      <right style="medium">
        <color indexed="32"/>
      </right>
      <top style="thin">
        <color indexed="32"/>
      </top>
      <bottom style="thin">
        <color indexed="32"/>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medium">
        <color indexed="60"/>
      </left>
      <right style="thin">
        <color indexed="32"/>
      </right>
      <top style="thin">
        <color indexed="32"/>
      </top>
      <bottom style="thin">
        <color indexed="32"/>
      </bottom>
    </border>
    <border>
      <left style="medium">
        <color indexed="60"/>
      </left>
      <right style="thin">
        <color indexed="32"/>
      </right>
      <top style="thin">
        <color indexed="32"/>
      </top>
      <bottom style="medium">
        <color indexed="60"/>
      </bottom>
    </border>
    <border>
      <left style="thin">
        <color indexed="32"/>
      </left>
      <right style="thin">
        <color indexed="32"/>
      </right>
      <top style="thin">
        <color indexed="32"/>
      </top>
      <bottom style="medium">
        <color indexed="60"/>
      </bottom>
    </border>
    <border>
      <left style="thin">
        <color indexed="16"/>
      </left>
      <right style="medium">
        <color indexed="51"/>
      </right>
      <top style="medium">
        <color indexed="51"/>
      </top>
      <bottom style="thin">
        <color indexed="32"/>
      </bottom>
    </border>
    <border>
      <left style="thin"/>
      <right style="thin"/>
      <top style="thin"/>
      <bottom style="thin"/>
    </border>
    <border>
      <left style="thin"/>
      <right style="thin"/>
      <top>
        <color indexed="63"/>
      </top>
      <bottom style="thin"/>
    </border>
    <border>
      <left>
        <color indexed="63"/>
      </left>
      <right>
        <color indexed="63"/>
      </right>
      <top style="thin">
        <color indexed="32"/>
      </top>
      <bottom>
        <color indexed="63"/>
      </bottom>
    </border>
    <border>
      <left style="thin">
        <color indexed="32"/>
      </left>
      <right style="thin">
        <color indexed="32"/>
      </right>
      <top>
        <color indexed="63"/>
      </top>
      <bottom>
        <color indexed="63"/>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style="medium">
        <color indexed="48"/>
      </left>
      <right style="thin">
        <color indexed="32"/>
      </right>
      <top style="medium">
        <color indexed="48"/>
      </top>
      <bottom style="thin">
        <color indexed="32"/>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medium">
        <color indexed="51"/>
      </bottom>
    </border>
    <border>
      <left style="thin"/>
      <right>
        <color indexed="63"/>
      </right>
      <top style="thin"/>
      <bottom style="thin"/>
    </border>
    <border>
      <left style="thin">
        <color indexed="32"/>
      </left>
      <right>
        <color indexed="63"/>
      </right>
      <top style="thin"/>
      <bottom style="thin"/>
    </border>
    <border>
      <left style="thin">
        <color indexed="32"/>
      </left>
      <right style="thin"/>
      <top style="thin"/>
      <bottom style="thin"/>
    </border>
    <border>
      <left style="medium">
        <color indexed="32"/>
      </left>
      <right style="medium">
        <color indexed="32"/>
      </right>
      <top style="thin">
        <color indexed="32"/>
      </top>
      <bottom style="thin">
        <color indexed="32"/>
      </bottom>
    </border>
    <border>
      <left style="medium">
        <color indexed="32"/>
      </left>
      <right style="medium">
        <color indexed="32"/>
      </right>
      <top style="thin">
        <color indexed="32"/>
      </top>
      <bottom style="medium">
        <color indexed="32"/>
      </bottom>
    </border>
    <border>
      <left style="medium">
        <color indexed="32"/>
      </left>
      <right style="medium">
        <color indexed="32"/>
      </right>
      <top style="medium">
        <color indexed="32"/>
      </top>
      <bottom style="thin">
        <color indexed="32"/>
      </bottom>
    </border>
    <border>
      <left style="thin">
        <color indexed="28"/>
      </left>
      <right style="thin">
        <color indexed="28"/>
      </right>
      <top style="thin">
        <color indexed="28"/>
      </top>
      <bottom style="thin">
        <color indexed="28"/>
      </bottom>
    </border>
    <border>
      <left>
        <color indexed="63"/>
      </left>
      <right style="thin">
        <color indexed="28"/>
      </right>
      <top style="thin">
        <color indexed="32"/>
      </top>
      <bottom style="thin">
        <color indexed="32"/>
      </bottom>
    </border>
    <border>
      <left>
        <color indexed="63"/>
      </left>
      <right style="thin">
        <color indexed="28"/>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color indexed="32"/>
      </right>
      <top style="thin"/>
      <bottom style="thin"/>
    </border>
    <border>
      <left>
        <color indexed="63"/>
      </left>
      <right style="thin">
        <color indexed="32"/>
      </right>
      <top style="thin"/>
      <bottom style="thin"/>
    </border>
    <border>
      <left>
        <color indexed="63"/>
      </left>
      <right style="medium">
        <color indexed="60"/>
      </right>
      <top style="hair">
        <color indexed="23"/>
      </top>
      <bottom style="hair">
        <color indexed="23"/>
      </bottom>
    </border>
    <border>
      <left style="medium">
        <color indexed="60"/>
      </left>
      <right style="medium">
        <color indexed="60"/>
      </right>
      <top>
        <color indexed="63"/>
      </top>
      <bottom style="hair">
        <color indexed="32"/>
      </bottom>
    </border>
    <border>
      <left style="medium">
        <color indexed="60"/>
      </left>
      <right style="medium">
        <color indexed="60"/>
      </right>
      <top style="hair">
        <color indexed="32"/>
      </top>
      <bottom style="hair">
        <color indexed="32"/>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color indexed="63"/>
      </left>
      <right style="medium">
        <color indexed="52"/>
      </right>
      <top>
        <color indexed="63"/>
      </top>
      <bottom>
        <color indexed="63"/>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hair">
        <color indexed="51"/>
      </bottom>
    </border>
    <border>
      <left style="medium">
        <color indexed="51"/>
      </left>
      <right style="medium">
        <color indexed="51"/>
      </right>
      <top style="hair">
        <color indexed="51"/>
      </top>
      <bottom style="medium">
        <color indexed="51"/>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thin">
        <color indexed="32"/>
      </left>
      <right>
        <color indexed="63"/>
      </right>
      <top style="medium">
        <color indexed="57"/>
      </top>
      <bottom>
        <color indexed="63"/>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
      <left>
        <color indexed="63"/>
      </left>
      <right style="medium">
        <color indexed="32"/>
      </right>
      <top style="hair">
        <color indexed="32"/>
      </top>
      <bottom style="hair">
        <color indexed="32"/>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style="hair">
        <color indexed="32"/>
      </left>
      <right style="medium">
        <color indexed="32"/>
      </right>
      <top style="medium">
        <color indexed="57"/>
      </top>
      <bottom style="hair">
        <color indexed="32"/>
      </bottom>
    </border>
    <border>
      <left style="hair">
        <color indexed="32"/>
      </left>
      <right style="medium">
        <color indexed="32"/>
      </right>
      <top style="hair">
        <color indexed="32"/>
      </top>
      <bottom style="hair">
        <color indexed="32"/>
      </bottom>
    </border>
    <border>
      <left>
        <color indexed="63"/>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style="medium">
        <color indexed="32"/>
      </left>
      <right style="medium">
        <color indexed="32"/>
      </right>
      <top style="hair">
        <color indexed="32"/>
      </top>
      <bottom style="hair">
        <color indexed="32"/>
      </bottom>
    </border>
    <border>
      <left style="medium">
        <color indexed="32"/>
      </left>
      <right style="medium">
        <color indexed="32"/>
      </right>
      <top style="hair">
        <color indexed="32"/>
      </top>
      <bottom style="medium">
        <color indexed="32"/>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1" fillId="20" borderId="0" applyNumberFormat="0" applyBorder="0" applyAlignment="0" applyProtection="0"/>
    <xf numFmtId="0" fontId="142" fillId="21" borderId="1" applyNumberFormat="0" applyAlignment="0" applyProtection="0"/>
    <xf numFmtId="0" fontId="143" fillId="22" borderId="2" applyNumberFormat="0" applyAlignment="0" applyProtection="0"/>
    <xf numFmtId="0" fontId="144" fillId="0" borderId="3" applyNumberFormat="0" applyFill="0" applyAlignment="0" applyProtection="0"/>
    <xf numFmtId="0" fontId="145" fillId="0" borderId="4" applyNumberFormat="0" applyFill="0" applyAlignment="0" applyProtection="0"/>
    <xf numFmtId="0" fontId="146" fillId="0" borderId="0" applyNumberFormat="0" applyFill="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0" fillId="25" borderId="0" applyNumberFormat="0" applyBorder="0" applyAlignment="0" applyProtection="0"/>
    <xf numFmtId="0" fontId="140" fillId="26" borderId="0" applyNumberFormat="0" applyBorder="0" applyAlignment="0" applyProtection="0"/>
    <xf numFmtId="0" fontId="140" fillId="27" borderId="0" applyNumberFormat="0" applyBorder="0" applyAlignment="0" applyProtection="0"/>
    <xf numFmtId="0" fontId="140" fillId="28" borderId="0" applyNumberFormat="0" applyBorder="0" applyAlignment="0" applyProtection="0"/>
    <xf numFmtId="0" fontId="147" fillId="29" borderId="1" applyNumberFormat="0" applyAlignment="0" applyProtection="0"/>
    <xf numFmtId="180" fontId="0" fillId="0" borderId="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50" fillId="30" borderId="0" applyNumberFormat="0" applyBorder="0" applyAlignment="0" applyProtection="0"/>
    <xf numFmtId="181" fontId="0" fillId="0" borderId="0" applyFill="0" applyBorder="0" applyAlignment="0" applyProtection="0"/>
    <xf numFmtId="169" fontId="1" fillId="0" borderId="0" applyFill="0" applyBorder="0" applyAlignment="0" applyProtection="0"/>
    <xf numFmtId="181" fontId="1" fillId="0" borderId="0" applyFill="0" applyBorder="0" applyAlignment="0" applyProtection="0"/>
    <xf numFmtId="182" fontId="1" fillId="0" borderId="0" applyFill="0" applyBorder="0" applyAlignment="0" applyProtection="0"/>
    <xf numFmtId="168" fontId="1" fillId="0" borderId="0" applyFill="0" applyBorder="0" applyAlignment="0" applyProtection="0"/>
    <xf numFmtId="0" fontId="151" fillId="31" borderId="0" applyNumberFormat="0" applyBorder="0" applyAlignment="0" applyProtection="0"/>
    <xf numFmtId="181"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0" fontId="152" fillId="21" borderId="6" applyNumberFormat="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0" borderId="7" applyNumberFormat="0" applyFill="0" applyAlignment="0" applyProtection="0"/>
    <xf numFmtId="0" fontId="146" fillId="0" borderId="8"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157" fillId="0" borderId="10" applyNumberFormat="0" applyFill="0" applyAlignment="0" applyProtection="0"/>
  </cellStyleXfs>
  <cellXfs count="703">
    <xf numFmtId="0" fontId="0" fillId="0" borderId="0" xfId="0" applyAlignment="1">
      <alignment/>
    </xf>
    <xf numFmtId="181" fontId="3" fillId="0" borderId="0" xfId="65" applyFont="1" applyFill="1" applyAlignment="1">
      <alignment vertical="center"/>
      <protection/>
    </xf>
    <xf numFmtId="0" fontId="5" fillId="0" borderId="0" xfId="0" applyFont="1" applyAlignment="1">
      <alignment/>
    </xf>
    <xf numFmtId="181" fontId="5" fillId="0" borderId="0" xfId="0" applyNumberFormat="1" applyFont="1" applyAlignment="1">
      <alignment/>
    </xf>
    <xf numFmtId="181" fontId="5"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81" fontId="2" fillId="0" borderId="0" xfId="64" applyFont="1" applyFill="1" applyAlignment="1" applyProtection="1">
      <alignment horizontal="center" vertical="center"/>
      <protection/>
    </xf>
    <xf numFmtId="181" fontId="3" fillId="0" borderId="0" xfId="64" applyFont="1" applyFill="1" applyAlignment="1" applyProtection="1">
      <alignment vertical="center"/>
      <protection/>
    </xf>
    <xf numFmtId="0" fontId="15" fillId="0" borderId="0" xfId="0" applyFont="1" applyAlignment="1">
      <alignment/>
    </xf>
    <xf numFmtId="0" fontId="0" fillId="0" borderId="0" xfId="0" applyBorder="1" applyAlignment="1">
      <alignment/>
    </xf>
    <xf numFmtId="0" fontId="15" fillId="0" borderId="0" xfId="0" applyFont="1" applyBorder="1" applyAlignment="1">
      <alignment/>
    </xf>
    <xf numFmtId="0" fontId="0" fillId="0" borderId="0" xfId="0" applyBorder="1" applyAlignment="1">
      <alignment horizontal="center"/>
    </xf>
    <xf numFmtId="0" fontId="18" fillId="0" borderId="0" xfId="0" applyFont="1" applyFill="1" applyAlignment="1">
      <alignment/>
    </xf>
    <xf numFmtId="0" fontId="0" fillId="0" borderId="0" xfId="0" applyFont="1" applyAlignment="1">
      <alignment/>
    </xf>
    <xf numFmtId="0" fontId="9" fillId="33" borderId="11" xfId="0" applyFont="1" applyFill="1" applyBorder="1" applyAlignment="1">
      <alignment horizontal="justify" vertical="center" wrapText="1"/>
    </xf>
    <xf numFmtId="0" fontId="13" fillId="33" borderId="12" xfId="0" applyFont="1" applyFill="1" applyBorder="1" applyAlignment="1">
      <alignment horizontal="justify" vertical="center" wrapText="1"/>
    </xf>
    <xf numFmtId="0" fontId="13" fillId="33" borderId="13" xfId="0" applyFont="1" applyFill="1" applyBorder="1" applyAlignment="1">
      <alignment horizontal="justify" vertical="center" wrapText="1"/>
    </xf>
    <xf numFmtId="0" fontId="9" fillId="33" borderId="11"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1" xfId="0" applyFont="1" applyBorder="1" applyAlignment="1" applyProtection="1">
      <alignment horizontal="justify" vertical="center" wrapText="1"/>
      <protection locked="0"/>
    </xf>
    <xf numFmtId="0" fontId="13" fillId="0" borderId="12" xfId="0" applyFont="1" applyBorder="1" applyAlignment="1" applyProtection="1">
      <alignment horizontal="justify" vertical="center" wrapText="1"/>
      <protection locked="0"/>
    </xf>
    <xf numFmtId="0" fontId="13" fillId="0" borderId="13" xfId="0" applyFont="1" applyBorder="1" applyAlignment="1" applyProtection="1">
      <alignment horizontal="justify" vertical="center" wrapText="1"/>
      <protection locked="0"/>
    </xf>
    <xf numFmtId="0" fontId="12" fillId="0" borderId="11" xfId="0" applyFont="1" applyBorder="1" applyAlignment="1">
      <alignment vertical="center" wrapText="1"/>
    </xf>
    <xf numFmtId="0" fontId="12" fillId="0" borderId="12" xfId="0" applyFont="1" applyBorder="1" applyAlignment="1">
      <alignment vertical="center" wrapText="1"/>
    </xf>
    <xf numFmtId="0" fontId="9" fillId="0" borderId="12" xfId="0" applyFont="1" applyBorder="1" applyAlignment="1">
      <alignment horizontal="justify" vertical="center" wrapText="1"/>
    </xf>
    <xf numFmtId="0" fontId="13"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1" xfId="0" applyFont="1" applyBorder="1" applyAlignment="1">
      <alignment horizontal="justify" vertical="center" wrapText="1"/>
    </xf>
    <xf numFmtId="181" fontId="24" fillId="0" borderId="0" xfId="56" applyFont="1" applyFill="1" applyAlignment="1" applyProtection="1">
      <alignment vertical="center"/>
      <protection/>
    </xf>
    <xf numFmtId="181" fontId="25" fillId="0" borderId="0" xfId="0" applyNumberFormat="1" applyFont="1" applyAlignment="1" applyProtection="1">
      <alignment horizontal="right"/>
      <protection/>
    </xf>
    <xf numFmtId="181" fontId="0" fillId="0" borderId="14" xfId="0" applyNumberFormat="1" applyFont="1" applyBorder="1" applyAlignment="1" applyProtection="1">
      <alignment horizontal="center"/>
      <protection locked="0"/>
    </xf>
    <xf numFmtId="181" fontId="25" fillId="0" borderId="0" xfId="0" applyNumberFormat="1" applyFont="1" applyBorder="1" applyAlignment="1" applyProtection="1">
      <alignment horizontal="right"/>
      <protection/>
    </xf>
    <xf numFmtId="0" fontId="25" fillId="0" borderId="0" xfId="0" applyFont="1" applyAlignment="1" applyProtection="1">
      <alignment horizontal="right"/>
      <protection/>
    </xf>
    <xf numFmtId="0" fontId="25" fillId="0" borderId="0" xfId="0" applyFont="1" applyAlignment="1" applyProtection="1">
      <alignment/>
      <protection/>
    </xf>
    <xf numFmtId="49" fontId="25" fillId="0" borderId="0" xfId="0" applyNumberFormat="1" applyFont="1" applyAlignment="1" applyProtection="1">
      <alignment horizontal="right"/>
      <protection/>
    </xf>
    <xf numFmtId="0" fontId="25" fillId="0" borderId="0" xfId="0" applyFont="1" applyBorder="1" applyAlignment="1" applyProtection="1">
      <alignment/>
      <protection/>
    </xf>
    <xf numFmtId="183" fontId="0" fillId="0" borderId="0" xfId="0" applyNumberFormat="1" applyAlignment="1" applyProtection="1">
      <alignment/>
      <protection/>
    </xf>
    <xf numFmtId="183" fontId="0" fillId="0" borderId="14" xfId="90" applyNumberFormat="1" applyFont="1" applyFill="1" applyBorder="1" applyAlignment="1" applyProtection="1">
      <alignment horizontal="center"/>
      <protection locked="0"/>
    </xf>
    <xf numFmtId="181" fontId="25" fillId="0" borderId="15" xfId="0" applyNumberFormat="1" applyFont="1" applyBorder="1" applyAlignment="1" applyProtection="1">
      <alignment horizontal="right"/>
      <protection/>
    </xf>
    <xf numFmtId="0" fontId="0" fillId="0" borderId="0" xfId="0" applyBorder="1" applyAlignment="1" applyProtection="1">
      <alignment/>
      <protection/>
    </xf>
    <xf numFmtId="181" fontId="25" fillId="0" borderId="0" xfId="0" applyNumberFormat="1" applyFont="1" applyAlignment="1" applyProtection="1">
      <alignment/>
      <protection/>
    </xf>
    <xf numFmtId="0" fontId="0" fillId="0" borderId="0" xfId="0" applyAlignment="1" applyProtection="1">
      <alignment/>
      <protection/>
    </xf>
    <xf numFmtId="0" fontId="0" fillId="34" borderId="14" xfId="0" applyFill="1" applyBorder="1" applyAlignment="1" applyProtection="1">
      <alignment/>
      <protection/>
    </xf>
    <xf numFmtId="0" fontId="0" fillId="35" borderId="14" xfId="0" applyFill="1" applyBorder="1" applyAlignment="1" applyProtection="1">
      <alignment/>
      <protection/>
    </xf>
    <xf numFmtId="0" fontId="0" fillId="0" borderId="0" xfId="0" applyFill="1" applyBorder="1" applyAlignment="1">
      <alignment/>
    </xf>
    <xf numFmtId="181" fontId="28" fillId="0" borderId="16" xfId="96" applyNumberFormat="1" applyFont="1" applyFill="1" applyBorder="1" applyAlignment="1" applyProtection="1">
      <alignment/>
      <protection/>
    </xf>
    <xf numFmtId="181" fontId="0" fillId="0" borderId="16" xfId="96" applyNumberFormat="1" applyFill="1" applyBorder="1" applyAlignment="1" applyProtection="1">
      <alignment vertical="center"/>
      <protection/>
    </xf>
    <xf numFmtId="181" fontId="29" fillId="0" borderId="16" xfId="96" applyNumberFormat="1" applyFont="1" applyFill="1" applyBorder="1" applyAlignment="1" applyProtection="1">
      <alignment horizontal="left" vertical="center"/>
      <protection/>
    </xf>
    <xf numFmtId="181" fontId="0" fillId="34" borderId="17" xfId="96" applyNumberFormat="1" applyFill="1" applyBorder="1" applyAlignment="1" applyProtection="1">
      <alignment vertical="center"/>
      <protection/>
    </xf>
    <xf numFmtId="181" fontId="30" fillId="0" borderId="0" xfId="96" applyNumberFormat="1" applyFont="1" applyFill="1" applyBorder="1" applyAlignment="1" applyProtection="1">
      <alignment vertical="center"/>
      <protection locked="0"/>
    </xf>
    <xf numFmtId="181" fontId="7" fillId="0" borderId="14" xfId="0" applyNumberFormat="1" applyFont="1" applyBorder="1" applyAlignment="1" applyProtection="1">
      <alignment horizontal="center"/>
      <protection locked="0"/>
    </xf>
    <xf numFmtId="181" fontId="0" fillId="0" borderId="0" xfId="96" applyNumberFormat="1" applyFill="1" applyBorder="1" applyAlignment="1" applyProtection="1">
      <alignment vertical="center"/>
      <protection/>
    </xf>
    <xf numFmtId="181" fontId="0" fillId="0" borderId="0" xfId="96" applyNumberFormat="1" applyFont="1" applyFill="1" applyBorder="1" applyAlignment="1" applyProtection="1">
      <alignment vertical="center"/>
      <protection/>
    </xf>
    <xf numFmtId="181" fontId="0" fillId="0" borderId="0" xfId="96" applyNumberFormat="1" applyFill="1" applyBorder="1" applyAlignment="1" applyProtection="1">
      <alignment vertical="center"/>
      <protection locked="0"/>
    </xf>
    <xf numFmtId="181" fontId="28" fillId="0" borderId="0" xfId="96" applyNumberFormat="1" applyFont="1" applyFill="1" applyBorder="1" applyAlignment="1" applyProtection="1">
      <alignment/>
      <protection/>
    </xf>
    <xf numFmtId="184" fontId="26" fillId="36" borderId="0" xfId="0" applyNumberFormat="1" applyFont="1" applyFill="1" applyAlignment="1">
      <alignment/>
    </xf>
    <xf numFmtId="185" fontId="26" fillId="36" borderId="0" xfId="0" applyNumberFormat="1" applyFont="1" applyFill="1" applyAlignment="1">
      <alignment/>
    </xf>
    <xf numFmtId="0" fontId="26" fillId="36" borderId="0" xfId="0" applyFont="1" applyFill="1" applyAlignment="1">
      <alignment/>
    </xf>
    <xf numFmtId="181" fontId="31" fillId="0" borderId="18" xfId="0" applyNumberFormat="1" applyFont="1" applyBorder="1" applyAlignment="1" applyProtection="1">
      <alignment horizontal="left"/>
      <protection/>
    </xf>
    <xf numFmtId="184" fontId="31" fillId="37" borderId="19" xfId="0" applyNumberFormat="1" applyFont="1" applyFill="1" applyBorder="1" applyAlignment="1" applyProtection="1">
      <alignment horizontal="center"/>
      <protection locked="0"/>
    </xf>
    <xf numFmtId="183" fontId="22" fillId="0" borderId="20" xfId="0" applyNumberFormat="1" applyFont="1" applyBorder="1" applyAlignment="1" applyProtection="1">
      <alignment horizontal="left"/>
      <protection/>
    </xf>
    <xf numFmtId="187" fontId="22" fillId="34" borderId="19" xfId="0" applyNumberFormat="1" applyFont="1" applyFill="1" applyBorder="1" applyAlignment="1" applyProtection="1">
      <alignment/>
      <protection locked="0"/>
    </xf>
    <xf numFmtId="0" fontId="22" fillId="0" borderId="18" xfId="0" applyFont="1" applyBorder="1" applyAlignment="1" applyProtection="1">
      <alignment horizontal="left"/>
      <protection/>
    </xf>
    <xf numFmtId="187" fontId="22" fillId="34" borderId="21" xfId="0" applyNumberFormat="1" applyFont="1" applyFill="1" applyBorder="1" applyAlignment="1" applyProtection="1">
      <alignment/>
      <protection locked="0"/>
    </xf>
    <xf numFmtId="183" fontId="22" fillId="0" borderId="22" xfId="0" applyNumberFormat="1" applyFont="1" applyBorder="1" applyAlignment="1" applyProtection="1">
      <alignment horizontal="left"/>
      <protection/>
    </xf>
    <xf numFmtId="187" fontId="22" fillId="0" borderId="14" xfId="0" applyNumberFormat="1" applyFont="1" applyFill="1" applyBorder="1" applyAlignment="1" applyProtection="1">
      <alignment/>
      <protection/>
    </xf>
    <xf numFmtId="188" fontId="22" fillId="0" borderId="14" xfId="0" applyNumberFormat="1" applyFont="1" applyFill="1" applyBorder="1" applyAlignment="1" applyProtection="1">
      <alignment/>
      <protection/>
    </xf>
    <xf numFmtId="183" fontId="22" fillId="0" borderId="23" xfId="0" applyNumberFormat="1" applyFont="1" applyBorder="1" applyAlignment="1" applyProtection="1">
      <alignment horizontal="left"/>
      <protection/>
    </xf>
    <xf numFmtId="187" fontId="22" fillId="0" borderId="24" xfId="0" applyNumberFormat="1" applyFont="1" applyFill="1" applyBorder="1" applyAlignment="1" applyProtection="1">
      <alignment/>
      <protection/>
    </xf>
    <xf numFmtId="9" fontId="26" fillId="0" borderId="0" xfId="75" applyFont="1" applyFill="1" applyBorder="1" applyAlignment="1" applyProtection="1">
      <alignment/>
      <protection/>
    </xf>
    <xf numFmtId="184" fontId="26" fillId="36" borderId="0" xfId="0" applyNumberFormat="1" applyFont="1" applyFill="1" applyAlignment="1" applyProtection="1">
      <alignment/>
      <protection/>
    </xf>
    <xf numFmtId="49" fontId="0" fillId="0" borderId="0" xfId="0" applyNumberFormat="1" applyAlignment="1" applyProtection="1">
      <alignment/>
      <protection/>
    </xf>
    <xf numFmtId="185" fontId="0" fillId="0" borderId="0" xfId="0" applyNumberFormat="1" applyAlignment="1" applyProtection="1">
      <alignment/>
      <protection/>
    </xf>
    <xf numFmtId="184" fontId="31" fillId="0" borderId="0" xfId="0" applyNumberFormat="1" applyFont="1" applyFill="1" applyBorder="1" applyAlignment="1">
      <alignment horizontal="center"/>
    </xf>
    <xf numFmtId="181" fontId="22" fillId="0" borderId="0" xfId="0" applyNumberFormat="1" applyFont="1" applyFill="1" applyBorder="1" applyAlignment="1">
      <alignment/>
    </xf>
    <xf numFmtId="181" fontId="32" fillId="0" borderId="25" xfId="0" applyNumberFormat="1" applyFont="1" applyFill="1" applyBorder="1" applyAlignment="1" applyProtection="1">
      <alignment vertical="center" wrapText="1"/>
      <protection/>
    </xf>
    <xf numFmtId="0" fontId="32" fillId="0" borderId="26" xfId="0" applyNumberFormat="1" applyFont="1" applyFill="1" applyBorder="1" applyAlignment="1" applyProtection="1">
      <alignment horizontal="center" vertical="center" wrapText="1"/>
      <protection/>
    </xf>
    <xf numFmtId="0" fontId="32" fillId="0" borderId="27" xfId="0" applyNumberFormat="1"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protection/>
    </xf>
    <xf numFmtId="0" fontId="34" fillId="0" borderId="0" xfId="0" applyFont="1" applyFill="1" applyBorder="1" applyAlignment="1" applyProtection="1">
      <alignment horizontal="center"/>
      <protection/>
    </xf>
    <xf numFmtId="0" fontId="34" fillId="0" borderId="0" xfId="0" applyFont="1" applyFill="1" applyBorder="1" applyAlignment="1">
      <alignment horizontal="center"/>
    </xf>
    <xf numFmtId="181" fontId="34" fillId="0" borderId="28" xfId="0" applyNumberFormat="1" applyFont="1" applyFill="1" applyBorder="1" applyAlignment="1" applyProtection="1">
      <alignment wrapText="1"/>
      <protection locked="0"/>
    </xf>
    <xf numFmtId="186" fontId="0" fillId="34" borderId="29" xfId="50" applyNumberFormat="1" applyFont="1" applyFill="1" applyBorder="1" applyAlignment="1" applyProtection="1">
      <alignment/>
      <protection locked="0"/>
    </xf>
    <xf numFmtId="190" fontId="0" fillId="0" borderId="0" xfId="0" applyNumberFormat="1" applyFill="1" applyBorder="1" applyAlignment="1" applyProtection="1">
      <alignment/>
      <protection locked="0"/>
    </xf>
    <xf numFmtId="190"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0" fontId="0" fillId="0" borderId="0" xfId="0" applyNumberFormat="1" applyFill="1" applyBorder="1" applyAlignment="1" applyProtection="1">
      <alignment/>
      <protection locked="0"/>
    </xf>
    <xf numFmtId="191"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6" fontId="0" fillId="34" borderId="30" xfId="50" applyNumberFormat="1" applyFont="1" applyFill="1" applyBorder="1" applyAlignment="1" applyProtection="1">
      <alignment/>
      <protection locked="0"/>
    </xf>
    <xf numFmtId="187" fontId="0" fillId="0" borderId="0" xfId="0" applyNumberFormat="1" applyFill="1" applyBorder="1" applyAlignment="1" applyProtection="1">
      <alignment/>
      <protection locked="0"/>
    </xf>
    <xf numFmtId="0" fontId="34" fillId="0" borderId="28" xfId="0" applyFont="1" applyFill="1" applyBorder="1" applyAlignment="1" applyProtection="1">
      <alignment wrapText="1"/>
      <protection locked="0"/>
    </xf>
    <xf numFmtId="182" fontId="1" fillId="34" borderId="29" xfId="53" applyFill="1" applyBorder="1" applyAlignment="1" applyProtection="1">
      <alignment/>
      <protection locked="0"/>
    </xf>
    <xf numFmtId="182" fontId="1" fillId="34" borderId="30" xfId="53" applyFill="1" applyBorder="1" applyAlignment="1" applyProtection="1">
      <alignment/>
      <protection locked="0"/>
    </xf>
    <xf numFmtId="181" fontId="0" fillId="0" borderId="31" xfId="0" applyNumberFormat="1" applyFont="1" applyBorder="1" applyAlignment="1" applyProtection="1">
      <alignment/>
      <protection/>
    </xf>
    <xf numFmtId="192" fontId="0" fillId="0" borderId="32" xfId="0" applyNumberFormat="1" applyBorder="1" applyAlignment="1" applyProtection="1">
      <alignment/>
      <protection/>
    </xf>
    <xf numFmtId="187" fontId="0" fillId="0" borderId="0" xfId="0" applyNumberFormat="1" applyAlignment="1" applyProtection="1">
      <alignment/>
      <protection/>
    </xf>
    <xf numFmtId="187" fontId="26" fillId="36" borderId="0" xfId="0" applyNumberFormat="1" applyFont="1" applyFill="1" applyAlignment="1" applyProtection="1">
      <alignment/>
      <protection/>
    </xf>
    <xf numFmtId="49" fontId="34" fillId="0" borderId="33" xfId="0" applyNumberFormat="1" applyFont="1" applyFill="1" applyBorder="1" applyAlignment="1" applyProtection="1">
      <alignment/>
      <protection locked="0"/>
    </xf>
    <xf numFmtId="187" fontId="33" fillId="0" borderId="0" xfId="0" applyNumberFormat="1" applyFont="1" applyAlignment="1" applyProtection="1">
      <alignment horizontal="right"/>
      <protection/>
    </xf>
    <xf numFmtId="0" fontId="32" fillId="0" borderId="34" xfId="0" applyFont="1" applyBorder="1" applyAlignment="1" applyProtection="1">
      <alignment vertical="distributed" wrapText="1"/>
      <protection/>
    </xf>
    <xf numFmtId="181" fontId="35" fillId="0" borderId="35" xfId="0" applyNumberFormat="1" applyFont="1" applyFill="1" applyBorder="1" applyAlignment="1" applyProtection="1">
      <alignment horizontal="center" vertical="center" wrapText="1"/>
      <protection/>
    </xf>
    <xf numFmtId="183" fontId="35" fillId="0" borderId="36" xfId="0" applyNumberFormat="1"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protection/>
    </xf>
    <xf numFmtId="183" fontId="37" fillId="0" borderId="0" xfId="0" applyNumberFormat="1" applyFont="1" applyFill="1" applyBorder="1" applyAlignment="1" applyProtection="1">
      <alignment horizontal="center" vertical="center" wrapText="1"/>
      <protection/>
    </xf>
    <xf numFmtId="183" fontId="37" fillId="0" borderId="0" xfId="0" applyNumberFormat="1" applyFont="1" applyFill="1" applyBorder="1" applyAlignment="1" applyProtection="1">
      <alignment horizontal="center" vertical="center" wrapText="1"/>
      <protection locked="0"/>
    </xf>
    <xf numFmtId="194" fontId="33" fillId="0" borderId="37" xfId="50" applyNumberFormat="1" applyFont="1" applyFill="1" applyBorder="1" applyAlignment="1" applyProtection="1">
      <alignment/>
      <protection/>
    </xf>
    <xf numFmtId="0" fontId="33" fillId="0" borderId="0" xfId="0" applyFont="1" applyFill="1" applyBorder="1" applyAlignment="1" applyProtection="1">
      <alignment horizontal="center"/>
      <protection/>
    </xf>
    <xf numFmtId="0" fontId="33" fillId="0" borderId="0" xfId="0" applyFont="1" applyFill="1" applyBorder="1" applyAlignment="1" applyProtection="1">
      <alignment/>
      <protection locked="0"/>
    </xf>
    <xf numFmtId="185" fontId="26" fillId="0" borderId="0" xfId="0" applyNumberFormat="1" applyFont="1" applyFill="1" applyBorder="1" applyAlignment="1" applyProtection="1">
      <alignment/>
      <protection/>
    </xf>
    <xf numFmtId="185" fontId="33" fillId="0" borderId="0" xfId="50" applyNumberFormat="1" applyFont="1" applyFill="1" applyBorder="1" applyAlignment="1" applyProtection="1">
      <alignment/>
      <protection locked="0"/>
    </xf>
    <xf numFmtId="193" fontId="33" fillId="0" borderId="0" xfId="75" applyNumberFormat="1" applyFont="1" applyFill="1" applyBorder="1" applyAlignment="1" applyProtection="1">
      <alignment horizontal="center"/>
      <protection/>
    </xf>
    <xf numFmtId="183" fontId="33" fillId="0" borderId="0" xfId="0" applyNumberFormat="1" applyFont="1" applyFill="1" applyBorder="1" applyAlignment="1" applyProtection="1">
      <alignment horizontal="center"/>
      <protection/>
    </xf>
    <xf numFmtId="193" fontId="33" fillId="0" borderId="0" xfId="75" applyNumberFormat="1" applyFont="1" applyFill="1" applyBorder="1" applyAlignment="1" applyProtection="1">
      <alignment horizontal="center"/>
      <protection locked="0"/>
    </xf>
    <xf numFmtId="194" fontId="33" fillId="0" borderId="38" xfId="50" applyNumberFormat="1" applyFont="1" applyFill="1" applyBorder="1" applyAlignment="1" applyProtection="1">
      <alignment/>
      <protection/>
    </xf>
    <xf numFmtId="196" fontId="0" fillId="0" borderId="0" xfId="0" applyNumberFormat="1" applyAlignment="1" applyProtection="1">
      <alignment/>
      <protection/>
    </xf>
    <xf numFmtId="183" fontId="34" fillId="0" borderId="39" xfId="0" applyNumberFormat="1" applyFont="1" applyFill="1" applyBorder="1" applyAlignment="1" applyProtection="1">
      <alignment/>
      <protection/>
    </xf>
    <xf numFmtId="181" fontId="34" fillId="0" borderId="14" xfId="0" applyNumberFormat="1" applyFont="1" applyFill="1" applyBorder="1" applyAlignment="1" applyProtection="1">
      <alignment horizontal="center"/>
      <protection/>
    </xf>
    <xf numFmtId="181" fontId="34" fillId="0" borderId="40" xfId="0" applyNumberFormat="1" applyFont="1" applyFill="1" applyBorder="1" applyAlignment="1" applyProtection="1">
      <alignment horizontal="center"/>
      <protection/>
    </xf>
    <xf numFmtId="181" fontId="34" fillId="0" borderId="39" xfId="0" applyNumberFormat="1" applyFont="1" applyFill="1" applyBorder="1" applyAlignment="1" applyProtection="1">
      <alignment/>
      <protection/>
    </xf>
    <xf numFmtId="1" fontId="0" fillId="34" borderId="14" xfId="0" applyNumberFormat="1" applyFill="1" applyBorder="1" applyAlignment="1" applyProtection="1">
      <alignment horizontal="center"/>
      <protection locked="0"/>
    </xf>
    <xf numFmtId="1" fontId="0" fillId="34" borderId="40" xfId="0" applyNumberFormat="1" applyFill="1" applyBorder="1" applyAlignment="1" applyProtection="1">
      <alignment horizontal="center"/>
      <protection locked="0"/>
    </xf>
    <xf numFmtId="181" fontId="34" fillId="0" borderId="41" xfId="0" applyNumberFormat="1" applyFont="1" applyFill="1" applyBorder="1" applyAlignment="1" applyProtection="1">
      <alignment/>
      <protection/>
    </xf>
    <xf numFmtId="181" fontId="34" fillId="0" borderId="42" xfId="0" applyNumberFormat="1" applyFont="1" applyFill="1" applyBorder="1" applyAlignment="1" applyProtection="1">
      <alignment/>
      <protection/>
    </xf>
    <xf numFmtId="1" fontId="0" fillId="34" borderId="24" xfId="0" applyNumberFormat="1" applyFont="1" applyFill="1" applyBorder="1" applyAlignment="1" applyProtection="1">
      <alignment horizontal="center"/>
      <protection locked="0"/>
    </xf>
    <xf numFmtId="1" fontId="0" fillId="34" borderId="43" xfId="0" applyNumberFormat="1" applyFont="1" applyFill="1" applyBorder="1" applyAlignment="1" applyProtection="1">
      <alignment horizontal="center"/>
      <protection locked="0"/>
    </xf>
    <xf numFmtId="181" fontId="34" fillId="0" borderId="44" xfId="0" applyNumberFormat="1" applyFont="1" applyFill="1" applyBorder="1" applyAlignment="1" applyProtection="1">
      <alignment/>
      <protection/>
    </xf>
    <xf numFmtId="0" fontId="0" fillId="0" borderId="45" xfId="0" applyBorder="1" applyAlignment="1" applyProtection="1">
      <alignment/>
      <protection/>
    </xf>
    <xf numFmtId="181" fontId="39" fillId="0" borderId="45" xfId="96" applyNumberFormat="1" applyFont="1" applyFill="1" applyBorder="1" applyAlignment="1" applyProtection="1">
      <alignment/>
      <protection/>
    </xf>
    <xf numFmtId="181" fontId="30" fillId="0" borderId="45" xfId="96" applyNumberFormat="1" applyFont="1" applyFill="1" applyBorder="1" applyAlignment="1" applyProtection="1">
      <alignment vertical="center"/>
      <protection/>
    </xf>
    <xf numFmtId="181" fontId="40" fillId="0" borderId="45" xfId="96" applyNumberFormat="1" applyFont="1" applyFill="1" applyBorder="1" applyAlignment="1" applyProtection="1">
      <alignment vertical="center"/>
      <protection/>
    </xf>
    <xf numFmtId="181" fontId="30" fillId="0" borderId="45" xfId="96" applyNumberFormat="1" applyFont="1" applyFill="1" applyBorder="1" applyAlignment="1" applyProtection="1">
      <alignment horizontal="center" vertical="center"/>
      <protection/>
    </xf>
    <xf numFmtId="181" fontId="30" fillId="35" borderId="46" xfId="96" applyNumberFormat="1" applyFont="1" applyFill="1" applyBorder="1" applyAlignment="1" applyProtection="1">
      <alignment horizontal="center" vertical="center"/>
      <protection/>
    </xf>
    <xf numFmtId="181" fontId="30" fillId="0" borderId="47" xfId="96" applyNumberFormat="1" applyFont="1" applyFill="1" applyBorder="1" applyAlignment="1" applyProtection="1">
      <alignment vertical="center"/>
      <protection/>
    </xf>
    <xf numFmtId="181" fontId="30" fillId="0" borderId="0" xfId="96" applyNumberFormat="1" applyFont="1" applyFill="1" applyBorder="1" applyAlignment="1" applyProtection="1">
      <alignment horizontal="center" vertical="center"/>
      <protection locked="0"/>
    </xf>
    <xf numFmtId="181" fontId="39" fillId="0" borderId="0" xfId="96" applyNumberFormat="1" applyFont="1" applyFill="1" applyBorder="1" applyAlignment="1" applyProtection="1">
      <alignment/>
      <protection/>
    </xf>
    <xf numFmtId="181" fontId="30" fillId="0" borderId="0" xfId="96" applyNumberFormat="1" applyFont="1" applyFill="1" applyBorder="1" applyAlignment="1" applyProtection="1">
      <alignment vertical="center"/>
      <protection/>
    </xf>
    <xf numFmtId="181" fontId="41" fillId="0" borderId="0" xfId="96" applyNumberFormat="1" applyFont="1" applyFill="1" applyBorder="1" applyAlignment="1" applyProtection="1">
      <alignment vertical="center"/>
      <protection/>
    </xf>
    <xf numFmtId="0" fontId="0" fillId="0" borderId="0" xfId="0" applyBorder="1" applyAlignment="1" applyProtection="1">
      <alignment/>
      <protection/>
    </xf>
    <xf numFmtId="0" fontId="19" fillId="0" borderId="0" xfId="0" applyFont="1" applyBorder="1" applyAlignment="1" applyProtection="1">
      <alignment horizontal="center"/>
      <protection/>
    </xf>
    <xf numFmtId="181" fontId="19" fillId="0" borderId="48" xfId="0" applyNumberFormat="1" applyFont="1" applyBorder="1" applyAlignment="1" applyProtection="1">
      <alignment horizontal="center"/>
      <protection/>
    </xf>
    <xf numFmtId="181" fontId="19" fillId="0" borderId="48" xfId="0" applyNumberFormat="1" applyFont="1" applyBorder="1" applyAlignment="1" applyProtection="1">
      <alignment horizontal="center" wrapText="1"/>
      <protection/>
    </xf>
    <xf numFmtId="181" fontId="19" fillId="0" borderId="49" xfId="0" applyNumberFormat="1" applyFont="1" applyBorder="1" applyAlignment="1" applyProtection="1">
      <alignment horizontal="center"/>
      <protection/>
    </xf>
    <xf numFmtId="0" fontId="30" fillId="0" borderId="0" xfId="0" applyFont="1" applyFill="1" applyBorder="1" applyAlignment="1" applyProtection="1">
      <alignment horizontal="center" vertical="center"/>
      <protection/>
    </xf>
    <xf numFmtId="181" fontId="0" fillId="0" borderId="50" xfId="0" applyNumberFormat="1" applyFont="1" applyBorder="1" applyAlignment="1" applyProtection="1">
      <alignment horizontal="left"/>
      <protection/>
    </xf>
    <xf numFmtId="1" fontId="19" fillId="35" borderId="14" xfId="0" applyNumberFormat="1" applyFont="1" applyFill="1" applyBorder="1" applyAlignment="1" applyProtection="1">
      <alignment horizontal="center"/>
      <protection locked="0"/>
    </xf>
    <xf numFmtId="1" fontId="38" fillId="35" borderId="14" xfId="0" applyNumberFormat="1" applyFont="1" applyFill="1" applyBorder="1" applyAlignment="1" applyProtection="1">
      <alignment horizontal="center"/>
      <protection locked="0"/>
    </xf>
    <xf numFmtId="1" fontId="38" fillId="36" borderId="51"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81" fontId="0" fillId="0" borderId="52" xfId="0" applyNumberFormat="1" applyFont="1" applyBorder="1" applyAlignment="1" applyProtection="1">
      <alignment horizontal="left"/>
      <protection/>
    </xf>
    <xf numFmtId="1" fontId="42" fillId="35" borderId="53" xfId="0" applyNumberFormat="1" applyFont="1" applyFill="1" applyBorder="1" applyAlignment="1" applyProtection="1">
      <alignment horizontal="center"/>
      <protection locked="0"/>
    </xf>
    <xf numFmtId="1" fontId="38" fillId="35" borderId="53" xfId="0" applyNumberFormat="1" applyFont="1" applyFill="1" applyBorder="1" applyAlignment="1" applyProtection="1">
      <alignment horizontal="center"/>
      <protection locked="0"/>
    </xf>
    <xf numFmtId="1" fontId="38" fillId="36" borderId="54" xfId="0" applyNumberFormat="1" applyFont="1" applyFill="1" applyBorder="1" applyAlignment="1" applyProtection="1">
      <alignment horizontal="center"/>
      <protection/>
    </xf>
    <xf numFmtId="0" fontId="0" fillId="0" borderId="55" xfId="0" applyBorder="1" applyAlignment="1" applyProtection="1">
      <alignment/>
      <protection/>
    </xf>
    <xf numFmtId="181" fontId="0" fillId="0" borderId="48" xfId="0" applyNumberFormat="1" applyFont="1" applyBorder="1" applyAlignment="1" applyProtection="1">
      <alignment horizontal="center"/>
      <protection/>
    </xf>
    <xf numFmtId="181" fontId="0" fillId="0" borderId="49" xfId="0" applyNumberFormat="1" applyFont="1" applyBorder="1" applyAlignment="1" applyProtection="1">
      <alignment horizontal="center"/>
      <protection/>
    </xf>
    <xf numFmtId="0" fontId="19" fillId="35" borderId="53" xfId="0" applyNumberFormat="1" applyFont="1" applyFill="1" applyBorder="1" applyAlignment="1" applyProtection="1">
      <alignment horizontal="center"/>
      <protection locked="0"/>
    </xf>
    <xf numFmtId="0" fontId="0" fillId="0" borderId="54" xfId="0" applyNumberFormat="1" applyFill="1" applyBorder="1" applyAlignment="1" applyProtection="1">
      <alignment horizontal="center"/>
      <protection/>
    </xf>
    <xf numFmtId="0" fontId="25" fillId="0" borderId="0" xfId="0" applyFont="1" applyFill="1" applyBorder="1" applyAlignment="1" applyProtection="1">
      <alignment horizontal="right"/>
      <protection/>
    </xf>
    <xf numFmtId="183" fontId="0" fillId="0" borderId="0" xfId="0" applyNumberFormat="1" applyFont="1" applyFill="1" applyBorder="1" applyAlignment="1" applyProtection="1">
      <alignment horizontal="left"/>
      <protection/>
    </xf>
    <xf numFmtId="0" fontId="19" fillId="0" borderId="0" xfId="0" applyFont="1" applyBorder="1" applyAlignment="1" applyProtection="1">
      <alignment/>
      <protection/>
    </xf>
    <xf numFmtId="181" fontId="0" fillId="0" borderId="49" xfId="0" applyNumberFormat="1" applyFont="1" applyBorder="1" applyAlignment="1" applyProtection="1">
      <alignment horizontal="center" wrapText="1"/>
      <protection/>
    </xf>
    <xf numFmtId="0" fontId="43" fillId="0" borderId="0" xfId="0" applyFont="1" applyFill="1" applyBorder="1" applyAlignment="1" applyProtection="1">
      <alignment horizontal="center" wrapText="1"/>
      <protection/>
    </xf>
    <xf numFmtId="0" fontId="0" fillId="35" borderId="53" xfId="0" applyNumberFormat="1" applyFont="1" applyFill="1" applyBorder="1" applyAlignment="1" applyProtection="1">
      <alignment horizontal="center"/>
      <protection locked="0"/>
    </xf>
    <xf numFmtId="0" fontId="0" fillId="35" borderId="54" xfId="0" applyNumberFormat="1" applyFont="1" applyFill="1" applyBorder="1" applyAlignment="1" applyProtection="1">
      <alignment horizontal="center"/>
      <protection locked="0"/>
    </xf>
    <xf numFmtId="183" fontId="0" fillId="0" borderId="0" xfId="0" applyNumberFormat="1" applyFill="1" applyBorder="1" applyAlignment="1" applyProtection="1">
      <alignment horizontal="center"/>
      <protection locked="0"/>
    </xf>
    <xf numFmtId="0" fontId="19" fillId="0" borderId="0" xfId="0" applyFont="1" applyFill="1" applyBorder="1" applyAlignment="1" applyProtection="1">
      <alignment/>
      <protection/>
    </xf>
    <xf numFmtId="181" fontId="31" fillId="0" borderId="48" xfId="0" applyNumberFormat="1" applyFont="1" applyBorder="1" applyAlignment="1" applyProtection="1">
      <alignment horizontal="center"/>
      <protection/>
    </xf>
    <xf numFmtId="181" fontId="31" fillId="0" borderId="49" xfId="0" applyNumberFormat="1" applyFont="1" applyBorder="1" applyAlignment="1" applyProtection="1">
      <alignment horizontal="center"/>
      <protection/>
    </xf>
    <xf numFmtId="1" fontId="0" fillId="35" borderId="14" xfId="0" applyNumberFormat="1" applyFill="1" applyBorder="1" applyAlignment="1" applyProtection="1">
      <alignment horizontal="center"/>
      <protection locked="0"/>
    </xf>
    <xf numFmtId="1" fontId="0" fillId="0" borderId="51" xfId="0" applyNumberFormat="1" applyFill="1" applyBorder="1" applyAlignment="1" applyProtection="1">
      <alignment horizontal="center"/>
      <protection/>
    </xf>
    <xf numFmtId="1" fontId="19" fillId="35" borderId="56" xfId="0" applyNumberFormat="1" applyFont="1" applyFill="1" applyBorder="1" applyAlignment="1" applyProtection="1">
      <alignment horizontal="center"/>
      <protection locked="0"/>
    </xf>
    <xf numFmtId="1" fontId="0" fillId="35" borderId="56" xfId="0" applyNumberFormat="1" applyFill="1" applyBorder="1" applyAlignment="1" applyProtection="1">
      <alignment horizontal="center"/>
      <protection locked="0"/>
    </xf>
    <xf numFmtId="181" fontId="44" fillId="0" borderId="57" xfId="0" applyNumberFormat="1" applyFont="1" applyFill="1" applyBorder="1" applyAlignment="1" applyProtection="1">
      <alignment horizontal="left"/>
      <protection/>
    </xf>
    <xf numFmtId="0" fontId="0" fillId="0" borderId="58" xfId="0" applyBorder="1" applyAlignment="1" applyProtection="1">
      <alignment/>
      <protection/>
    </xf>
    <xf numFmtId="184" fontId="31" fillId="37" borderId="59" xfId="0" applyNumberFormat="1" applyFont="1" applyFill="1" applyBorder="1" applyAlignment="1" applyProtection="1">
      <alignment horizontal="center"/>
      <protection locked="0"/>
    </xf>
    <xf numFmtId="184" fontId="31" fillId="37" borderId="60" xfId="0" applyNumberFormat="1" applyFont="1" applyFill="1" applyBorder="1" applyAlignment="1" applyProtection="1">
      <alignment horizontal="center"/>
      <protection locked="0"/>
    </xf>
    <xf numFmtId="184" fontId="0" fillId="0" borderId="61" xfId="0" applyNumberFormat="1" applyFont="1" applyFill="1" applyBorder="1" applyAlignment="1" applyProtection="1">
      <alignment horizontal="left"/>
      <protection/>
    </xf>
    <xf numFmtId="187" fontId="0" fillId="35" borderId="62" xfId="0" applyNumberFormat="1" applyFill="1" applyBorder="1" applyAlignment="1" applyProtection="1">
      <alignment horizontal="right" wrapText="1"/>
      <protection/>
    </xf>
    <xf numFmtId="187" fontId="0" fillId="35" borderId="14" xfId="0" applyNumberFormat="1" applyFill="1" applyBorder="1" applyAlignment="1" applyProtection="1">
      <alignment horizontal="right" wrapText="1"/>
      <protection locked="0"/>
    </xf>
    <xf numFmtId="184" fontId="0" fillId="0" borderId="63" xfId="0" applyNumberFormat="1" applyFont="1" applyBorder="1" applyAlignment="1" applyProtection="1">
      <alignment horizontal="left"/>
      <protection/>
    </xf>
    <xf numFmtId="184" fontId="0" fillId="0" borderId="41" xfId="0" applyNumberFormat="1" applyFont="1" applyBorder="1" applyAlignment="1" applyProtection="1">
      <alignment horizontal="left" wrapText="1"/>
      <protection/>
    </xf>
    <xf numFmtId="0" fontId="0" fillId="0" borderId="0" xfId="0" applyFill="1" applyBorder="1" applyAlignment="1" applyProtection="1">
      <alignment horizontal="center" wrapText="1"/>
      <protection/>
    </xf>
    <xf numFmtId="181" fontId="0" fillId="0" borderId="0" xfId="50" applyFont="1" applyFill="1" applyBorder="1" applyAlignment="1" applyProtection="1">
      <alignment/>
      <protection/>
    </xf>
    <xf numFmtId="181" fontId="0" fillId="0" borderId="0" xfId="0" applyNumberFormat="1" applyFill="1" applyBorder="1" applyAlignment="1" applyProtection="1">
      <alignment/>
      <protection/>
    </xf>
    <xf numFmtId="184" fontId="0" fillId="0" borderId="0" xfId="0" applyNumberFormat="1" applyFont="1" applyBorder="1" applyAlignment="1" applyProtection="1">
      <alignment/>
      <protection/>
    </xf>
    <xf numFmtId="181" fontId="0" fillId="0" borderId="58" xfId="0" applyNumberFormat="1" applyFont="1" applyFill="1" applyBorder="1" applyAlignment="1" applyProtection="1">
      <alignment horizontal="left"/>
      <protection/>
    </xf>
    <xf numFmtId="181" fontId="45" fillId="0" borderId="64" xfId="0" applyNumberFormat="1" applyFont="1" applyFill="1" applyBorder="1" applyAlignment="1" applyProtection="1">
      <alignment horizontal="center" wrapText="1"/>
      <protection/>
    </xf>
    <xf numFmtId="181" fontId="45" fillId="0" borderId="64" xfId="0" applyNumberFormat="1" applyFont="1" applyBorder="1" applyAlignment="1">
      <alignment horizontal="center" wrapText="1"/>
    </xf>
    <xf numFmtId="181" fontId="45" fillId="0" borderId="65" xfId="0" applyNumberFormat="1" applyFont="1" applyFill="1" applyBorder="1" applyAlignment="1" applyProtection="1">
      <alignment horizontal="center" wrapText="1"/>
      <protection/>
    </xf>
    <xf numFmtId="181" fontId="0" fillId="35" borderId="14" xfId="0" applyNumberFormat="1" applyFont="1" applyFill="1" applyBorder="1" applyAlignment="1" applyProtection="1">
      <alignment/>
      <protection locked="0"/>
    </xf>
    <xf numFmtId="0" fontId="0" fillId="35" borderId="62" xfId="0" applyNumberFormat="1" applyFill="1" applyBorder="1" applyAlignment="1" applyProtection="1">
      <alignment horizontal="center" vertical="center"/>
      <protection/>
    </xf>
    <xf numFmtId="0" fontId="0" fillId="0" borderId="14" xfId="0" applyNumberFormat="1" applyFill="1" applyBorder="1" applyAlignment="1" applyProtection="1">
      <alignment horizontal="center" vertical="center"/>
      <protection/>
    </xf>
    <xf numFmtId="197" fontId="0" fillId="35" borderId="62" xfId="0" applyNumberFormat="1" applyFill="1" applyBorder="1" applyAlignment="1" applyProtection="1">
      <alignment horizontal="center" vertical="center"/>
      <protection/>
    </xf>
    <xf numFmtId="1" fontId="0" fillId="0" borderId="14" xfId="0" applyNumberFormat="1" applyFill="1" applyBorder="1" applyAlignment="1" applyProtection="1">
      <alignment horizontal="center" vertical="center"/>
      <protection/>
    </xf>
    <xf numFmtId="187" fontId="0" fillId="35" borderId="62" xfId="0" applyNumberFormat="1" applyFill="1" applyBorder="1" applyAlignment="1" applyProtection="1">
      <alignment horizontal="center" vertical="center"/>
      <protection/>
    </xf>
    <xf numFmtId="198" fontId="0" fillId="0" borderId="14" xfId="0" applyNumberFormat="1" applyFill="1" applyBorder="1" applyAlignment="1" applyProtection="1">
      <alignment horizontal="center" vertical="center"/>
      <protection/>
    </xf>
    <xf numFmtId="0" fontId="42" fillId="0" borderId="0" xfId="0" applyFont="1" applyAlignment="1" applyProtection="1">
      <alignment/>
      <protection/>
    </xf>
    <xf numFmtId="0" fontId="0" fillId="0" borderId="0" xfId="0" applyNumberFormat="1" applyFill="1" applyBorder="1" applyAlignment="1" applyProtection="1">
      <alignment/>
      <protection/>
    </xf>
    <xf numFmtId="181" fontId="46" fillId="0" borderId="66" xfId="96" applyNumberFormat="1" applyFont="1" applyFill="1" applyBorder="1" applyAlignment="1" applyProtection="1">
      <alignment/>
      <protection/>
    </xf>
    <xf numFmtId="181" fontId="47" fillId="0" borderId="66" xfId="96" applyNumberFormat="1" applyFont="1" applyFill="1" applyBorder="1" applyAlignment="1" applyProtection="1">
      <alignment/>
      <protection/>
    </xf>
    <xf numFmtId="181" fontId="30" fillId="0" borderId="66" xfId="96" applyNumberFormat="1" applyFont="1" applyFill="1" applyBorder="1" applyAlignment="1" applyProtection="1">
      <alignment vertical="center"/>
      <protection/>
    </xf>
    <xf numFmtId="181" fontId="48" fillId="0" borderId="66" xfId="96" applyNumberFormat="1" applyFont="1" applyFill="1" applyBorder="1" applyAlignment="1" applyProtection="1">
      <alignment vertical="center"/>
      <protection/>
    </xf>
    <xf numFmtId="181" fontId="49" fillId="0" borderId="66" xfId="96" applyNumberFormat="1" applyFont="1" applyFill="1" applyBorder="1" applyAlignment="1" applyProtection="1">
      <alignment vertical="center"/>
      <protection/>
    </xf>
    <xf numFmtId="0" fontId="0" fillId="0" borderId="66" xfId="0" applyFill="1" applyBorder="1" applyAlignment="1" applyProtection="1">
      <alignment/>
      <protection/>
    </xf>
    <xf numFmtId="181" fontId="47" fillId="0" borderId="66" xfId="96" applyNumberFormat="1" applyFont="1" applyFill="1" applyBorder="1" applyAlignment="1" applyProtection="1">
      <alignment vertical="center"/>
      <protection/>
    </xf>
    <xf numFmtId="0" fontId="0" fillId="0" borderId="66" xfId="0" applyBorder="1" applyAlignment="1" applyProtection="1">
      <alignment/>
      <protection/>
    </xf>
    <xf numFmtId="0" fontId="0" fillId="0" borderId="66" xfId="0" applyBorder="1" applyAlignment="1">
      <alignment/>
    </xf>
    <xf numFmtId="181" fontId="50" fillId="0" borderId="67" xfId="0" applyNumberFormat="1" applyFont="1" applyFill="1" applyBorder="1" applyAlignment="1" applyProtection="1">
      <alignment horizontal="center" vertical="center"/>
      <protection/>
    </xf>
    <xf numFmtId="181" fontId="50" fillId="0" borderId="68" xfId="0" applyNumberFormat="1" applyFont="1" applyFill="1" applyBorder="1" applyAlignment="1" applyProtection="1">
      <alignment horizontal="center" vertical="center" wrapText="1"/>
      <protection/>
    </xf>
    <xf numFmtId="0" fontId="1" fillId="0" borderId="69" xfId="0" applyFont="1" applyFill="1" applyBorder="1" applyAlignment="1" applyProtection="1">
      <alignment horizontal="center"/>
      <protection/>
    </xf>
    <xf numFmtId="184" fontId="19" fillId="37" borderId="70" xfId="0" applyNumberFormat="1" applyFont="1" applyFill="1" applyBorder="1" applyAlignment="1" applyProtection="1">
      <alignment horizontal="center"/>
      <protection locked="0"/>
    </xf>
    <xf numFmtId="181" fontId="50" fillId="0" borderId="71" xfId="0" applyNumberFormat="1" applyFont="1" applyFill="1" applyBorder="1" applyAlignment="1" applyProtection="1">
      <alignment horizontal="center" vertical="center"/>
      <protection/>
    </xf>
    <xf numFmtId="0" fontId="50" fillId="0" borderId="72" xfId="0" applyFont="1" applyFill="1" applyBorder="1" applyAlignment="1" applyProtection="1">
      <alignment horizontal="center" vertical="center"/>
      <protection/>
    </xf>
    <xf numFmtId="181" fontId="50" fillId="0" borderId="73" xfId="0" applyNumberFormat="1" applyFont="1" applyFill="1" applyBorder="1" applyAlignment="1" applyProtection="1">
      <alignment horizontal="center" vertical="center"/>
      <protection/>
    </xf>
    <xf numFmtId="181" fontId="50" fillId="0" borderId="74" xfId="0" applyNumberFormat="1" applyFont="1" applyFill="1" applyBorder="1" applyAlignment="1" applyProtection="1">
      <alignment horizontal="center" vertical="center" wrapText="1"/>
      <protection/>
    </xf>
    <xf numFmtId="0" fontId="1" fillId="0" borderId="75" xfId="0" applyFont="1" applyFill="1" applyBorder="1" applyAlignment="1" applyProtection="1">
      <alignment horizontal="center"/>
      <protection/>
    </xf>
    <xf numFmtId="184" fontId="19" fillId="37" borderId="0" xfId="0" applyNumberFormat="1" applyFont="1" applyFill="1" applyBorder="1" applyAlignment="1" applyProtection="1">
      <alignment horizontal="center"/>
      <protection locked="0"/>
    </xf>
    <xf numFmtId="184" fontId="19" fillId="37" borderId="76" xfId="0" applyNumberFormat="1" applyFont="1" applyFill="1" applyBorder="1" applyAlignment="1" applyProtection="1">
      <alignment horizontal="center"/>
      <protection locked="0"/>
    </xf>
    <xf numFmtId="49" fontId="0" fillId="0" borderId="0" xfId="0" applyNumberFormat="1" applyFont="1" applyAlignment="1" applyProtection="1">
      <alignment/>
      <protection/>
    </xf>
    <xf numFmtId="49" fontId="50" fillId="0" borderId="67" xfId="0" applyNumberFormat="1" applyFont="1" applyFill="1" applyBorder="1" applyAlignment="1" applyProtection="1">
      <alignment horizontal="center" vertical="center"/>
      <protection/>
    </xf>
    <xf numFmtId="49" fontId="50" fillId="0" borderId="68" xfId="0" applyNumberFormat="1" applyFont="1" applyFill="1" applyBorder="1" applyAlignment="1" applyProtection="1">
      <alignment horizontal="center" vertical="center" wrapText="1"/>
      <protection/>
    </xf>
    <xf numFmtId="49" fontId="1" fillId="36" borderId="77" xfId="0" applyNumberFormat="1" applyFont="1" applyFill="1" applyBorder="1" applyAlignment="1" applyProtection="1">
      <alignment/>
      <protection/>
    </xf>
    <xf numFmtId="187" fontId="1" fillId="0" borderId="62" xfId="0" applyNumberFormat="1" applyFont="1" applyFill="1" applyBorder="1" applyAlignment="1" applyProtection="1">
      <alignment vertical="center"/>
      <protection/>
    </xf>
    <xf numFmtId="187" fontId="1" fillId="0" borderId="14" xfId="0" applyNumberFormat="1" applyFont="1" applyFill="1" applyBorder="1" applyAlignment="1" applyProtection="1">
      <alignment vertical="center"/>
      <protection/>
    </xf>
    <xf numFmtId="49" fontId="1" fillId="36" borderId="11" xfId="0" applyNumberFormat="1" applyFont="1" applyFill="1" applyBorder="1" applyAlignment="1" applyProtection="1">
      <alignment/>
      <protection/>
    </xf>
    <xf numFmtId="49" fontId="1" fillId="38" borderId="14" xfId="0" applyNumberFormat="1" applyFont="1" applyFill="1" applyBorder="1" applyAlignment="1" applyProtection="1">
      <alignment/>
      <protection/>
    </xf>
    <xf numFmtId="187" fontId="1" fillId="39" borderId="62" xfId="0" applyNumberFormat="1" applyFont="1" applyFill="1" applyBorder="1" applyAlignment="1" applyProtection="1">
      <alignment vertical="center"/>
      <protection/>
    </xf>
    <xf numFmtId="187" fontId="1" fillId="38" borderId="14" xfId="0" applyNumberFormat="1" applyFont="1" applyFill="1" applyBorder="1" applyAlignment="1" applyProtection="1">
      <alignment vertical="center"/>
      <protection/>
    </xf>
    <xf numFmtId="49" fontId="1" fillId="36" borderId="78" xfId="0" applyNumberFormat="1" applyFont="1" applyFill="1" applyBorder="1" applyAlignment="1" applyProtection="1">
      <alignment/>
      <protection/>
    </xf>
    <xf numFmtId="187" fontId="1" fillId="0" borderId="79" xfId="0" applyNumberFormat="1" applyFont="1" applyFill="1" applyBorder="1" applyAlignment="1" applyProtection="1">
      <alignment vertical="center"/>
      <protection/>
    </xf>
    <xf numFmtId="181" fontId="52" fillId="0" borderId="0" xfId="56" applyFont="1" applyFill="1" applyAlignment="1" applyProtection="1">
      <alignment vertical="center"/>
      <protection/>
    </xf>
    <xf numFmtId="0" fontId="38" fillId="0" borderId="0" xfId="0" applyFont="1" applyAlignment="1" applyProtection="1">
      <alignment/>
      <protection/>
    </xf>
    <xf numFmtId="181" fontId="53" fillId="0" borderId="0" xfId="68" applyFont="1" applyFill="1" applyAlignment="1" applyProtection="1">
      <alignment horizontal="right" vertical="center"/>
      <protection/>
    </xf>
    <xf numFmtId="0" fontId="26" fillId="0" borderId="0" xfId="0" applyFont="1" applyFill="1" applyBorder="1" applyAlignment="1" applyProtection="1">
      <alignment horizontal="center"/>
      <protection/>
    </xf>
    <xf numFmtId="0" fontId="44" fillId="0" borderId="0" xfId="0" applyFont="1" applyFill="1" applyBorder="1" applyAlignment="1" applyProtection="1">
      <alignment horizontal="left"/>
      <protection/>
    </xf>
    <xf numFmtId="0" fontId="54" fillId="0" borderId="0" xfId="0" applyFont="1" applyFill="1" applyAlignment="1" applyProtection="1">
      <alignment/>
      <protection/>
    </xf>
    <xf numFmtId="0" fontId="26" fillId="0" borderId="0" xfId="0" applyFont="1" applyAlignment="1" applyProtection="1">
      <alignment/>
      <protection/>
    </xf>
    <xf numFmtId="181" fontId="55" fillId="0" borderId="0" xfId="68" applyFont="1" applyFill="1" applyAlignment="1" applyProtection="1">
      <alignment/>
      <protection/>
    </xf>
    <xf numFmtId="181" fontId="55" fillId="0" borderId="0" xfId="68" applyFont="1" applyFill="1" applyAlignment="1" applyProtection="1">
      <alignment horizontal="center"/>
      <protection/>
    </xf>
    <xf numFmtId="181" fontId="55" fillId="0" borderId="0" xfId="68" applyFont="1" applyFill="1" applyAlignment="1" applyProtection="1">
      <alignment horizontal="right"/>
      <protection/>
    </xf>
    <xf numFmtId="181" fontId="55" fillId="0" borderId="0" xfId="68" applyFont="1" applyFill="1" applyBorder="1" applyAlignment="1" applyProtection="1">
      <alignment horizontal="center"/>
      <protection/>
    </xf>
    <xf numFmtId="181" fontId="0" fillId="0" borderId="0" xfId="67" applyProtection="1">
      <alignment/>
      <protection/>
    </xf>
    <xf numFmtId="0" fontId="26" fillId="0" borderId="0" xfId="0" applyFont="1" applyAlignment="1" applyProtection="1">
      <alignment horizontal="left" indent="1"/>
      <protection/>
    </xf>
    <xf numFmtId="0" fontId="6" fillId="0" borderId="0" xfId="0" applyFont="1" applyAlignment="1" applyProtection="1">
      <alignment horizontal="left" indent="1"/>
      <protection/>
    </xf>
    <xf numFmtId="181" fontId="0" fillId="0" borderId="80" xfId="90" applyNumberFormat="1" applyFont="1" applyFill="1" applyBorder="1" applyAlignment="1" applyProtection="1">
      <alignment horizontal="right"/>
      <protection/>
    </xf>
    <xf numFmtId="202" fontId="20" fillId="35" borderId="80" xfId="90" applyNumberFormat="1" applyFont="1" applyFill="1" applyBorder="1" applyAlignment="1" applyProtection="1">
      <alignment horizontal="center" vertical="center"/>
      <protection/>
    </xf>
    <xf numFmtId="181" fontId="53" fillId="0" borderId="80" xfId="90" applyNumberFormat="1" applyFont="1" applyFill="1" applyBorder="1" applyAlignment="1" applyProtection="1">
      <alignment horizontal="right"/>
      <protection/>
    </xf>
    <xf numFmtId="181" fontId="20" fillId="35" borderId="80" xfId="90" applyNumberFormat="1" applyFont="1" applyFill="1" applyBorder="1" applyAlignment="1" applyProtection="1">
      <alignment horizontal="center" vertical="center"/>
      <protection/>
    </xf>
    <xf numFmtId="183" fontId="20" fillId="35" borderId="80" xfId="90" applyNumberFormat="1" applyFont="1" applyFill="1" applyBorder="1" applyAlignment="1" applyProtection="1">
      <alignment horizontal="center" vertical="center"/>
      <protection/>
    </xf>
    <xf numFmtId="181" fontId="26" fillId="0" borderId="0" xfId="67" applyFont="1" applyProtection="1">
      <alignment/>
      <protection/>
    </xf>
    <xf numFmtId="204" fontId="20" fillId="35" borderId="80" xfId="90" applyNumberFormat="1" applyFont="1" applyFill="1" applyBorder="1" applyAlignment="1" applyProtection="1">
      <alignment horizontal="center"/>
      <protection/>
    </xf>
    <xf numFmtId="187" fontId="20" fillId="35" borderId="80" xfId="90" applyNumberFormat="1" applyFont="1" applyFill="1" applyBorder="1" applyAlignment="1" applyProtection="1">
      <alignment horizontal="center"/>
      <protection/>
    </xf>
    <xf numFmtId="181" fontId="20" fillId="35" borderId="80" xfId="90" applyNumberFormat="1" applyFont="1" applyFill="1" applyBorder="1" applyAlignment="1" applyProtection="1">
      <alignment horizontal="center"/>
      <protection/>
    </xf>
    <xf numFmtId="0" fontId="26" fillId="0" borderId="0" xfId="0" applyFont="1" applyFill="1" applyBorder="1" applyAlignment="1" applyProtection="1">
      <alignment/>
      <protection/>
    </xf>
    <xf numFmtId="183" fontId="20" fillId="35" borderId="80" xfId="90" applyNumberFormat="1" applyFont="1" applyFill="1" applyBorder="1" applyAlignment="1" applyProtection="1">
      <alignment horizontal="center"/>
      <protection/>
    </xf>
    <xf numFmtId="0" fontId="57" fillId="0" borderId="0" xfId="0" applyFont="1" applyFill="1" applyBorder="1" applyAlignment="1" applyProtection="1">
      <alignment/>
      <protection/>
    </xf>
    <xf numFmtId="0" fontId="6" fillId="0" borderId="0" xfId="67" applyNumberFormat="1" applyFont="1" applyBorder="1" applyProtection="1">
      <alignment/>
      <protection/>
    </xf>
    <xf numFmtId="181" fontId="58" fillId="0" borderId="0" xfId="67" applyFont="1" applyProtection="1">
      <alignment/>
      <protection/>
    </xf>
    <xf numFmtId="181" fontId="26" fillId="0" borderId="0" xfId="69" applyFont="1" applyProtection="1">
      <alignment/>
      <protection/>
    </xf>
    <xf numFmtId="181" fontId="58" fillId="0" borderId="0" xfId="69" applyFont="1" applyProtection="1">
      <alignment/>
      <protection/>
    </xf>
    <xf numFmtId="181" fontId="3" fillId="0" borderId="0" xfId="56" applyFont="1" applyFill="1" applyAlignment="1">
      <alignment vertical="center"/>
      <protection/>
    </xf>
    <xf numFmtId="181" fontId="22" fillId="0" borderId="0" xfId="0" applyNumberFormat="1" applyFont="1" applyAlignment="1" applyProtection="1">
      <alignment horizontal="right"/>
      <protection/>
    </xf>
    <xf numFmtId="181" fontId="22" fillId="0" borderId="0" xfId="0" applyNumberFormat="1" applyFont="1" applyBorder="1" applyAlignment="1" applyProtection="1">
      <alignment horizontal="right"/>
      <protection/>
    </xf>
    <xf numFmtId="0" fontId="22" fillId="0" borderId="0" xfId="0" applyNumberFormat="1" applyFont="1" applyAlignment="1" applyProtection="1">
      <alignment horizontal="center"/>
      <protection/>
    </xf>
    <xf numFmtId="0" fontId="57" fillId="0" borderId="0" xfId="0" applyFont="1" applyAlignment="1">
      <alignment/>
    </xf>
    <xf numFmtId="183" fontId="22" fillId="0" borderId="0" xfId="0" applyNumberFormat="1" applyFont="1" applyAlignment="1" applyProtection="1">
      <alignment horizontal="center"/>
      <protection/>
    </xf>
    <xf numFmtId="181" fontId="22" fillId="0" borderId="0" xfId="0" applyNumberFormat="1" applyFont="1" applyAlignment="1" applyProtection="1">
      <alignment/>
      <protection/>
    </xf>
    <xf numFmtId="185" fontId="22" fillId="0" borderId="0" xfId="50" applyNumberFormat="1" applyFont="1" applyFill="1" applyBorder="1" applyAlignment="1" applyProtection="1">
      <alignment horizontal="left"/>
      <protection/>
    </xf>
    <xf numFmtId="181" fontId="22" fillId="0" borderId="0" xfId="0" applyNumberFormat="1" applyFont="1" applyBorder="1" applyAlignment="1" applyProtection="1">
      <alignment/>
      <protection/>
    </xf>
    <xf numFmtId="0" fontId="55" fillId="0" borderId="0" xfId="0" applyFont="1" applyBorder="1" applyAlignment="1" applyProtection="1">
      <alignment horizontal="center"/>
      <protection/>
    </xf>
    <xf numFmtId="0" fontId="55" fillId="0" borderId="0" xfId="0" applyFont="1" applyAlignment="1" applyProtection="1">
      <alignment horizontal="center"/>
      <protection/>
    </xf>
    <xf numFmtId="183" fontId="22" fillId="0" borderId="0" xfId="0" applyNumberFormat="1" applyFont="1" applyAlignment="1" applyProtection="1">
      <alignment horizontal="right"/>
      <protection/>
    </xf>
    <xf numFmtId="183" fontId="22" fillId="0" borderId="0" xfId="0" applyNumberFormat="1" applyFont="1" applyAlignment="1" applyProtection="1">
      <alignment horizontal="left"/>
      <protection/>
    </xf>
    <xf numFmtId="181" fontId="60" fillId="0" borderId="0" xfId="0" applyNumberFormat="1" applyFont="1" applyBorder="1" applyAlignment="1" applyProtection="1">
      <alignment/>
      <protection/>
    </xf>
    <xf numFmtId="0" fontId="45" fillId="0" borderId="0" xfId="0" applyFont="1" applyBorder="1" applyAlignment="1" applyProtection="1">
      <alignment/>
      <protection/>
    </xf>
    <xf numFmtId="0" fontId="61" fillId="33" borderId="0" xfId="0" applyNumberFormat="1" applyFont="1" applyFill="1" applyBorder="1" applyAlignment="1" applyProtection="1">
      <alignment horizontal="left" vertical="center"/>
      <protection locked="0"/>
    </xf>
    <xf numFmtId="0" fontId="63" fillId="33" borderId="0" xfId="0" applyNumberFormat="1" applyFont="1" applyFill="1" applyBorder="1" applyAlignment="1" applyProtection="1">
      <alignment horizontal="left" vertical="center"/>
      <protection locked="0"/>
    </xf>
    <xf numFmtId="0" fontId="26" fillId="0" borderId="0" xfId="0" applyFont="1" applyAlignment="1">
      <alignment/>
    </xf>
    <xf numFmtId="181" fontId="63" fillId="0" borderId="0" xfId="0" applyNumberFormat="1" applyFont="1" applyAlignment="1" applyProtection="1">
      <alignment/>
      <protection/>
    </xf>
    <xf numFmtId="0" fontId="0" fillId="0" borderId="0" xfId="0" applyBorder="1" applyAlignment="1">
      <alignment horizontal="left" wrapText="1"/>
    </xf>
    <xf numFmtId="0" fontId="45" fillId="0" borderId="0" xfId="0" applyFont="1" applyFill="1" applyAlignment="1" applyProtection="1">
      <alignment horizontal="left"/>
      <protection locked="0"/>
    </xf>
    <xf numFmtId="0" fontId="45" fillId="0" borderId="0" xfId="0" applyFont="1" applyFill="1" applyBorder="1" applyAlignment="1" applyProtection="1">
      <alignment horizontal="left"/>
      <protection locked="0"/>
    </xf>
    <xf numFmtId="181" fontId="64" fillId="0" borderId="0" xfId="0" applyNumberFormat="1" applyFont="1" applyBorder="1" applyAlignment="1" applyProtection="1">
      <alignment vertical="center" wrapText="1"/>
      <protection/>
    </xf>
    <xf numFmtId="181" fontId="64" fillId="0" borderId="58" xfId="0" applyNumberFormat="1" applyFont="1" applyFill="1" applyBorder="1" applyAlignment="1" applyProtection="1">
      <alignment horizontal="center" wrapText="1"/>
      <protection/>
    </xf>
    <xf numFmtId="181" fontId="64" fillId="0" borderId="65" xfId="0" applyNumberFormat="1" applyFont="1" applyFill="1" applyBorder="1" applyAlignment="1" applyProtection="1">
      <alignment horizontal="center" wrapText="1"/>
      <protection/>
    </xf>
    <xf numFmtId="0" fontId="64" fillId="0" borderId="0" xfId="0" applyFont="1" applyFill="1" applyBorder="1" applyAlignment="1" applyProtection="1">
      <alignment wrapText="1"/>
      <protection/>
    </xf>
    <xf numFmtId="0" fontId="60" fillId="0" borderId="41" xfId="0" applyFont="1" applyFill="1" applyBorder="1" applyAlignment="1" applyProtection="1">
      <alignment horizontal="center"/>
      <protection/>
    </xf>
    <xf numFmtId="1" fontId="31" fillId="34" borderId="81" xfId="0" applyNumberFormat="1" applyFont="1" applyFill="1" applyBorder="1" applyAlignment="1" applyProtection="1">
      <alignment horizontal="center"/>
      <protection/>
    </xf>
    <xf numFmtId="0" fontId="31" fillId="34" borderId="81" xfId="0" applyFont="1" applyFill="1" applyBorder="1" applyAlignment="1" applyProtection="1">
      <alignment horizontal="center"/>
      <protection/>
    </xf>
    <xf numFmtId="0" fontId="60" fillId="0" borderId="82" xfId="0" applyFont="1" applyFill="1" applyBorder="1" applyAlignment="1" applyProtection="1">
      <alignment horizontal="center"/>
      <protection/>
    </xf>
    <xf numFmtId="0" fontId="45" fillId="0" borderId="0" xfId="0" applyFont="1" applyAlignment="1" applyProtection="1">
      <alignment/>
      <protection/>
    </xf>
    <xf numFmtId="181" fontId="0" fillId="0" borderId="0" xfId="0" applyNumberFormat="1" applyAlignment="1">
      <alignment/>
    </xf>
    <xf numFmtId="181" fontId="3" fillId="0" borderId="0" xfId="66" applyFont="1" applyFill="1" applyAlignment="1">
      <alignment vertical="center"/>
      <protection/>
    </xf>
    <xf numFmtId="181" fontId="22" fillId="0" borderId="0" xfId="0" applyNumberFormat="1" applyFont="1" applyAlignment="1">
      <alignment horizontal="right"/>
    </xf>
    <xf numFmtId="181" fontId="22" fillId="0" borderId="0" xfId="0" applyNumberFormat="1" applyFont="1" applyAlignment="1">
      <alignment/>
    </xf>
    <xf numFmtId="181" fontId="63" fillId="0" borderId="0" xfId="0" applyNumberFormat="1" applyFont="1" applyAlignment="1">
      <alignment/>
    </xf>
    <xf numFmtId="0" fontId="45" fillId="0" borderId="0" xfId="0" applyFont="1" applyAlignment="1">
      <alignment/>
    </xf>
    <xf numFmtId="0" fontId="63" fillId="33" borderId="0" xfId="0" applyNumberFormat="1" applyFont="1" applyFill="1" applyAlignment="1" applyProtection="1">
      <alignment horizontal="left" vertical="center"/>
      <protection locked="0"/>
    </xf>
    <xf numFmtId="0" fontId="0" fillId="0" borderId="0" xfId="0" applyBorder="1" applyAlignment="1">
      <alignment horizontal="left"/>
    </xf>
    <xf numFmtId="205" fontId="0" fillId="0" borderId="0" xfId="0" applyNumberFormat="1" applyAlignment="1">
      <alignment/>
    </xf>
    <xf numFmtId="0" fontId="19" fillId="0" borderId="0" xfId="0" applyFont="1" applyBorder="1" applyAlignment="1">
      <alignment horizontal="center"/>
    </xf>
    <xf numFmtId="195" fontId="0" fillId="0" borderId="0" xfId="90" applyNumberFormat="1" applyFill="1" applyBorder="1" applyAlignment="1" applyProtection="1">
      <alignment horizontal="center"/>
      <protection locked="0"/>
    </xf>
    <xf numFmtId="195" fontId="0" fillId="0" borderId="0" xfId="0" applyNumberFormat="1" applyFill="1" applyAlignment="1">
      <alignment/>
    </xf>
    <xf numFmtId="183" fontId="0" fillId="0" borderId="0" xfId="0" applyNumberFormat="1" applyFont="1" applyFill="1" applyBorder="1" applyAlignment="1">
      <alignment horizontal="center"/>
    </xf>
    <xf numFmtId="1" fontId="38" fillId="0" borderId="0" xfId="0" applyNumberFormat="1" applyFont="1" applyFill="1" applyBorder="1" applyAlignment="1">
      <alignment horizontal="center"/>
    </xf>
    <xf numFmtId="1" fontId="44" fillId="36"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67" fillId="0" borderId="0" xfId="0" applyFont="1" applyAlignment="1">
      <alignment/>
    </xf>
    <xf numFmtId="0" fontId="22" fillId="0" borderId="0" xfId="0" applyFont="1" applyFill="1" applyBorder="1" applyAlignment="1" applyProtection="1">
      <alignment wrapText="1"/>
      <protection/>
    </xf>
    <xf numFmtId="0" fontId="45" fillId="0" borderId="58" xfId="0" applyFont="1" applyFill="1" applyBorder="1" applyAlignment="1" applyProtection="1">
      <alignment horizontal="center" vertical="center" wrapText="1"/>
      <protection/>
    </xf>
    <xf numFmtId="0" fontId="45" fillId="0" borderId="83" xfId="0" applyFont="1" applyFill="1" applyBorder="1" applyAlignment="1" applyProtection="1">
      <alignment horizontal="center" vertical="center" wrapText="1"/>
      <protection/>
    </xf>
    <xf numFmtId="0" fontId="45" fillId="0" borderId="64" xfId="0" applyFont="1" applyFill="1" applyBorder="1" applyAlignment="1" applyProtection="1">
      <alignment horizontal="center" vertical="center" wrapText="1"/>
      <protection/>
    </xf>
    <xf numFmtId="0" fontId="45" fillId="0" borderId="64" xfId="0" applyNumberFormat="1" applyFont="1" applyFill="1" applyBorder="1" applyAlignment="1" applyProtection="1">
      <alignment horizontal="center" vertical="center" wrapText="1"/>
      <protection/>
    </xf>
    <xf numFmtId="0" fontId="45" fillId="0" borderId="84" xfId="0" applyNumberFormat="1" applyFont="1" applyFill="1" applyBorder="1" applyAlignment="1" applyProtection="1">
      <alignment horizontal="center" vertical="center" wrapText="1"/>
      <protection/>
    </xf>
    <xf numFmtId="0" fontId="45" fillId="0" borderId="82" xfId="0" applyFont="1" applyFill="1" applyBorder="1" applyAlignment="1" applyProtection="1">
      <alignment horizontal="center" vertical="center"/>
      <protection/>
    </xf>
    <xf numFmtId="198" fontId="45" fillId="0" borderId="82" xfId="0" applyNumberFormat="1" applyFont="1" applyFill="1" applyBorder="1" applyAlignment="1" applyProtection="1">
      <alignment horizontal="center" vertical="center"/>
      <protection/>
    </xf>
    <xf numFmtId="198" fontId="26" fillId="40" borderId="85" xfId="0" applyNumberFormat="1" applyFont="1" applyFill="1" applyBorder="1" applyAlignment="1" applyProtection="1">
      <alignment horizontal="center"/>
      <protection/>
    </xf>
    <xf numFmtId="198" fontId="38" fillId="40" borderId="85" xfId="0" applyNumberFormat="1" applyFont="1" applyFill="1" applyBorder="1" applyAlignment="1" applyProtection="1">
      <alignment horizontal="center"/>
      <protection/>
    </xf>
    <xf numFmtId="0" fontId="22" fillId="0" borderId="0" xfId="0" applyFont="1" applyAlignment="1" applyProtection="1">
      <alignment horizontal="center"/>
      <protection/>
    </xf>
    <xf numFmtId="181" fontId="22" fillId="0" borderId="0" xfId="0" applyNumberFormat="1" applyFont="1" applyAlignment="1" applyProtection="1">
      <alignment/>
      <protection/>
    </xf>
    <xf numFmtId="183" fontId="22" fillId="0" borderId="0" xfId="0" applyNumberFormat="1" applyFont="1" applyAlignment="1">
      <alignment/>
    </xf>
    <xf numFmtId="0" fontId="69" fillId="0" borderId="0" xfId="0" applyFont="1" applyAlignment="1">
      <alignment/>
    </xf>
    <xf numFmtId="0" fontId="26" fillId="0" borderId="0" xfId="0" applyNumberFormat="1" applyFont="1" applyAlignment="1">
      <alignment/>
    </xf>
    <xf numFmtId="181" fontId="19" fillId="0" borderId="0" xfId="0" applyNumberFormat="1" applyFont="1" applyAlignment="1" applyProtection="1">
      <alignment horizontal="center"/>
      <protection/>
    </xf>
    <xf numFmtId="181" fontId="0" fillId="0" borderId="0" xfId="0" applyNumberFormat="1" applyAlignment="1" applyProtection="1">
      <alignment horizontal="right"/>
      <protection/>
    </xf>
    <xf numFmtId="183" fontId="31" fillId="0" borderId="0" xfId="0" applyNumberFormat="1" applyFont="1" applyAlignment="1" applyProtection="1">
      <alignment horizontal="center"/>
      <protection/>
    </xf>
    <xf numFmtId="181" fontId="60" fillId="33" borderId="0" xfId="0" applyNumberFormat="1" applyFont="1" applyFill="1" applyAlignment="1" applyProtection="1">
      <alignment horizontal="left" vertical="top"/>
      <protection locked="0"/>
    </xf>
    <xf numFmtId="0" fontId="45" fillId="0" borderId="14" xfId="0" applyFont="1" applyBorder="1" applyAlignment="1" applyProtection="1">
      <alignment horizontal="center" vertical="center" wrapText="1"/>
      <protection/>
    </xf>
    <xf numFmtId="187" fontId="26" fillId="36" borderId="86" xfId="0" applyNumberFormat="1" applyFont="1" applyFill="1" applyBorder="1" applyAlignment="1">
      <alignment horizontal="right"/>
    </xf>
    <xf numFmtId="187" fontId="26" fillId="36" borderId="87" xfId="50" applyNumberFormat="1" applyFont="1" applyFill="1" applyBorder="1" applyAlignment="1" applyProtection="1">
      <alignment/>
      <protection/>
    </xf>
    <xf numFmtId="9" fontId="26" fillId="36" borderId="87" xfId="75" applyFont="1" applyFill="1" applyBorder="1" applyAlignment="1" applyProtection="1">
      <alignment/>
      <protection/>
    </xf>
    <xf numFmtId="187" fontId="26" fillId="36" borderId="87" xfId="0" applyNumberFormat="1" applyFont="1" applyFill="1" applyBorder="1" applyAlignment="1">
      <alignment horizontal="right"/>
    </xf>
    <xf numFmtId="206" fontId="0" fillId="0" borderId="14" xfId="0" applyNumberFormat="1" applyFont="1" applyBorder="1" applyAlignment="1" applyProtection="1">
      <alignment horizontal="center" vertical="center" wrapText="1"/>
      <protection/>
    </xf>
    <xf numFmtId="9" fontId="26" fillId="36" borderId="87" xfId="75" applyNumberFormat="1" applyFont="1" applyFill="1" applyBorder="1" applyAlignment="1" applyProtection="1">
      <alignment/>
      <protection/>
    </xf>
    <xf numFmtId="9" fontId="0" fillId="0" borderId="14" xfId="0" applyNumberFormat="1" applyFont="1" applyBorder="1" applyAlignment="1" applyProtection="1">
      <alignment horizontal="center" vertical="center" wrapText="1"/>
      <protection/>
    </xf>
    <xf numFmtId="0" fontId="26" fillId="36" borderId="86" xfId="0" applyFont="1" applyFill="1" applyBorder="1" applyAlignment="1">
      <alignment/>
    </xf>
    <xf numFmtId="9" fontId="26" fillId="36" borderId="87" xfId="75" applyFont="1" applyFill="1" applyBorder="1" applyAlignment="1" applyProtection="1">
      <alignment horizontal="center"/>
      <protection/>
    </xf>
    <xf numFmtId="187" fontId="26" fillId="0" borderId="0" xfId="0" applyNumberFormat="1" applyFont="1" applyAlignment="1">
      <alignment/>
    </xf>
    <xf numFmtId="187" fontId="26" fillId="36" borderId="87" xfId="0" applyNumberFormat="1" applyFont="1" applyFill="1" applyBorder="1" applyAlignment="1">
      <alignment/>
    </xf>
    <xf numFmtId="181" fontId="26" fillId="0" borderId="0" xfId="0" applyNumberFormat="1" applyFont="1" applyAlignment="1">
      <alignment/>
    </xf>
    <xf numFmtId="0" fontId="71" fillId="0" borderId="0" xfId="0" applyFont="1" applyAlignment="1">
      <alignment/>
    </xf>
    <xf numFmtId="0" fontId="71" fillId="0" borderId="0" xfId="0" applyFont="1" applyAlignment="1">
      <alignment horizontal="right"/>
    </xf>
    <xf numFmtId="0" fontId="71" fillId="0" borderId="0" xfId="0" applyFont="1" applyAlignment="1" applyProtection="1">
      <alignment/>
      <protection/>
    </xf>
    <xf numFmtId="0" fontId="71" fillId="0" borderId="0" xfId="0" applyFont="1" applyAlignment="1" applyProtection="1">
      <alignment horizontal="right"/>
      <protection/>
    </xf>
    <xf numFmtId="181" fontId="23" fillId="0" borderId="0" xfId="66" applyFont="1" applyFill="1" applyAlignment="1">
      <alignment vertical="center"/>
      <protection/>
    </xf>
    <xf numFmtId="0" fontId="71" fillId="0" borderId="0" xfId="0" applyFont="1" applyBorder="1" applyAlignment="1" applyProtection="1">
      <alignment/>
      <protection/>
    </xf>
    <xf numFmtId="0" fontId="72" fillId="0" borderId="0" xfId="0" applyFont="1" applyBorder="1" applyAlignment="1" applyProtection="1">
      <alignment horizontal="left" vertical="center"/>
      <protection/>
    </xf>
    <xf numFmtId="0" fontId="72" fillId="0" borderId="0" xfId="0" applyFont="1" applyBorder="1" applyAlignment="1" applyProtection="1">
      <alignment horizontal="left"/>
      <protection/>
    </xf>
    <xf numFmtId="207" fontId="72" fillId="0" borderId="0" xfId="0" applyNumberFormat="1" applyFont="1" applyBorder="1" applyAlignment="1" applyProtection="1">
      <alignment horizontal="left"/>
      <protection/>
    </xf>
    <xf numFmtId="0" fontId="71" fillId="0" borderId="0" xfId="0" applyFont="1" applyBorder="1" applyAlignment="1">
      <alignment/>
    </xf>
    <xf numFmtId="0" fontId="74" fillId="0" borderId="0" xfId="0" applyFont="1" applyAlignment="1" applyProtection="1">
      <alignment/>
      <protection/>
    </xf>
    <xf numFmtId="0" fontId="77" fillId="0" borderId="0" xfId="0" applyFont="1" applyFill="1" applyBorder="1" applyAlignment="1" applyProtection="1">
      <alignment horizontal="right"/>
      <protection/>
    </xf>
    <xf numFmtId="0" fontId="74" fillId="0" borderId="0" xfId="0" applyFont="1" applyAlignment="1">
      <alignment/>
    </xf>
    <xf numFmtId="0" fontId="50" fillId="0" borderId="88" xfId="0" applyFont="1" applyFill="1" applyBorder="1" applyAlignment="1" applyProtection="1">
      <alignment horizontal="center" vertical="center" wrapText="1"/>
      <protection/>
    </xf>
    <xf numFmtId="0" fontId="78" fillId="0" borderId="89" xfId="0" applyNumberFormat="1" applyFont="1" applyFill="1" applyBorder="1" applyAlignment="1" applyProtection="1">
      <alignment horizontal="right"/>
      <protection/>
    </xf>
    <xf numFmtId="9" fontId="79" fillId="0" borderId="0" xfId="0" applyNumberFormat="1" applyFont="1" applyFill="1" applyBorder="1" applyAlignment="1" applyProtection="1">
      <alignment/>
      <protection/>
    </xf>
    <xf numFmtId="0" fontId="50" fillId="0" borderId="90" xfId="0" applyFont="1" applyFill="1" applyBorder="1" applyAlignment="1" applyProtection="1">
      <alignment horizontal="center"/>
      <protection/>
    </xf>
    <xf numFmtId="0" fontId="78" fillId="0" borderId="91" xfId="0" applyNumberFormat="1" applyFont="1" applyFill="1" applyBorder="1" applyAlignment="1" applyProtection="1">
      <alignment horizontal="right"/>
      <protection/>
    </xf>
    <xf numFmtId="0" fontId="50" fillId="0" borderId="92" xfId="0" applyFont="1" applyFill="1" applyBorder="1" applyAlignment="1" applyProtection="1">
      <alignment horizontal="center"/>
      <protection/>
    </xf>
    <xf numFmtId="0" fontId="78" fillId="0" borderId="93" xfId="0" applyNumberFormat="1" applyFont="1" applyFill="1" applyBorder="1" applyAlignment="1" applyProtection="1">
      <alignment horizontal="right"/>
      <protection/>
    </xf>
    <xf numFmtId="0" fontId="80" fillId="0" borderId="0" xfId="0" applyFont="1" applyFill="1" applyBorder="1" applyAlignment="1" applyProtection="1">
      <alignment horizontal="center"/>
      <protection/>
    </xf>
    <xf numFmtId="0" fontId="78"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center" vertical="center"/>
      <protection/>
    </xf>
    <xf numFmtId="9" fontId="79" fillId="0" borderId="0" xfId="0" applyNumberFormat="1" applyFont="1" applyFill="1" applyBorder="1" applyAlignment="1" applyProtection="1">
      <alignment horizontal="center"/>
      <protection/>
    </xf>
    <xf numFmtId="0" fontId="74" fillId="0" borderId="0" xfId="0" applyFont="1" applyFill="1" applyAlignment="1">
      <alignment/>
    </xf>
    <xf numFmtId="208" fontId="81" fillId="36" borderId="0" xfId="0" applyNumberFormat="1" applyFont="1" applyFill="1" applyBorder="1" applyAlignment="1" applyProtection="1">
      <alignment vertical="center"/>
      <protection/>
    </xf>
    <xf numFmtId="0" fontId="78" fillId="36" borderId="0" xfId="0" applyNumberFormat="1" applyFont="1" applyFill="1" applyBorder="1" applyAlignment="1" applyProtection="1">
      <alignment horizontal="right"/>
      <protection/>
    </xf>
    <xf numFmtId="0" fontId="9" fillId="36" borderId="0" xfId="0" applyFont="1" applyFill="1" applyBorder="1" applyAlignment="1" applyProtection="1">
      <alignment horizontal="center" vertical="center"/>
      <protection/>
    </xf>
    <xf numFmtId="0" fontId="82" fillId="36" borderId="0" xfId="0" applyFont="1" applyFill="1" applyBorder="1" applyAlignment="1" applyProtection="1">
      <alignment horizontal="center" vertical="center"/>
      <protection/>
    </xf>
    <xf numFmtId="198" fontId="81" fillId="36" borderId="0" xfId="75" applyNumberFormat="1" applyFont="1" applyFill="1" applyBorder="1" applyAlignment="1" applyProtection="1">
      <alignment horizontal="right"/>
      <protection/>
    </xf>
    <xf numFmtId="9" fontId="83" fillId="36" borderId="0" xfId="0" applyNumberFormat="1" applyFont="1" applyFill="1" applyBorder="1" applyAlignment="1" applyProtection="1">
      <alignment/>
      <protection/>
    </xf>
    <xf numFmtId="0" fontId="84" fillId="36" borderId="0" xfId="0" applyFont="1" applyFill="1" applyBorder="1" applyAlignment="1" applyProtection="1">
      <alignment horizontal="center" vertical="center"/>
      <protection/>
    </xf>
    <xf numFmtId="9" fontId="83" fillId="36" borderId="0" xfId="0" applyNumberFormat="1" applyFont="1" applyFill="1" applyBorder="1" applyAlignment="1" applyProtection="1">
      <alignment horizontal="left"/>
      <protection/>
    </xf>
    <xf numFmtId="0" fontId="45" fillId="0" borderId="0" xfId="0" applyFont="1" applyBorder="1" applyAlignment="1" applyProtection="1">
      <alignment horizontal="center" vertical="center"/>
      <protection/>
    </xf>
    <xf numFmtId="0" fontId="81" fillId="36" borderId="0" xfId="0" applyFont="1" applyFill="1" applyBorder="1" applyAlignment="1" applyProtection="1">
      <alignment horizontal="left" vertical="center"/>
      <protection/>
    </xf>
    <xf numFmtId="187" fontId="85" fillId="0" borderId="0" xfId="0" applyNumberFormat="1" applyFont="1" applyFill="1" applyBorder="1" applyAlignment="1" applyProtection="1">
      <alignment horizontal="right" vertical="center"/>
      <protection/>
    </xf>
    <xf numFmtId="0" fontId="86" fillId="36" borderId="0" xfId="0" applyFont="1" applyFill="1" applyBorder="1" applyAlignment="1" applyProtection="1">
      <alignment horizontal="left" vertical="center"/>
      <protection/>
    </xf>
    <xf numFmtId="0" fontId="50" fillId="0" borderId="94" xfId="0" applyNumberFormat="1" applyFont="1" applyFill="1" applyBorder="1" applyAlignment="1" applyProtection="1">
      <alignment horizontal="center"/>
      <protection/>
    </xf>
    <xf numFmtId="0" fontId="78" fillId="0" borderId="95" xfId="0" applyNumberFormat="1" applyFont="1" applyFill="1" applyBorder="1" applyAlignment="1" applyProtection="1">
      <alignment horizontal="right"/>
      <protection/>
    </xf>
    <xf numFmtId="9" fontId="83" fillId="0" borderId="0" xfId="0" applyNumberFormat="1" applyFont="1" applyFill="1" applyBorder="1" applyAlignment="1" applyProtection="1">
      <alignment/>
      <protection/>
    </xf>
    <xf numFmtId="0" fontId="50" fillId="0" borderId="96" xfId="0" applyNumberFormat="1" applyFont="1" applyFill="1" applyBorder="1" applyAlignment="1" applyProtection="1">
      <alignment horizontal="center"/>
      <protection/>
    </xf>
    <xf numFmtId="0" fontId="78" fillId="0" borderId="97" xfId="0" applyNumberFormat="1" applyFont="1" applyFill="1" applyBorder="1" applyAlignment="1" applyProtection="1">
      <alignment horizontal="right"/>
      <protection/>
    </xf>
    <xf numFmtId="0" fontId="71" fillId="0" borderId="0" xfId="0" applyNumberFormat="1" applyFont="1" applyBorder="1" applyAlignment="1">
      <alignment/>
    </xf>
    <xf numFmtId="0" fontId="50" fillId="0" borderId="96" xfId="0" applyNumberFormat="1" applyFont="1" applyFill="1" applyBorder="1" applyAlignment="1" applyProtection="1">
      <alignment horizontal="center" vertical="center"/>
      <protection/>
    </xf>
    <xf numFmtId="0" fontId="50" fillId="0" borderId="98" xfId="0" applyNumberFormat="1" applyFont="1" applyFill="1" applyBorder="1" applyAlignment="1" applyProtection="1">
      <alignment horizontal="center" vertical="center"/>
      <protection/>
    </xf>
    <xf numFmtId="0" fontId="78" fillId="0" borderId="99" xfId="0" applyNumberFormat="1" applyFont="1" applyFill="1" applyBorder="1" applyAlignment="1" applyProtection="1">
      <alignment horizontal="right"/>
      <protection/>
    </xf>
    <xf numFmtId="0" fontId="88" fillId="0" borderId="0" xfId="0" applyFont="1" applyFill="1" applyBorder="1" applyAlignment="1" applyProtection="1">
      <alignment/>
      <protection/>
    </xf>
    <xf numFmtId="0" fontId="89" fillId="0" borderId="0" xfId="0" applyFont="1" applyFill="1" applyBorder="1" applyAlignment="1" applyProtection="1">
      <alignment/>
      <protection/>
    </xf>
    <xf numFmtId="0" fontId="90" fillId="0" borderId="0" xfId="0" applyFont="1" applyFill="1" applyBorder="1" applyAlignment="1" applyProtection="1">
      <alignment horizontal="center" vertical="center"/>
      <protection/>
    </xf>
    <xf numFmtId="0" fontId="91" fillId="0" borderId="0" xfId="0" applyFont="1" applyFill="1" applyBorder="1" applyAlignment="1" applyProtection="1">
      <alignment horizontal="center" vertical="center"/>
      <protection/>
    </xf>
    <xf numFmtId="0" fontId="91" fillId="0" borderId="0" xfId="0" applyFont="1" applyFill="1" applyBorder="1" applyAlignment="1" applyProtection="1">
      <alignment horizontal="right" vertical="center" indent="1"/>
      <protection/>
    </xf>
    <xf numFmtId="0" fontId="92" fillId="0" borderId="0" xfId="0" applyFont="1" applyFill="1" applyBorder="1" applyAlignment="1" applyProtection="1">
      <alignment horizontal="center"/>
      <protection/>
    </xf>
    <xf numFmtId="0" fontId="93" fillId="0" borderId="100" xfId="0" applyNumberFormat="1" applyFont="1" applyFill="1" applyBorder="1" applyAlignment="1" applyProtection="1">
      <alignment horizontal="center" vertical="center"/>
      <protection/>
    </xf>
    <xf numFmtId="0" fontId="45" fillId="0" borderId="101" xfId="0" applyNumberFormat="1" applyFont="1" applyFill="1" applyBorder="1" applyAlignment="1" applyProtection="1">
      <alignment vertical="center"/>
      <protection/>
    </xf>
    <xf numFmtId="0" fontId="93" fillId="0" borderId="102" xfId="0" applyNumberFormat="1" applyFont="1" applyFill="1" applyBorder="1" applyAlignment="1" applyProtection="1">
      <alignment horizontal="center" vertical="center"/>
      <protection/>
    </xf>
    <xf numFmtId="0" fontId="45" fillId="0" borderId="103" xfId="0" applyNumberFormat="1" applyFont="1" applyFill="1" applyBorder="1" applyAlignment="1" applyProtection="1">
      <alignment vertical="center"/>
      <protection/>
    </xf>
    <xf numFmtId="0" fontId="93" fillId="0" borderId="104" xfId="0" applyNumberFormat="1" applyFont="1" applyFill="1" applyBorder="1" applyAlignment="1" applyProtection="1">
      <alignment horizontal="center" vertical="center"/>
      <protection/>
    </xf>
    <xf numFmtId="0" fontId="45" fillId="0" borderId="105" xfId="0" applyNumberFormat="1" applyFont="1" applyFill="1" applyBorder="1" applyAlignment="1" applyProtection="1">
      <alignment vertical="center"/>
      <protection/>
    </xf>
    <xf numFmtId="0" fontId="45" fillId="0" borderId="106" xfId="0" applyNumberFormat="1" applyFont="1" applyFill="1" applyBorder="1" applyAlignment="1" applyProtection="1">
      <alignment vertical="center"/>
      <protection/>
    </xf>
    <xf numFmtId="183" fontId="0" fillId="0" borderId="0" xfId="0" applyNumberFormat="1" applyAlignment="1">
      <alignment/>
    </xf>
    <xf numFmtId="0" fontId="4" fillId="0" borderId="0" xfId="0" applyFont="1" applyAlignment="1">
      <alignment horizontal="center"/>
    </xf>
    <xf numFmtId="0" fontId="73" fillId="37" borderId="107" xfId="0" applyNumberFormat="1" applyFont="1" applyFill="1" applyBorder="1" applyAlignment="1">
      <alignment vertical="center"/>
    </xf>
    <xf numFmtId="0" fontId="73" fillId="37" borderId="107" xfId="0" applyFont="1" applyFill="1" applyBorder="1" applyAlignment="1">
      <alignment vertical="center"/>
    </xf>
    <xf numFmtId="0" fontId="19" fillId="0" borderId="0" xfId="0" applyFont="1" applyAlignment="1">
      <alignment/>
    </xf>
    <xf numFmtId="0" fontId="34" fillId="0" borderId="0" xfId="0" applyFont="1" applyAlignment="1">
      <alignment/>
    </xf>
    <xf numFmtId="0" fontId="94" fillId="0" borderId="0" xfId="73" applyNumberFormat="1" applyFont="1" applyFill="1" applyBorder="1" applyAlignment="1">
      <alignment horizontal="center" vertical="center" wrapText="1"/>
      <protection/>
    </xf>
    <xf numFmtId="0" fontId="94" fillId="41" borderId="108" xfId="73" applyNumberFormat="1" applyFont="1" applyFill="1" applyBorder="1" applyAlignment="1">
      <alignment horizontal="center" vertical="center" wrapText="1"/>
      <protection/>
    </xf>
    <xf numFmtId="0" fontId="96" fillId="0" borderId="0" xfId="0" applyNumberFormat="1" applyFont="1" applyAlignment="1">
      <alignment/>
    </xf>
    <xf numFmtId="0" fontId="96" fillId="0" borderId="0" xfId="0" applyFont="1" applyAlignment="1">
      <alignment/>
    </xf>
    <xf numFmtId="0" fontId="96" fillId="0" borderId="0" xfId="0" applyFont="1" applyAlignment="1">
      <alignment horizontal="center"/>
    </xf>
    <xf numFmtId="0" fontId="97" fillId="0" borderId="0" xfId="0" applyFont="1" applyBorder="1" applyAlignment="1">
      <alignment/>
    </xf>
    <xf numFmtId="0" fontId="98" fillId="37" borderId="107" xfId="0" applyFont="1" applyFill="1" applyBorder="1" applyAlignment="1">
      <alignment vertical="center"/>
    </xf>
    <xf numFmtId="0" fontId="32" fillId="0" borderId="0" xfId="0" applyFont="1" applyAlignment="1">
      <alignment/>
    </xf>
    <xf numFmtId="0" fontId="99" fillId="37" borderId="14" xfId="0" applyFont="1" applyFill="1" applyBorder="1" applyAlignment="1" applyProtection="1">
      <alignment horizontal="center"/>
      <protection/>
    </xf>
    <xf numFmtId="0" fontId="99" fillId="37" borderId="14" xfId="0" applyFont="1" applyFill="1" applyBorder="1" applyAlignment="1">
      <alignment horizontal="center"/>
    </xf>
    <xf numFmtId="0" fontId="0" fillId="0" borderId="14" xfId="0" applyNumberFormat="1" applyFont="1" applyBorder="1" applyAlignment="1">
      <alignment/>
    </xf>
    <xf numFmtId="0" fontId="0" fillId="0" borderId="14" xfId="0" applyNumberFormat="1" applyFont="1" applyBorder="1" applyAlignment="1">
      <alignment horizontal="center"/>
    </xf>
    <xf numFmtId="0" fontId="58" fillId="0" borderId="14" xfId="0" applyFont="1" applyFill="1" applyBorder="1" applyAlignment="1" applyProtection="1">
      <alignment horizontal="center"/>
      <protection/>
    </xf>
    <xf numFmtId="0" fontId="58" fillId="0" borderId="14" xfId="0" applyFont="1" applyBorder="1" applyAlignment="1" applyProtection="1">
      <alignment horizontal="center"/>
      <protection/>
    </xf>
    <xf numFmtId="0" fontId="100" fillId="0" borderId="14" xfId="0" applyFont="1" applyBorder="1" applyAlignment="1" applyProtection="1">
      <alignment horizontal="left" indent="1"/>
      <protection/>
    </xf>
    <xf numFmtId="0" fontId="0" fillId="0" borderId="14" xfId="0" applyFont="1" applyBorder="1" applyAlignment="1">
      <alignment horizontal="center"/>
    </xf>
    <xf numFmtId="0" fontId="58" fillId="0" borderId="0" xfId="0" applyFont="1" applyFill="1" applyBorder="1" applyAlignment="1" applyProtection="1">
      <alignment/>
      <protection/>
    </xf>
    <xf numFmtId="0" fontId="58" fillId="0" borderId="14" xfId="0" applyFont="1" applyFill="1" applyBorder="1" applyAlignment="1" applyProtection="1">
      <alignment/>
      <protection/>
    </xf>
    <xf numFmtId="181" fontId="58" fillId="0" borderId="14" xfId="69" applyFont="1" applyBorder="1" applyProtection="1">
      <alignment/>
      <protection/>
    </xf>
    <xf numFmtId="0" fontId="0" fillId="0" borderId="14" xfId="0" applyFont="1" applyBorder="1" applyAlignment="1">
      <alignment/>
    </xf>
    <xf numFmtId="0" fontId="0" fillId="0" borderId="14" xfId="0" applyBorder="1" applyAlignment="1">
      <alignment/>
    </xf>
    <xf numFmtId="213" fontId="22" fillId="42" borderId="19" xfId="53" applyNumberFormat="1" applyFont="1" applyFill="1" applyBorder="1" applyAlignment="1" applyProtection="1">
      <alignment/>
      <protection locked="0"/>
    </xf>
    <xf numFmtId="182" fontId="38" fillId="42" borderId="14" xfId="53" applyNumberFormat="1" applyFont="1" applyFill="1" applyBorder="1" applyAlignment="1" applyProtection="1">
      <alignment/>
      <protection locked="0"/>
    </xf>
    <xf numFmtId="181" fontId="33" fillId="0" borderId="109" xfId="0" applyNumberFormat="1" applyFont="1" applyBorder="1" applyAlignment="1" applyProtection="1">
      <alignment/>
      <protection/>
    </xf>
    <xf numFmtId="181" fontId="33" fillId="0" borderId="110" xfId="0" applyNumberFormat="1" applyFont="1" applyBorder="1" applyAlignment="1" applyProtection="1">
      <alignment wrapText="1"/>
      <protection/>
    </xf>
    <xf numFmtId="182" fontId="38" fillId="42" borderId="111" xfId="53" applyNumberFormat="1" applyFont="1" applyFill="1" applyBorder="1" applyAlignment="1" applyProtection="1">
      <alignment/>
      <protection locked="0"/>
    </xf>
    <xf numFmtId="187" fontId="0" fillId="13" borderId="62" xfId="0" applyNumberFormat="1" applyFill="1" applyBorder="1" applyAlignment="1" applyProtection="1">
      <alignment horizontal="right" wrapText="1"/>
      <protection/>
    </xf>
    <xf numFmtId="187" fontId="0" fillId="13" borderId="14" xfId="0" applyNumberFormat="1" applyFill="1" applyBorder="1" applyAlignment="1" applyProtection="1">
      <alignment horizontal="right" wrapText="1"/>
      <protection/>
    </xf>
    <xf numFmtId="201" fontId="0" fillId="0" borderId="14" xfId="0" applyNumberFormat="1" applyFont="1" applyBorder="1" applyAlignment="1" applyProtection="1">
      <alignment horizontal="center" vertical="center" wrapText="1"/>
      <protection/>
    </xf>
    <xf numFmtId="1" fontId="0" fillId="0" borderId="14" xfId="0" applyNumberFormat="1" applyFont="1" applyBorder="1" applyAlignment="1" applyProtection="1">
      <alignment horizontal="center" vertical="center" wrapText="1"/>
      <protection/>
    </xf>
    <xf numFmtId="215" fontId="0" fillId="0" borderId="14" xfId="0" applyNumberFormat="1" applyFont="1" applyBorder="1" applyAlignment="1" applyProtection="1">
      <alignment horizontal="center" vertical="center" wrapText="1"/>
      <protection/>
    </xf>
    <xf numFmtId="184" fontId="19" fillId="43" borderId="112" xfId="0" applyNumberFormat="1" applyFont="1" applyFill="1" applyBorder="1" applyAlignment="1" applyProtection="1">
      <alignment horizontal="center"/>
      <protection locked="0"/>
    </xf>
    <xf numFmtId="184" fontId="19" fillId="43" borderId="76" xfId="0" applyNumberFormat="1" applyFont="1" applyFill="1" applyBorder="1" applyAlignment="1" applyProtection="1">
      <alignment horizontal="center"/>
      <protection locked="0"/>
    </xf>
    <xf numFmtId="187" fontId="158" fillId="44" borderId="113" xfId="0" applyNumberFormat="1" applyFont="1" applyFill="1" applyBorder="1" applyAlignment="1" applyProtection="1">
      <alignment horizontal="justify" vertical="center" wrapText="1"/>
      <protection locked="0"/>
    </xf>
    <xf numFmtId="187" fontId="102" fillId="44" borderId="113" xfId="0" applyNumberFormat="1" applyFont="1" applyFill="1" applyBorder="1" applyAlignment="1" applyProtection="1">
      <alignment horizontal="justify" vertical="center" wrapText="1"/>
      <protection locked="0"/>
    </xf>
    <xf numFmtId="187" fontId="103" fillId="45" borderId="113" xfId="0" applyNumberFormat="1" applyFont="1" applyFill="1" applyBorder="1" applyAlignment="1" applyProtection="1">
      <alignment horizontal="justify" vertical="center" wrapText="1"/>
      <protection locked="0"/>
    </xf>
    <xf numFmtId="187" fontId="104" fillId="33" borderId="62" xfId="0" applyNumberFormat="1" applyFont="1" applyFill="1" applyBorder="1" applyAlignment="1" applyProtection="1">
      <alignment horizontal="center" vertical="center" wrapText="1"/>
      <protection/>
    </xf>
    <xf numFmtId="49" fontId="104" fillId="0" borderId="14" xfId="0" applyNumberFormat="1" applyFont="1" applyFill="1" applyBorder="1" applyAlignment="1" applyProtection="1">
      <alignment horizontal="left"/>
      <protection/>
    </xf>
    <xf numFmtId="199" fontId="104" fillId="33" borderId="14" xfId="0" applyNumberFormat="1" applyFont="1" applyFill="1" applyBorder="1" applyAlignment="1" applyProtection="1">
      <alignment horizontal="center" vertical="center" wrapText="1"/>
      <protection/>
    </xf>
    <xf numFmtId="198" fontId="104" fillId="33" borderId="62" xfId="0" applyNumberFormat="1" applyFont="1" applyFill="1" applyBorder="1" applyAlignment="1" applyProtection="1">
      <alignment horizontal="center" vertical="center" wrapText="1"/>
      <protection/>
    </xf>
    <xf numFmtId="187" fontId="104" fillId="33" borderId="14" xfId="0" applyNumberFormat="1" applyFont="1" applyFill="1" applyBorder="1" applyAlignment="1" applyProtection="1">
      <alignment horizontal="center" vertical="center" wrapText="1"/>
      <protection/>
    </xf>
    <xf numFmtId="190" fontId="104" fillId="33" borderId="14" xfId="0" applyNumberFormat="1" applyFont="1" applyFill="1" applyBorder="1" applyAlignment="1" applyProtection="1">
      <alignment horizontal="center" vertical="center" wrapText="1"/>
      <protection/>
    </xf>
    <xf numFmtId="187" fontId="104" fillId="33" borderId="14" xfId="0" applyNumberFormat="1" applyFont="1" applyFill="1" applyBorder="1" applyAlignment="1" applyProtection="1">
      <alignment vertical="center"/>
      <protection locked="0"/>
    </xf>
    <xf numFmtId="187" fontId="104" fillId="44" borderId="113" xfId="0" applyNumberFormat="1" applyFont="1" applyFill="1" applyBorder="1" applyAlignment="1" applyProtection="1">
      <alignment vertical="center" wrapText="1"/>
      <protection locked="0"/>
    </xf>
    <xf numFmtId="49" fontId="104" fillId="38" borderId="14" xfId="0" applyNumberFormat="1" applyFont="1" applyFill="1" applyBorder="1" applyAlignment="1" applyProtection="1">
      <alignment horizontal="left"/>
      <protection/>
    </xf>
    <xf numFmtId="187" fontId="104" fillId="46" borderId="14" xfId="0" applyNumberFormat="1" applyFont="1" applyFill="1" applyBorder="1" applyAlignment="1" applyProtection="1">
      <alignment vertical="center"/>
      <protection locked="0"/>
    </xf>
    <xf numFmtId="200" fontId="104" fillId="33" borderId="14" xfId="0" applyNumberFormat="1" applyFont="1" applyFill="1" applyBorder="1" applyAlignment="1" applyProtection="1">
      <alignment horizontal="center" vertical="center" wrapText="1"/>
      <protection/>
    </xf>
    <xf numFmtId="187" fontId="104" fillId="46" borderId="14" xfId="0" applyNumberFormat="1" applyFont="1" applyFill="1" applyBorder="1" applyAlignment="1" applyProtection="1">
      <alignment horizontal="right" vertical="center"/>
      <protection locked="0"/>
    </xf>
    <xf numFmtId="187" fontId="159" fillId="45" borderId="114" xfId="0" applyNumberFormat="1" applyFont="1" applyFill="1" applyBorder="1" applyAlignment="1" applyProtection="1">
      <alignment horizontal="justify" vertical="center" wrapText="1"/>
      <protection locked="0"/>
    </xf>
    <xf numFmtId="0" fontId="63" fillId="0" borderId="0" xfId="0" applyNumberFormat="1" applyFont="1" applyFill="1" applyBorder="1" applyAlignment="1" applyProtection="1">
      <alignment horizontal="left" vertical="center"/>
      <protection locked="0"/>
    </xf>
    <xf numFmtId="9" fontId="70" fillId="47" borderId="11" xfId="75" applyFont="1" applyFill="1" applyBorder="1" applyAlignment="1" applyProtection="1">
      <alignment horizontal="center" vertical="center" wrapText="1"/>
      <protection/>
    </xf>
    <xf numFmtId="187" fontId="105" fillId="45" borderId="113" xfId="0" applyNumberFormat="1" applyFont="1" applyFill="1" applyBorder="1" applyAlignment="1" applyProtection="1">
      <alignment horizontal="justify" vertical="center" wrapText="1"/>
      <protection locked="0"/>
    </xf>
    <xf numFmtId="187" fontId="105" fillId="45" borderId="113" xfId="0" applyNumberFormat="1" applyFont="1" applyFill="1" applyBorder="1" applyAlignment="1" applyProtection="1">
      <alignment horizontal="justify" vertical="center" wrapText="1"/>
      <protection locked="0"/>
    </xf>
    <xf numFmtId="187" fontId="160" fillId="44" borderId="113" xfId="0" applyNumberFormat="1" applyFont="1" applyFill="1" applyBorder="1" applyAlignment="1" applyProtection="1">
      <alignment horizontal="justify" vertical="center" wrapText="1"/>
      <protection locked="0"/>
    </xf>
    <xf numFmtId="188" fontId="0" fillId="0" borderId="0" xfId="0" applyNumberFormat="1" applyAlignment="1" applyProtection="1">
      <alignment/>
      <protection/>
    </xf>
    <xf numFmtId="215" fontId="0" fillId="0" borderId="0" xfId="0" applyNumberFormat="1" applyBorder="1" applyAlignment="1" applyProtection="1">
      <alignment/>
      <protection/>
    </xf>
    <xf numFmtId="9" fontId="153" fillId="0" borderId="0" xfId="75" applyFont="1" applyFill="1" applyBorder="1" applyAlignment="1" applyProtection="1">
      <alignment/>
      <protection/>
    </xf>
    <xf numFmtId="192" fontId="0" fillId="0" borderId="0" xfId="0" applyNumberFormat="1" applyAlignment="1" applyProtection="1">
      <alignment/>
      <protection/>
    </xf>
    <xf numFmtId="43" fontId="0" fillId="0" borderId="0" xfId="0" applyNumberFormat="1" applyAlignment="1" applyProtection="1">
      <alignment/>
      <protection/>
    </xf>
    <xf numFmtId="182" fontId="17" fillId="34" borderId="62" xfId="53" applyFont="1" applyFill="1" applyBorder="1" applyAlignment="1" applyProtection="1">
      <alignment/>
      <protection locked="0"/>
    </xf>
    <xf numFmtId="182" fontId="17" fillId="42" borderId="111" xfId="53" applyFont="1" applyFill="1" applyBorder="1" applyAlignment="1" applyProtection="1">
      <alignment/>
      <protection locked="0"/>
    </xf>
    <xf numFmtId="9" fontId="0" fillId="42" borderId="14" xfId="75" applyFill="1" applyBorder="1" applyAlignment="1" applyProtection="1">
      <alignment/>
      <protection locked="0"/>
    </xf>
    <xf numFmtId="9" fontId="0" fillId="34" borderId="30" xfId="75" applyFill="1" applyBorder="1" applyAlignment="1" applyProtection="1">
      <alignment/>
      <protection locked="0"/>
    </xf>
    <xf numFmtId="9" fontId="0" fillId="0" borderId="32" xfId="75" applyBorder="1" applyAlignment="1" applyProtection="1">
      <alignment/>
      <protection/>
    </xf>
    <xf numFmtId="182" fontId="1" fillId="42" borderId="21" xfId="53" applyFill="1" applyBorder="1" applyAlignment="1" applyProtection="1">
      <alignment/>
      <protection locked="0"/>
    </xf>
    <xf numFmtId="182" fontId="1" fillId="42" borderId="19" xfId="53" applyFill="1" applyBorder="1" applyAlignment="1" applyProtection="1">
      <alignment/>
      <protection locked="0"/>
    </xf>
    <xf numFmtId="182" fontId="1" fillId="34" borderId="21" xfId="53" applyFill="1" applyBorder="1" applyAlignment="1" applyProtection="1">
      <alignment/>
      <protection locked="0"/>
    </xf>
    <xf numFmtId="182" fontId="1" fillId="0" borderId="14" xfId="53" applyFill="1" applyBorder="1" applyAlignment="1" applyProtection="1">
      <alignment/>
      <protection/>
    </xf>
    <xf numFmtId="182" fontId="1" fillId="0" borderId="24" xfId="53" applyFill="1" applyBorder="1" applyAlignment="1" applyProtection="1">
      <alignment/>
      <protection/>
    </xf>
    <xf numFmtId="182" fontId="17" fillId="35" borderId="14" xfId="53" applyFont="1" applyFill="1" applyBorder="1" applyAlignment="1" applyProtection="1">
      <alignment horizontal="right" wrapText="1"/>
      <protection locked="0"/>
    </xf>
    <xf numFmtId="182" fontId="17" fillId="35" borderId="62" xfId="53" applyFont="1" applyFill="1" applyBorder="1" applyAlignment="1" applyProtection="1">
      <alignment horizontal="right" wrapText="1"/>
      <protection/>
    </xf>
    <xf numFmtId="182" fontId="17" fillId="13" borderId="62" xfId="53" applyFont="1" applyFill="1" applyBorder="1" applyAlignment="1" applyProtection="1">
      <alignment horizontal="right" wrapText="1"/>
      <protection/>
    </xf>
    <xf numFmtId="182" fontId="17" fillId="13" borderId="62" xfId="53" applyFont="1" applyFill="1" applyBorder="1" applyAlignment="1" applyProtection="1">
      <alignment horizontal="right"/>
      <protection/>
    </xf>
    <xf numFmtId="43" fontId="0" fillId="0" borderId="0" xfId="0" applyNumberFormat="1" applyBorder="1" applyAlignment="1" applyProtection="1">
      <alignment/>
      <protection/>
    </xf>
    <xf numFmtId="181" fontId="2" fillId="48" borderId="0" xfId="65" applyFont="1" applyFill="1" applyBorder="1" applyAlignment="1">
      <alignment horizontal="center" vertical="center"/>
      <protection/>
    </xf>
    <xf numFmtId="181" fontId="4" fillId="0" borderId="0" xfId="0" applyNumberFormat="1" applyFont="1" applyBorder="1" applyAlignment="1">
      <alignment horizontal="center"/>
    </xf>
    <xf numFmtId="181" fontId="2" fillId="49" borderId="0" xfId="64" applyFont="1" applyFill="1" applyBorder="1" applyAlignment="1" applyProtection="1">
      <alignment horizontal="center" vertical="center"/>
      <protection/>
    </xf>
    <xf numFmtId="0" fontId="10" fillId="0" borderId="0" xfId="0" applyNumberFormat="1" applyFont="1" applyBorder="1" applyAlignment="1">
      <alignment horizontal="center"/>
    </xf>
    <xf numFmtId="0" fontId="11" fillId="34" borderId="14" xfId="0" applyNumberFormat="1" applyFont="1" applyFill="1" applyBorder="1" applyAlignment="1">
      <alignment horizontal="center"/>
    </xf>
    <xf numFmtId="181" fontId="12" fillId="0" borderId="14" xfId="0" applyNumberFormat="1" applyFont="1" applyBorder="1" applyAlignment="1">
      <alignment horizontal="justify" vertical="center" wrapText="1"/>
    </xf>
    <xf numFmtId="9" fontId="13" fillId="0" borderId="14" xfId="75" applyFont="1" applyFill="1" applyBorder="1" applyAlignment="1" applyProtection="1">
      <alignment horizontal="justify" vertical="center" wrapText="1"/>
      <protection/>
    </xf>
    <xf numFmtId="9" fontId="9" fillId="0" borderId="14" xfId="0" applyNumberFormat="1" applyFont="1" applyBorder="1" applyAlignment="1">
      <alignment horizontal="left" vertical="center" wrapText="1"/>
    </xf>
    <xf numFmtId="0" fontId="13" fillId="0" borderId="14" xfId="0" applyFont="1" applyBorder="1" applyAlignment="1">
      <alignment horizontal="justify" vertical="center" wrapText="1"/>
    </xf>
    <xf numFmtId="0" fontId="9" fillId="0" borderId="14" xfId="0" applyNumberFormat="1" applyFont="1" applyBorder="1" applyAlignment="1">
      <alignment horizontal="left" vertical="center" wrapText="1"/>
    </xf>
    <xf numFmtId="181" fontId="12" fillId="0" borderId="14" xfId="0" applyNumberFormat="1" applyFont="1" applyBorder="1" applyAlignment="1">
      <alignment horizontal="left" vertical="center" wrapText="1"/>
    </xf>
    <xf numFmtId="0" fontId="9" fillId="0" borderId="14" xfId="0" applyFont="1" applyBorder="1" applyAlignment="1">
      <alignment horizontal="left" vertical="center" wrapText="1"/>
    </xf>
    <xf numFmtId="0" fontId="0" fillId="0" borderId="115" xfId="0" applyBorder="1" applyAlignment="1">
      <alignment horizontal="center"/>
    </xf>
    <xf numFmtId="0" fontId="0" fillId="0" borderId="115"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11" fillId="35" borderId="14" xfId="0" applyNumberFormat="1" applyFont="1" applyFill="1" applyBorder="1" applyAlignment="1">
      <alignment horizontal="center"/>
    </xf>
    <xf numFmtId="0" fontId="9" fillId="0" borderId="14" xfId="0" applyFont="1" applyBorder="1" applyAlignment="1">
      <alignment horizontal="justify" vertical="center" wrapText="1"/>
    </xf>
    <xf numFmtId="0" fontId="9" fillId="0" borderId="14" xfId="0" applyNumberFormat="1" applyFont="1" applyBorder="1" applyAlignment="1">
      <alignment horizontal="justify" vertical="center" wrapText="1"/>
    </xf>
    <xf numFmtId="0" fontId="9" fillId="0" borderId="56" xfId="0" applyFont="1" applyBorder="1" applyAlignment="1">
      <alignment horizontal="justify" wrapText="1"/>
    </xf>
    <xf numFmtId="0" fontId="13" fillId="0" borderId="75" xfId="0" applyFont="1" applyBorder="1" applyAlignment="1">
      <alignment horizontal="justify" vertical="center" wrapText="1"/>
    </xf>
    <xf numFmtId="0" fontId="17" fillId="0" borderId="75" xfId="0" applyNumberFormat="1" applyFont="1" applyBorder="1" applyAlignment="1">
      <alignment horizontal="justify" vertical="center" wrapText="1"/>
    </xf>
    <xf numFmtId="0" fontId="17" fillId="0" borderId="14" xfId="0" applyNumberFormat="1" applyFont="1" applyBorder="1" applyAlignment="1">
      <alignment horizontal="left" vertical="center" wrapText="1"/>
    </xf>
    <xf numFmtId="0" fontId="17" fillId="0" borderId="14" xfId="0" applyNumberFormat="1" applyFont="1" applyBorder="1" applyAlignment="1">
      <alignment horizontal="justify" vertical="center" wrapText="1"/>
    </xf>
    <xf numFmtId="0" fontId="19" fillId="33" borderId="14" xfId="0" applyNumberFormat="1" applyFont="1" applyFill="1" applyBorder="1" applyAlignment="1">
      <alignment horizontal="center" vertical="center" wrapText="1"/>
    </xf>
    <xf numFmtId="0" fontId="20" fillId="33" borderId="14" xfId="0" applyNumberFormat="1" applyFont="1" applyFill="1" applyBorder="1" applyAlignment="1">
      <alignment horizontal="center" vertical="center"/>
    </xf>
    <xf numFmtId="0" fontId="13" fillId="0" borderId="14" xfId="0" applyFont="1" applyBorder="1" applyAlignment="1" applyProtection="1">
      <alignment vertical="center" wrapText="1"/>
      <protection locked="0"/>
    </xf>
    <xf numFmtId="0" fontId="9" fillId="0" borderId="14" xfId="0" applyFont="1" applyBorder="1" applyAlignment="1" applyProtection="1">
      <alignment horizontal="justify" vertical="center" wrapText="1"/>
      <protection locked="0"/>
    </xf>
    <xf numFmtId="0" fontId="9" fillId="0" borderId="14" xfId="0" applyFont="1" applyBorder="1" applyAlignment="1" applyProtection="1">
      <alignment horizontal="left" vertical="center" wrapText="1"/>
      <protection locked="0"/>
    </xf>
    <xf numFmtId="0" fontId="13" fillId="33" borderId="14" xfId="0" applyFont="1" applyFill="1" applyBorder="1" applyAlignment="1">
      <alignment vertical="center" wrapText="1"/>
    </xf>
    <xf numFmtId="0" fontId="13" fillId="36" borderId="14" xfId="0" applyFont="1" applyFill="1" applyBorder="1" applyAlignment="1" applyProtection="1">
      <alignment vertical="center" wrapText="1"/>
      <protection locked="0"/>
    </xf>
    <xf numFmtId="0" fontId="21" fillId="36" borderId="14" xfId="0" applyFont="1" applyFill="1" applyBorder="1" applyAlignment="1" applyProtection="1">
      <alignment vertical="center" wrapText="1"/>
      <protection locked="0"/>
    </xf>
    <xf numFmtId="0" fontId="9" fillId="0" borderId="14" xfId="0" applyNumberFormat="1" applyFont="1" applyBorder="1" applyAlignment="1" applyProtection="1">
      <alignment horizontal="left" vertical="center" wrapText="1"/>
      <protection locked="0"/>
    </xf>
    <xf numFmtId="0" fontId="20" fillId="0" borderId="14"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12" fillId="0" borderId="14" xfId="0" applyFont="1" applyBorder="1" applyAlignment="1" applyProtection="1">
      <alignment vertical="center" wrapText="1"/>
      <protection locked="0"/>
    </xf>
    <xf numFmtId="0" fontId="101" fillId="43" borderId="15" xfId="0" applyFont="1" applyFill="1" applyBorder="1" applyAlignment="1" applyProtection="1">
      <alignment horizontal="center" vertical="center" wrapText="1"/>
      <protection/>
    </xf>
    <xf numFmtId="0" fontId="101" fillId="43" borderId="0" xfId="0" applyFont="1" applyFill="1" applyBorder="1" applyAlignment="1" applyProtection="1">
      <alignment horizontal="center" vertical="center" wrapText="1"/>
      <protection/>
    </xf>
    <xf numFmtId="181" fontId="23" fillId="49" borderId="0" xfId="56" applyFont="1" applyFill="1" applyBorder="1" applyAlignment="1" applyProtection="1">
      <alignment horizontal="center" vertical="center"/>
      <protection/>
    </xf>
    <xf numFmtId="181" fontId="0" fillId="0" borderId="14" xfId="0" applyNumberFormat="1" applyFont="1" applyBorder="1" applyAlignment="1" applyProtection="1">
      <alignment horizontal="center"/>
      <protection locked="0"/>
    </xf>
    <xf numFmtId="181" fontId="25" fillId="0" borderId="0" xfId="0" applyNumberFormat="1" applyFont="1" applyBorder="1" applyAlignment="1" applyProtection="1">
      <alignment horizontal="right"/>
      <protection/>
    </xf>
    <xf numFmtId="49" fontId="0" fillId="0" borderId="14" xfId="0" applyNumberFormat="1" applyBorder="1" applyAlignment="1" applyProtection="1">
      <alignment horizontal="center"/>
      <protection locked="0"/>
    </xf>
    <xf numFmtId="49" fontId="0" fillId="0" borderId="14" xfId="0" applyNumberFormat="1" applyFont="1" applyBorder="1" applyAlignment="1" applyProtection="1">
      <alignment horizontal="center"/>
      <protection locked="0"/>
    </xf>
    <xf numFmtId="182" fontId="0" fillId="0" borderId="62" xfId="0" applyNumberFormat="1" applyBorder="1" applyAlignment="1" applyProtection="1">
      <alignment horizontal="center"/>
      <protection locked="0"/>
    </xf>
    <xf numFmtId="183" fontId="0" fillId="0" borderId="14" xfId="90" applyNumberFormat="1" applyFont="1" applyFill="1" applyBorder="1" applyAlignment="1" applyProtection="1">
      <alignment horizontal="center"/>
      <protection locked="0"/>
    </xf>
    <xf numFmtId="181" fontId="25" fillId="0" borderId="116" xfId="0" applyNumberFormat="1" applyFont="1" applyBorder="1" applyAlignment="1" applyProtection="1">
      <alignment horizontal="right"/>
      <protection/>
    </xf>
    <xf numFmtId="181" fontId="26" fillId="0" borderId="14" xfId="90" applyNumberFormat="1" applyFont="1" applyFill="1" applyBorder="1" applyAlignment="1" applyProtection="1">
      <alignment horizontal="center"/>
      <protection locked="0"/>
    </xf>
    <xf numFmtId="181" fontId="25" fillId="0" borderId="15" xfId="0" applyNumberFormat="1" applyFont="1" applyBorder="1" applyAlignment="1" applyProtection="1">
      <alignment horizontal="right"/>
      <protection/>
    </xf>
    <xf numFmtId="49" fontId="0" fillId="0" borderId="62" xfId="0" applyNumberFormat="1" applyFont="1" applyBorder="1" applyAlignment="1" applyProtection="1">
      <alignment horizontal="center"/>
      <protection locked="0"/>
    </xf>
    <xf numFmtId="181" fontId="27" fillId="0" borderId="116" xfId="0" applyNumberFormat="1" applyFont="1" applyBorder="1" applyAlignment="1" applyProtection="1">
      <alignment horizontal="right"/>
      <protection/>
    </xf>
    <xf numFmtId="181" fontId="25" fillId="0" borderId="44" xfId="0" applyNumberFormat="1" applyFont="1" applyBorder="1" applyAlignment="1" applyProtection="1">
      <alignment horizontal="right"/>
      <protection/>
    </xf>
    <xf numFmtId="0" fontId="0" fillId="33" borderId="14" xfId="0" applyFill="1" applyBorder="1" applyAlignment="1" applyProtection="1">
      <alignment horizontal="center"/>
      <protection/>
    </xf>
    <xf numFmtId="181" fontId="7" fillId="0" borderId="117" xfId="0" applyNumberFormat="1" applyFont="1" applyBorder="1" applyAlignment="1" applyProtection="1">
      <alignment horizontal="right"/>
      <protection/>
    </xf>
    <xf numFmtId="181" fontId="19" fillId="0" borderId="118" xfId="0" applyNumberFormat="1" applyFont="1" applyBorder="1" applyAlignment="1" applyProtection="1">
      <alignment horizontal="center"/>
      <protection/>
    </xf>
    <xf numFmtId="0" fontId="0" fillId="50" borderId="119" xfId="0" applyFill="1" applyBorder="1" applyAlignment="1" applyProtection="1">
      <alignment horizontal="center"/>
      <protection/>
    </xf>
    <xf numFmtId="181" fontId="34" fillId="0" borderId="120" xfId="0" applyNumberFormat="1" applyFont="1" applyBorder="1" applyAlignment="1" applyProtection="1">
      <alignment horizontal="center" wrapText="1"/>
      <protection/>
    </xf>
    <xf numFmtId="0" fontId="0" fillId="0" borderId="121" xfId="0" applyBorder="1" applyAlignment="1" applyProtection="1">
      <alignment horizontal="center"/>
      <protection/>
    </xf>
    <xf numFmtId="181" fontId="0" fillId="0" borderId="50" xfId="0" applyNumberFormat="1" applyFont="1" applyBorder="1" applyAlignment="1" applyProtection="1">
      <alignment horizontal="left"/>
      <protection/>
    </xf>
    <xf numFmtId="181" fontId="0" fillId="0" borderId="52" xfId="0" applyNumberFormat="1" applyFont="1" applyBorder="1" applyAlignment="1" applyProtection="1">
      <alignment horizontal="left"/>
      <protection/>
    </xf>
    <xf numFmtId="181" fontId="0" fillId="0" borderId="82" xfId="0" applyNumberFormat="1" applyFont="1" applyFill="1" applyBorder="1" applyAlignment="1" applyProtection="1">
      <alignment horizontal="left" vertical="center"/>
      <protection locked="0"/>
    </xf>
    <xf numFmtId="181" fontId="50" fillId="0" borderId="67" xfId="0" applyNumberFormat="1" applyFont="1" applyFill="1" applyBorder="1" applyAlignment="1" applyProtection="1">
      <alignment horizontal="center" vertical="center"/>
      <protection/>
    </xf>
    <xf numFmtId="184" fontId="0" fillId="37" borderId="76" xfId="0" applyNumberFormat="1" applyFont="1" applyFill="1" applyBorder="1" applyAlignment="1" applyProtection="1">
      <alignment horizontal="center" vertical="center" textRotation="90"/>
      <protection/>
    </xf>
    <xf numFmtId="49" fontId="104" fillId="46" borderId="122" xfId="0" applyNumberFormat="1" applyFont="1" applyFill="1" applyBorder="1" applyAlignment="1" applyProtection="1">
      <alignment horizontal="left" vertical="center" wrapText="1"/>
      <protection/>
    </xf>
    <xf numFmtId="0" fontId="104" fillId="33" borderId="122" xfId="0" applyNumberFormat="1" applyFont="1" applyFill="1" applyBorder="1" applyAlignment="1" applyProtection="1">
      <alignment horizontal="center" vertical="center" wrapText="1"/>
      <protection/>
    </xf>
    <xf numFmtId="0" fontId="104" fillId="33" borderId="122" xfId="0" applyNumberFormat="1" applyFont="1" applyFill="1" applyBorder="1" applyAlignment="1" applyProtection="1">
      <alignment horizontal="left" vertical="center" wrapText="1"/>
      <protection/>
    </xf>
    <xf numFmtId="49" fontId="104" fillId="33" borderId="123" xfId="0" applyNumberFormat="1" applyFont="1" applyFill="1" applyBorder="1" applyAlignment="1" applyProtection="1">
      <alignment horizontal="center" vertical="center" wrapText="1"/>
      <protection/>
    </xf>
    <xf numFmtId="49" fontId="104" fillId="33" borderId="122" xfId="0" applyNumberFormat="1" applyFont="1" applyFill="1" applyBorder="1" applyAlignment="1" applyProtection="1">
      <alignment horizontal="left" vertical="center" wrapText="1"/>
      <protection/>
    </xf>
    <xf numFmtId="0" fontId="1" fillId="0" borderId="124" xfId="0" applyFont="1" applyFill="1" applyBorder="1" applyAlignment="1" applyProtection="1">
      <alignment horizontal="left" vertical="center" wrapText="1"/>
      <protection/>
    </xf>
    <xf numFmtId="0" fontId="1" fillId="0" borderId="122" xfId="0" applyFont="1" applyFill="1" applyBorder="1" applyAlignment="1" applyProtection="1">
      <alignment horizontal="center" vertical="center" wrapText="1"/>
      <protection/>
    </xf>
    <xf numFmtId="0" fontId="1" fillId="0" borderId="123" xfId="0" applyFont="1" applyFill="1" applyBorder="1" applyAlignment="1" applyProtection="1">
      <alignment horizontal="center" vertical="center" wrapText="1"/>
      <protection/>
    </xf>
    <xf numFmtId="0" fontId="1" fillId="0" borderId="125" xfId="0" applyFont="1" applyFill="1" applyBorder="1" applyAlignment="1" applyProtection="1">
      <alignment horizontal="left" vertical="center" wrapText="1"/>
      <protection/>
    </xf>
    <xf numFmtId="0" fontId="1" fillId="38" borderId="124" xfId="0" applyFont="1" applyFill="1" applyBorder="1" applyAlignment="1" applyProtection="1">
      <alignment horizontal="left" vertical="center" wrapText="1"/>
      <protection/>
    </xf>
    <xf numFmtId="0" fontId="1" fillId="38" borderId="122" xfId="0" applyFont="1" applyFill="1" applyBorder="1" applyAlignment="1" applyProtection="1">
      <alignment horizontal="center" vertical="center" wrapText="1"/>
      <protection/>
    </xf>
    <xf numFmtId="0" fontId="1" fillId="38" borderId="123" xfId="0" applyFont="1" applyFill="1" applyBorder="1" applyAlignment="1" applyProtection="1">
      <alignment horizontal="center" vertical="center" wrapText="1"/>
      <protection/>
    </xf>
    <xf numFmtId="181" fontId="2" fillId="49" borderId="0" xfId="56" applyFont="1" applyFill="1" applyBorder="1" applyAlignment="1" applyProtection="1">
      <alignment horizontal="center" vertical="center"/>
      <protection/>
    </xf>
    <xf numFmtId="181" fontId="4" fillId="35" borderId="0" xfId="68" applyFont="1" applyFill="1" applyBorder="1" applyAlignment="1" applyProtection="1">
      <alignment horizontal="center" vertical="center" wrapText="1"/>
      <protection/>
    </xf>
    <xf numFmtId="181" fontId="53" fillId="0" borderId="0" xfId="68" applyFont="1" applyFill="1" applyBorder="1" applyAlignment="1" applyProtection="1">
      <alignment horizontal="right" vertical="center"/>
      <protection/>
    </xf>
    <xf numFmtId="181" fontId="20" fillId="35" borderId="0" xfId="68" applyFont="1" applyFill="1" applyBorder="1" applyAlignment="1" applyProtection="1">
      <alignment horizontal="center" vertical="center" wrapText="1"/>
      <protection/>
    </xf>
    <xf numFmtId="181" fontId="0" fillId="0" borderId="80" xfId="90" applyNumberFormat="1" applyFont="1" applyFill="1" applyBorder="1" applyAlignment="1" applyProtection="1">
      <alignment horizontal="right"/>
      <protection/>
    </xf>
    <xf numFmtId="203" fontId="20" fillId="35" borderId="80" xfId="90" applyNumberFormat="1" applyFont="1" applyFill="1" applyBorder="1" applyAlignment="1" applyProtection="1">
      <alignment horizontal="center" vertical="center"/>
      <protection/>
    </xf>
    <xf numFmtId="181" fontId="20" fillId="35" borderId="80" xfId="90" applyNumberFormat="1" applyFont="1" applyFill="1" applyBorder="1" applyAlignment="1" applyProtection="1">
      <alignment horizontal="center"/>
      <protection/>
    </xf>
    <xf numFmtId="183" fontId="20" fillId="35" borderId="80" xfId="90" applyNumberFormat="1" applyFont="1" applyFill="1" applyBorder="1" applyAlignment="1" applyProtection="1">
      <alignment horizontal="center"/>
      <protection/>
    </xf>
    <xf numFmtId="181" fontId="56" fillId="48" borderId="80" xfId="90" applyNumberFormat="1" applyFont="1" applyFill="1" applyBorder="1" applyAlignment="1" applyProtection="1">
      <alignment horizontal="center"/>
      <protection/>
    </xf>
    <xf numFmtId="181" fontId="22" fillId="0" borderId="0" xfId="0" applyNumberFormat="1" applyFont="1" applyBorder="1" applyAlignment="1" applyProtection="1">
      <alignment horizontal="left"/>
      <protection/>
    </xf>
    <xf numFmtId="181" fontId="19" fillId="0" borderId="0" xfId="0" applyNumberFormat="1" applyFont="1" applyBorder="1" applyAlignment="1" applyProtection="1">
      <alignment horizontal="center"/>
      <protection/>
    </xf>
    <xf numFmtId="181" fontId="22" fillId="0" borderId="0" xfId="0" applyNumberFormat="1" applyFont="1" applyBorder="1" applyAlignment="1" applyProtection="1">
      <alignment horizontal="right"/>
      <protection/>
    </xf>
    <xf numFmtId="181" fontId="26" fillId="48" borderId="0" xfId="90" applyNumberFormat="1" applyFont="1" applyFill="1" applyBorder="1" applyAlignment="1" applyProtection="1">
      <alignment horizontal="center"/>
      <protection/>
    </xf>
    <xf numFmtId="181" fontId="19" fillId="0" borderId="0" xfId="0" applyNumberFormat="1" applyFont="1" applyBorder="1" applyAlignment="1" applyProtection="1">
      <alignment horizontal="center" wrapText="1"/>
      <protection/>
    </xf>
    <xf numFmtId="0" fontId="59" fillId="0" borderId="0" xfId="0" applyFont="1" applyBorder="1" applyAlignment="1" applyProtection="1">
      <alignment horizontal="center"/>
      <protection/>
    </xf>
    <xf numFmtId="0" fontId="66" fillId="44" borderId="14" xfId="0" applyFont="1" applyFill="1" applyBorder="1" applyAlignment="1" applyProtection="1">
      <alignment horizontal="left" vertical="center" wrapText="1"/>
      <protection locked="0"/>
    </xf>
    <xf numFmtId="0" fontId="62" fillId="33" borderId="126" xfId="0" applyFont="1" applyFill="1" applyBorder="1" applyAlignment="1" applyProtection="1">
      <alignment horizontal="left" vertical="center" wrapText="1"/>
      <protection locked="0"/>
    </xf>
    <xf numFmtId="0" fontId="62" fillId="33" borderId="127" xfId="0" applyFont="1" applyFill="1" applyBorder="1" applyAlignment="1" applyProtection="1">
      <alignment horizontal="left" vertical="center" wrapText="1"/>
      <protection locked="0"/>
    </xf>
    <xf numFmtId="0" fontId="62" fillId="33" borderId="128" xfId="0" applyFont="1" applyFill="1" applyBorder="1" applyAlignment="1" applyProtection="1">
      <alignment horizontal="left" vertical="center" wrapText="1"/>
      <protection locked="0"/>
    </xf>
    <xf numFmtId="0" fontId="65" fillId="0" borderId="129" xfId="0" applyFont="1" applyFill="1" applyBorder="1" applyAlignment="1" applyProtection="1">
      <alignment horizontal="left" wrapText="1"/>
      <protection/>
    </xf>
    <xf numFmtId="0" fontId="62" fillId="0" borderId="0" xfId="0" applyFont="1" applyFill="1" applyBorder="1" applyAlignment="1" applyProtection="1">
      <alignment horizontal="center" vertical="center" wrapText="1"/>
      <protection locked="0"/>
    </xf>
    <xf numFmtId="0" fontId="65" fillId="0" borderId="130" xfId="0" applyFont="1" applyFill="1" applyBorder="1" applyAlignment="1" applyProtection="1">
      <alignment horizontal="left" wrapText="1"/>
      <protection/>
    </xf>
    <xf numFmtId="0" fontId="45" fillId="44" borderId="14" xfId="0" applyFont="1" applyFill="1" applyBorder="1" applyAlignment="1" applyProtection="1">
      <alignment horizontal="left" vertical="center" wrapText="1"/>
      <protection locked="0"/>
    </xf>
    <xf numFmtId="181" fontId="64" fillId="0" borderId="119" xfId="0" applyNumberFormat="1" applyFont="1" applyBorder="1" applyAlignment="1" applyProtection="1">
      <alignment horizontal="center" vertical="center" wrapText="1"/>
      <protection/>
    </xf>
    <xf numFmtId="0" fontId="0" fillId="0" borderId="131" xfId="0" applyBorder="1" applyAlignment="1" applyProtection="1">
      <alignment horizontal="center"/>
      <protection/>
    </xf>
    <xf numFmtId="181" fontId="23" fillId="49" borderId="0" xfId="66" applyFont="1" applyFill="1" applyBorder="1" applyAlignment="1">
      <alignment horizontal="center" vertical="center"/>
      <protection/>
    </xf>
    <xf numFmtId="181" fontId="22" fillId="0" borderId="0" xfId="0" applyNumberFormat="1" applyFont="1" applyBorder="1" applyAlignment="1">
      <alignment horizontal="left"/>
    </xf>
    <xf numFmtId="181" fontId="19" fillId="0" borderId="0" xfId="0" applyNumberFormat="1" applyFont="1" applyBorder="1" applyAlignment="1">
      <alignment horizontal="center"/>
    </xf>
    <xf numFmtId="181" fontId="22" fillId="0" borderId="0" xfId="0" applyNumberFormat="1" applyFont="1" applyBorder="1" applyAlignment="1">
      <alignment horizontal="right"/>
    </xf>
    <xf numFmtId="0" fontId="59" fillId="0" borderId="0" xfId="0" applyFont="1" applyBorder="1" applyAlignment="1">
      <alignment horizontal="center"/>
    </xf>
    <xf numFmtId="0" fontId="45" fillId="33" borderId="62" xfId="0" applyFont="1" applyFill="1" applyBorder="1" applyAlignment="1" applyProtection="1">
      <alignment horizontal="left" wrapText="1"/>
      <protection locked="0"/>
    </xf>
    <xf numFmtId="0" fontId="45" fillId="33" borderId="14" xfId="0" applyFont="1" applyFill="1" applyBorder="1" applyAlignment="1" applyProtection="1">
      <alignment horizontal="left" wrapText="1"/>
      <protection locked="0"/>
    </xf>
    <xf numFmtId="0" fontId="19" fillId="0" borderId="0" xfId="0" applyFont="1" applyBorder="1" applyAlignment="1">
      <alignment horizontal="center"/>
    </xf>
    <xf numFmtId="0" fontId="45" fillId="0" borderId="130" xfId="0" applyFont="1" applyFill="1" applyBorder="1" applyAlignment="1" applyProtection="1">
      <alignment horizontal="center" vertical="center"/>
      <protection/>
    </xf>
    <xf numFmtId="0" fontId="68" fillId="0" borderId="0" xfId="0" applyFont="1" applyBorder="1" applyAlignment="1">
      <alignment horizontal="left" wrapText="1"/>
    </xf>
    <xf numFmtId="0" fontId="66" fillId="33" borderId="14" xfId="0" applyFont="1" applyFill="1" applyBorder="1" applyAlignment="1" applyProtection="1">
      <alignment horizontal="left" vertical="center" wrapText="1"/>
      <protection locked="0"/>
    </xf>
    <xf numFmtId="0" fontId="45" fillId="33" borderId="14" xfId="0" applyFont="1" applyFill="1" applyBorder="1" applyAlignment="1" applyProtection="1">
      <alignment horizontal="left" vertical="center" wrapText="1"/>
      <protection locked="0"/>
    </xf>
    <xf numFmtId="9" fontId="38" fillId="33" borderId="132" xfId="75" applyFont="1" applyFill="1" applyBorder="1" applyAlignment="1" applyProtection="1">
      <alignment horizontal="left" vertical="center" wrapText="1"/>
      <protection locked="0"/>
    </xf>
    <xf numFmtId="0" fontId="0" fillId="0" borderId="11"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3" xfId="0" applyFont="1" applyBorder="1" applyAlignment="1" applyProtection="1">
      <alignment vertical="center" wrapText="1"/>
      <protection/>
    </xf>
    <xf numFmtId="9" fontId="22" fillId="0" borderId="11" xfId="75" applyFont="1" applyFill="1" applyBorder="1" applyAlignment="1" applyProtection="1">
      <alignment horizontal="center" vertical="center" wrapText="1"/>
      <protection/>
    </xf>
    <xf numFmtId="9" fontId="22" fillId="0" borderId="12" xfId="75" applyFont="1" applyFill="1" applyBorder="1" applyAlignment="1" applyProtection="1">
      <alignment horizontal="center" vertical="center" wrapText="1"/>
      <protection/>
    </xf>
    <xf numFmtId="9" fontId="22" fillId="0" borderId="133" xfId="75" applyFont="1" applyFill="1" applyBorder="1" applyAlignment="1" applyProtection="1">
      <alignment horizontal="center" vertical="center" wrapText="1"/>
      <protection/>
    </xf>
    <xf numFmtId="9" fontId="0" fillId="33" borderId="132" xfId="75" applyFont="1" applyFill="1" applyBorder="1" applyAlignment="1" applyProtection="1">
      <alignment horizontal="left" vertical="top" wrapText="1"/>
      <protection locked="0"/>
    </xf>
    <xf numFmtId="0" fontId="5" fillId="51" borderId="15" xfId="0" applyFont="1" applyFill="1" applyBorder="1" applyAlignment="1" applyProtection="1">
      <alignment horizontal="center" vertical="center" wrapText="1"/>
      <protection/>
    </xf>
    <xf numFmtId="0" fontId="5" fillId="51" borderId="0" xfId="0" applyFont="1" applyFill="1" applyBorder="1" applyAlignment="1" applyProtection="1">
      <alignment horizontal="center" vertical="center" wrapText="1"/>
      <protection/>
    </xf>
    <xf numFmtId="0" fontId="5" fillId="51" borderId="134" xfId="0" applyFont="1" applyFill="1" applyBorder="1" applyAlignment="1" applyProtection="1">
      <alignment horizontal="center" vertical="center" wrapText="1"/>
      <protection/>
    </xf>
    <xf numFmtId="0" fontId="0" fillId="0" borderId="14" xfId="0" applyFont="1" applyBorder="1" applyAlignment="1" applyProtection="1">
      <alignment vertical="center" wrapText="1"/>
      <protection/>
    </xf>
    <xf numFmtId="9" fontId="0" fillId="33" borderId="132" xfId="75" applyFont="1" applyFill="1" applyBorder="1" applyAlignment="1" applyProtection="1">
      <alignment horizontal="left" vertical="center" wrapText="1"/>
      <protection locked="0"/>
    </xf>
    <xf numFmtId="181" fontId="23" fillId="49" borderId="0" xfId="66" applyFont="1" applyFill="1" applyBorder="1" applyAlignment="1" applyProtection="1">
      <alignment horizontal="center" vertical="center"/>
      <protection/>
    </xf>
    <xf numFmtId="181" fontId="26" fillId="48" borderId="0" xfId="91" applyNumberFormat="1" applyFont="1" applyFill="1" applyBorder="1" applyAlignment="1" applyProtection="1">
      <alignment horizontal="center"/>
      <protection/>
    </xf>
    <xf numFmtId="181" fontId="59" fillId="0" borderId="0" xfId="0" applyNumberFormat="1" applyFont="1" applyBorder="1" applyAlignment="1" applyProtection="1">
      <alignment horizontal="center"/>
      <protection/>
    </xf>
    <xf numFmtId="0" fontId="45" fillId="0" borderId="115" xfId="0" applyFont="1" applyBorder="1" applyAlignment="1" applyProtection="1">
      <alignment horizontal="left" vertical="center" wrapText="1"/>
      <protection/>
    </xf>
    <xf numFmtId="9" fontId="45" fillId="44" borderId="126" xfId="0" applyNumberFormat="1" applyFont="1" applyFill="1" applyBorder="1" applyAlignment="1" applyProtection="1">
      <alignment horizontal="left" vertical="center" wrapText="1"/>
      <protection locked="0"/>
    </xf>
    <xf numFmtId="0" fontId="45" fillId="44" borderId="127" xfId="0" applyFont="1" applyFill="1" applyBorder="1" applyAlignment="1" applyProtection="1">
      <alignment horizontal="left" vertical="center" wrapText="1"/>
      <protection locked="0"/>
    </xf>
    <xf numFmtId="0" fontId="45" fillId="44" borderId="128" xfId="0" applyFont="1" applyFill="1" applyBorder="1" applyAlignment="1" applyProtection="1">
      <alignment horizontal="left" vertical="center" wrapText="1"/>
      <protection locked="0"/>
    </xf>
    <xf numFmtId="0" fontId="45" fillId="44" borderId="135" xfId="0" applyFont="1" applyFill="1" applyBorder="1" applyAlignment="1" applyProtection="1">
      <alignment horizontal="left" vertical="center" wrapText="1"/>
      <protection locked="0"/>
    </xf>
    <xf numFmtId="0" fontId="45" fillId="44" borderId="136" xfId="0" applyFont="1" applyFill="1" applyBorder="1" applyAlignment="1" applyProtection="1">
      <alignment horizontal="left" vertical="center" wrapText="1"/>
      <protection locked="0"/>
    </xf>
    <xf numFmtId="0" fontId="45" fillId="44" borderId="137" xfId="0" applyFont="1" applyFill="1" applyBorder="1" applyAlignment="1" applyProtection="1">
      <alignment horizontal="left" vertical="center" wrapText="1"/>
      <protection locked="0"/>
    </xf>
    <xf numFmtId="0" fontId="45" fillId="44" borderId="138" xfId="0" applyFont="1" applyFill="1" applyBorder="1" applyAlignment="1" applyProtection="1">
      <alignment horizontal="left" vertical="center" wrapText="1"/>
      <protection locked="0"/>
    </xf>
    <xf numFmtId="0" fontId="4" fillId="0" borderId="72" xfId="0" applyFont="1" applyBorder="1" applyAlignment="1" applyProtection="1">
      <alignment horizontal="center"/>
      <protection/>
    </xf>
    <xf numFmtId="0" fontId="45" fillId="0" borderId="14" xfId="0" applyFont="1" applyBorder="1" applyAlignment="1" applyProtection="1">
      <alignment horizontal="center" vertical="center" wrapText="1"/>
      <protection/>
    </xf>
    <xf numFmtId="9" fontId="60" fillId="52" borderId="14" xfId="75" applyFont="1" applyFill="1" applyBorder="1" applyAlignment="1" applyProtection="1">
      <alignment horizontal="center" vertical="center" wrapText="1"/>
      <protection/>
    </xf>
    <xf numFmtId="9" fontId="60" fillId="53" borderId="14" xfId="75" applyFont="1" applyFill="1" applyBorder="1" applyAlignment="1" applyProtection="1">
      <alignment horizontal="center" vertical="center" wrapText="1"/>
      <protection/>
    </xf>
    <xf numFmtId="0" fontId="45" fillId="0" borderId="132" xfId="0" applyFont="1" applyBorder="1" applyAlignment="1" applyProtection="1">
      <alignment horizontal="center" vertical="center"/>
      <protection/>
    </xf>
    <xf numFmtId="0" fontId="38" fillId="0" borderId="14" xfId="0" applyFont="1" applyBorder="1" applyAlignment="1" applyProtection="1">
      <alignment vertical="center" wrapText="1"/>
      <protection/>
    </xf>
    <xf numFmtId="49" fontId="38" fillId="0" borderId="14" xfId="0" applyNumberFormat="1" applyFont="1" applyBorder="1" applyAlignment="1" applyProtection="1">
      <alignment vertical="center" wrapText="1"/>
      <protection/>
    </xf>
    <xf numFmtId="181" fontId="4" fillId="0" borderId="0" xfId="0" applyNumberFormat="1" applyFont="1" applyBorder="1" applyAlignment="1" applyProtection="1">
      <alignment horizontal="center"/>
      <protection/>
    </xf>
    <xf numFmtId="187" fontId="59" fillId="0" borderId="0" xfId="0" applyNumberFormat="1" applyFont="1" applyBorder="1" applyAlignment="1" applyProtection="1">
      <alignment horizontal="center"/>
      <protection/>
    </xf>
    <xf numFmtId="187" fontId="73" fillId="37" borderId="107" xfId="0" applyNumberFormat="1" applyFont="1" applyFill="1" applyBorder="1" applyAlignment="1" applyProtection="1">
      <alignment horizontal="center" vertical="center"/>
      <protection/>
    </xf>
    <xf numFmtId="187" fontId="75" fillId="0" borderId="0" xfId="0" applyNumberFormat="1" applyFont="1" applyFill="1" applyBorder="1" applyAlignment="1" applyProtection="1">
      <alignment horizontal="center"/>
      <protection/>
    </xf>
    <xf numFmtId="187" fontId="76" fillId="34" borderId="17" xfId="0" applyNumberFormat="1" applyFont="1" applyFill="1" applyBorder="1" applyAlignment="1" applyProtection="1">
      <alignment horizontal="center" vertical="center"/>
      <protection/>
    </xf>
    <xf numFmtId="0" fontId="8" fillId="0" borderId="139" xfId="0" applyNumberFormat="1" applyFont="1" applyFill="1" applyBorder="1" applyAlignment="1" applyProtection="1">
      <alignment horizontal="left" vertical="top" wrapText="1"/>
      <protection/>
    </xf>
    <xf numFmtId="49" fontId="1" fillId="34" borderId="140" xfId="0" applyNumberFormat="1" applyFont="1" applyFill="1" applyBorder="1" applyAlignment="1" applyProtection="1">
      <alignment horizontal="center" vertical="center"/>
      <protection locked="0"/>
    </xf>
    <xf numFmtId="49" fontId="1" fillId="34" borderId="141" xfId="0" applyNumberFormat="1" applyFont="1" applyFill="1" applyBorder="1" applyAlignment="1" applyProtection="1">
      <alignment horizontal="center" vertical="center" wrapText="1"/>
      <protection locked="0"/>
    </xf>
    <xf numFmtId="49" fontId="1" fillId="34" borderId="141" xfId="0" applyNumberFormat="1" applyFont="1" applyFill="1" applyBorder="1" applyAlignment="1" applyProtection="1">
      <alignment horizontal="center" vertical="center"/>
      <protection locked="0"/>
    </xf>
    <xf numFmtId="0" fontId="8" fillId="0" borderId="142" xfId="0" applyNumberFormat="1" applyFont="1" applyFill="1" applyBorder="1" applyAlignment="1" applyProtection="1">
      <alignment horizontal="left" vertical="top" wrapText="1"/>
      <protection/>
    </xf>
    <xf numFmtId="49" fontId="1" fillId="34" borderId="143" xfId="0" applyNumberFormat="1" applyFont="1" applyFill="1" applyBorder="1" applyAlignment="1" applyProtection="1">
      <alignment horizontal="center" vertical="center"/>
      <protection locked="0"/>
    </xf>
    <xf numFmtId="187" fontId="75" fillId="0" borderId="144" xfId="0" applyNumberFormat="1" applyFont="1" applyFill="1" applyBorder="1" applyAlignment="1" applyProtection="1">
      <alignment horizontal="center"/>
      <protection/>
    </xf>
    <xf numFmtId="187" fontId="87" fillId="35" borderId="145" xfId="0" applyNumberFormat="1" applyFont="1" applyFill="1" applyBorder="1" applyAlignment="1" applyProtection="1">
      <alignment horizontal="center" vertical="center"/>
      <protection/>
    </xf>
    <xf numFmtId="187" fontId="87" fillId="35" borderId="146" xfId="0" applyNumberFormat="1" applyFont="1" applyFill="1" applyBorder="1" applyAlignment="1" applyProtection="1">
      <alignment horizontal="center" vertical="center"/>
      <protection/>
    </xf>
    <xf numFmtId="0" fontId="8" fillId="0" borderId="147" xfId="0" applyNumberFormat="1" applyFont="1" applyFill="1" applyBorder="1" applyAlignment="1" applyProtection="1">
      <alignment horizontal="left" vertical="top" wrapText="1"/>
      <protection/>
    </xf>
    <xf numFmtId="0" fontId="1" fillId="35" borderId="148" xfId="0" applyFont="1" applyFill="1" applyBorder="1" applyAlignment="1" applyProtection="1">
      <alignment horizontal="center" vertical="top" wrapText="1"/>
      <protection locked="0"/>
    </xf>
    <xf numFmtId="0" fontId="8" fillId="0" borderId="149" xfId="0" applyNumberFormat="1" applyFont="1" applyFill="1" applyBorder="1" applyAlignment="1" applyProtection="1">
      <alignment horizontal="left" vertical="top" wrapText="1"/>
      <protection/>
    </xf>
    <xf numFmtId="0" fontId="1" fillId="35" borderId="150" xfId="0" applyFont="1" applyFill="1" applyBorder="1" applyAlignment="1" applyProtection="1">
      <alignment horizontal="center" vertical="top" wrapText="1"/>
      <protection locked="0"/>
    </xf>
    <xf numFmtId="0" fontId="8" fillId="0" borderId="151" xfId="0" applyNumberFormat="1" applyFont="1" applyFill="1" applyBorder="1" applyAlignment="1" applyProtection="1">
      <alignment horizontal="left" vertical="top" wrapText="1"/>
      <protection/>
    </xf>
    <xf numFmtId="0" fontId="1" fillId="35" borderId="152" xfId="0" applyFont="1" applyFill="1" applyBorder="1" applyAlignment="1" applyProtection="1">
      <alignment horizontal="center" vertical="top" wrapText="1"/>
      <protection locked="0"/>
    </xf>
    <xf numFmtId="187" fontId="75" fillId="0" borderId="153" xfId="0" applyNumberFormat="1" applyFont="1" applyFill="1" applyBorder="1" applyAlignment="1" applyProtection="1">
      <alignment horizontal="center"/>
      <protection/>
    </xf>
    <xf numFmtId="187" fontId="76" fillId="33" borderId="124" xfId="0" applyNumberFormat="1" applyFont="1" applyFill="1" applyBorder="1" applyAlignment="1" applyProtection="1">
      <alignment horizontal="center" vertical="center"/>
      <protection/>
    </xf>
    <xf numFmtId="0" fontId="8" fillId="0" borderId="154" xfId="0" applyNumberFormat="1" applyFont="1" applyFill="1" applyBorder="1" applyAlignment="1" applyProtection="1">
      <alignment horizontal="left" vertical="center" wrapText="1"/>
      <protection/>
    </xf>
    <xf numFmtId="0" fontId="1" fillId="33" borderId="155" xfId="0" applyFont="1" applyFill="1" applyBorder="1" applyAlignment="1" applyProtection="1">
      <alignment horizontal="center" vertical="top" wrapText="1"/>
      <protection locked="0"/>
    </xf>
    <xf numFmtId="0" fontId="1" fillId="0" borderId="156" xfId="75" applyNumberFormat="1" applyFont="1" applyFill="1" applyBorder="1" applyAlignment="1" applyProtection="1">
      <alignment horizontal="left" vertical="center" wrapText="1"/>
      <protection/>
    </xf>
    <xf numFmtId="0" fontId="1" fillId="33" borderId="157" xfId="0" applyFont="1" applyFill="1" applyBorder="1" applyAlignment="1" applyProtection="1">
      <alignment horizontal="center" vertical="top" wrapText="1"/>
      <protection locked="0"/>
    </xf>
    <xf numFmtId="9" fontId="1" fillId="0" borderId="156" xfId="75" applyNumberFormat="1" applyFont="1" applyFill="1" applyBorder="1" applyAlignment="1" applyProtection="1">
      <alignment horizontal="left" vertical="center" wrapText="1"/>
      <protection/>
    </xf>
    <xf numFmtId="0" fontId="1" fillId="33" borderId="158" xfId="0" applyFont="1" applyFill="1" applyBorder="1" applyAlignment="1" applyProtection="1">
      <alignment horizontal="center" vertical="top" wrapText="1"/>
      <protection locked="0"/>
    </xf>
    <xf numFmtId="181" fontId="26" fillId="48" borderId="0" xfId="92" applyNumberFormat="1" applyFont="1" applyFill="1" applyBorder="1" applyAlignment="1" applyProtection="1">
      <alignment horizontal="center"/>
      <protection locked="0"/>
    </xf>
    <xf numFmtId="0" fontId="0" fillId="33" borderId="14" xfId="0" applyFill="1" applyBorder="1" applyAlignment="1" applyProtection="1">
      <alignment horizontal="center"/>
      <protection locked="0"/>
    </xf>
    <xf numFmtId="0" fontId="94" fillId="41" borderId="159" xfId="73" applyNumberFormat="1" applyFont="1" applyFill="1" applyBorder="1" applyAlignment="1">
      <alignment horizontal="center" vertical="center" wrapText="1"/>
      <protection/>
    </xf>
    <xf numFmtId="0" fontId="94" fillId="41" borderId="160" xfId="73" applyNumberFormat="1" applyFont="1" applyFill="1" applyBorder="1" applyAlignment="1">
      <alignment horizontal="center" vertical="center" wrapText="1"/>
      <protection/>
    </xf>
    <xf numFmtId="0" fontId="94" fillId="41" borderId="161" xfId="73" applyNumberFormat="1" applyFont="1" applyFill="1" applyBorder="1" applyAlignment="1">
      <alignment horizontal="center" vertical="center" wrapText="1"/>
      <protection/>
    </xf>
    <xf numFmtId="0" fontId="95" fillId="41" borderId="14" xfId="0" applyNumberFormat="1" applyFont="1" applyFill="1" applyBorder="1" applyAlignment="1">
      <alignment horizontal="center" vertical="center" textRotation="90"/>
    </xf>
    <xf numFmtId="0" fontId="33" fillId="0" borderId="162" xfId="0" applyFont="1" applyBorder="1" applyAlignment="1" applyProtection="1">
      <alignment horizontal="left" wrapText="1"/>
      <protection/>
    </xf>
    <xf numFmtId="0" fontId="34" fillId="0" borderId="163" xfId="0" applyFont="1" applyFill="1" applyBorder="1" applyAlignment="1" applyProtection="1">
      <alignment horizontal="left" wrapText="1"/>
      <protection locked="0"/>
    </xf>
    <xf numFmtId="0" fontId="34" fillId="0" borderId="164" xfId="0" applyFont="1" applyFill="1" applyBorder="1" applyAlignment="1" applyProtection="1">
      <alignment horizontal="left" wrapText="1"/>
      <protection locked="0"/>
    </xf>
    <xf numFmtId="0" fontId="34" fillId="0" borderId="165" xfId="0" applyFont="1" applyFill="1" applyBorder="1" applyAlignment="1" applyProtection="1">
      <alignment horizontal="left" vertical="center" wrapText="1"/>
      <protection locked="0"/>
    </xf>
    <xf numFmtId="0" fontId="34" fillId="0" borderId="166" xfId="0" applyFont="1" applyFill="1" applyBorder="1" applyAlignment="1" applyProtection="1">
      <alignment horizontal="left" vertical="top" wrapText="1"/>
      <protection locked="0"/>
    </xf>
    <xf numFmtId="0" fontId="34" fillId="0" borderId="167" xfId="0" applyFont="1" applyFill="1" applyBorder="1" applyAlignment="1" applyProtection="1">
      <alignment horizontal="left"/>
      <protection locked="0"/>
    </xf>
    <xf numFmtId="0" fontId="34" fillId="0" borderId="166" xfId="0" applyFont="1" applyFill="1" applyBorder="1" applyAlignment="1" applyProtection="1">
      <alignment horizontal="left"/>
      <protection locked="0"/>
    </xf>
    <xf numFmtId="0" fontId="34" fillId="0" borderId="168" xfId="0" applyFont="1" applyFill="1" applyBorder="1" applyAlignment="1" applyProtection="1">
      <alignment horizontal="left" wrapText="1"/>
      <protection locked="0"/>
    </xf>
    <xf numFmtId="0" fontId="34" fillId="0" borderId="166" xfId="0" applyFont="1" applyFill="1" applyBorder="1" applyAlignment="1" applyProtection="1">
      <alignment horizontal="left" wrapText="1"/>
      <protection locked="0"/>
    </xf>
    <xf numFmtId="0" fontId="34" fillId="0" borderId="167" xfId="0" applyFont="1" applyFill="1" applyBorder="1" applyAlignment="1" applyProtection="1">
      <alignment horizontal="left" wrapText="1"/>
      <protection locked="0"/>
    </xf>
    <xf numFmtId="0" fontId="34" fillId="0" borderId="169" xfId="0" applyFont="1" applyFill="1" applyBorder="1" applyAlignment="1" applyProtection="1">
      <alignment horizontal="left"/>
      <protection locked="0"/>
    </xf>
    <xf numFmtId="0" fontId="34" fillId="0" borderId="170" xfId="0" applyFont="1" applyFill="1" applyBorder="1" applyAlignment="1" applyProtection="1">
      <alignment horizontal="left" vertical="center" wrapText="1"/>
      <protection locked="0"/>
    </xf>
    <xf numFmtId="0" fontId="34" fillId="0" borderId="171" xfId="0" applyFont="1" applyFill="1" applyBorder="1" applyAlignment="1" applyProtection="1">
      <alignment horizontal="left"/>
      <protection locked="0"/>
    </xf>
    <xf numFmtId="0" fontId="34" fillId="0" borderId="172" xfId="0" applyFont="1" applyFill="1" applyBorder="1" applyAlignment="1" applyProtection="1">
      <alignment horizontal="left"/>
      <protection locked="0"/>
    </xf>
    <xf numFmtId="0" fontId="34" fillId="0" borderId="173" xfId="0" applyFont="1" applyFill="1" applyBorder="1" applyAlignment="1" applyProtection="1">
      <alignment horizontal="left"/>
      <protection locked="0"/>
    </xf>
    <xf numFmtId="0" fontId="34" fillId="0" borderId="174" xfId="0" applyFont="1" applyFill="1" applyBorder="1" applyAlignment="1" applyProtection="1">
      <alignment horizontal="left" vertical="top" wrapText="1"/>
      <protection locked="0"/>
    </xf>
    <xf numFmtId="0" fontId="34" fillId="0" borderId="175" xfId="0" applyFont="1" applyBorder="1" applyAlignment="1" applyProtection="1">
      <alignment horizontal="left"/>
      <protection locked="0"/>
    </xf>
    <xf numFmtId="0" fontId="34" fillId="0" borderId="103" xfId="0" applyFont="1" applyBorder="1" applyAlignment="1" applyProtection="1">
      <alignment horizontal="left"/>
      <protection locked="0"/>
    </xf>
    <xf numFmtId="0" fontId="34" fillId="0" borderId="176" xfId="0" applyFont="1" applyBorder="1" applyAlignment="1" applyProtection="1">
      <alignment horizontal="left"/>
      <protection locked="0"/>
    </xf>
    <xf numFmtId="0" fontId="34" fillId="0" borderId="177" xfId="0" applyFont="1" applyFill="1" applyBorder="1" applyAlignment="1" applyProtection="1">
      <alignment horizontal="left"/>
      <protection locked="0"/>
    </xf>
    <xf numFmtId="0" fontId="34" fillId="0" borderId="166" xfId="0" applyFont="1" applyBorder="1" applyAlignment="1" applyProtection="1">
      <alignment horizontal="left"/>
      <protection locked="0"/>
    </xf>
    <xf numFmtId="0" fontId="34" fillId="0" borderId="167" xfId="0" applyFont="1" applyBorder="1" applyAlignment="1" applyProtection="1">
      <alignment horizontal="left"/>
      <protection locked="0"/>
    </xf>
    <xf numFmtId="0" fontId="34" fillId="0" borderId="169" xfId="0" applyFont="1" applyBorder="1" applyAlignment="1" applyProtection="1">
      <alignment horizontal="left"/>
      <protection locked="0"/>
    </xf>
    <xf numFmtId="0" fontId="34" fillId="0" borderId="178" xfId="0" applyFont="1" applyFill="1" applyBorder="1" applyAlignment="1" applyProtection="1">
      <alignment horizontal="left"/>
      <protection locked="0"/>
    </xf>
    <xf numFmtId="0" fontId="34" fillId="0" borderId="171" xfId="0" applyFont="1" applyBorder="1" applyAlignment="1" applyProtection="1">
      <alignment horizontal="left"/>
      <protection locked="0"/>
    </xf>
    <xf numFmtId="0" fontId="34" fillId="0" borderId="172" xfId="0" applyFont="1" applyBorder="1" applyAlignment="1" applyProtection="1">
      <alignment horizontal="left"/>
      <protection locked="0"/>
    </xf>
    <xf numFmtId="0" fontId="34" fillId="0" borderId="173" xfId="0" applyFont="1" applyBorder="1" applyAlignment="1" applyProtection="1">
      <alignment horizontal="left"/>
      <protection locked="0"/>
    </xf>
    <xf numFmtId="181" fontId="2" fillId="49" borderId="0" xfId="56" applyFont="1" applyFill="1" applyBorder="1" applyAlignment="1">
      <alignment horizontal="center" vertical="center"/>
      <protection/>
    </xf>
    <xf numFmtId="0" fontId="4" fillId="0" borderId="0" xfId="0" applyFont="1" applyBorder="1" applyAlignment="1">
      <alignment horizontal="center"/>
    </xf>
    <xf numFmtId="49" fontId="121" fillId="0" borderId="14" xfId="0" applyNumberFormat="1" applyFont="1" applyFill="1" applyBorder="1" applyAlignment="1" applyProtection="1">
      <alignment horizontal="left"/>
      <protection/>
    </xf>
    <xf numFmtId="187" fontId="121" fillId="33" borderId="62" xfId="0" applyNumberFormat="1" applyFont="1" applyFill="1" applyBorder="1" applyAlignment="1" applyProtection="1">
      <alignment horizontal="center" vertical="center" wrapText="1"/>
      <protection/>
    </xf>
    <xf numFmtId="49" fontId="121" fillId="38" borderId="14" xfId="0" applyNumberFormat="1" applyFont="1" applyFill="1" applyBorder="1" applyAlignment="1" applyProtection="1">
      <alignment horizontal="left"/>
      <protection/>
    </xf>
    <xf numFmtId="201" fontId="101" fillId="33" borderId="62" xfId="75" applyNumberFormat="1" applyFont="1" applyFill="1" applyBorder="1" applyAlignment="1" applyProtection="1">
      <alignment horizontal="center" vertical="center" wrapText="1"/>
      <protection/>
    </xf>
    <xf numFmtId="9" fontId="101" fillId="33" borderId="62" xfId="75" applyFont="1" applyFill="1" applyBorder="1" applyAlignment="1" applyProtection="1">
      <alignment horizontal="center" vertical="center" wrapText="1"/>
      <protection/>
    </xf>
    <xf numFmtId="187" fontId="161" fillId="44" borderId="113" xfId="0" applyNumberFormat="1" applyFont="1" applyFill="1" applyBorder="1" applyAlignment="1" applyProtection="1">
      <alignment horizontal="justify" vertical="center" wrapText="1"/>
      <protection locked="0"/>
    </xf>
    <xf numFmtId="187" fontId="162" fillId="44" borderId="113" xfId="0" applyNumberFormat="1" applyFont="1" applyFill="1" applyBorder="1" applyAlignment="1" applyProtection="1">
      <alignment horizontal="justify" vertical="center" wrapText="1"/>
      <protection locked="0"/>
    </xf>
    <xf numFmtId="199" fontId="121" fillId="33" borderId="14" xfId="0" applyNumberFormat="1" applyFont="1" applyFill="1" applyBorder="1" applyAlignment="1" applyProtection="1">
      <alignment horizontal="center" vertical="center" wrapText="1"/>
      <protection/>
    </xf>
    <xf numFmtId="1" fontId="101" fillId="33" borderId="62" xfId="75" applyNumberFormat="1" applyFont="1" applyFill="1" applyBorder="1" applyAlignment="1" applyProtection="1">
      <alignment horizontal="center" vertical="center" wrapText="1"/>
      <protection/>
    </xf>
    <xf numFmtId="1" fontId="121" fillId="33" borderId="62" xfId="0" applyNumberFormat="1" applyFont="1" applyFill="1" applyBorder="1" applyAlignment="1" applyProtection="1">
      <alignment horizontal="center" vertical="center" wrapText="1"/>
      <protection/>
    </xf>
  </cellXfs>
  <cellStyles count="8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rmal 2 2" xfId="57"/>
    <cellStyle name="Normal 2 3" xfId="58"/>
    <cellStyle name="Normal 2 4" xfId="59"/>
    <cellStyle name="Normal 2 5" xfId="60"/>
    <cellStyle name="Normal 2 6" xfId="61"/>
    <cellStyle name="Normal 2 7" xfId="62"/>
    <cellStyle name="Normal 2 8" xfId="63"/>
    <cellStyle name="Normal 2_Dashboard ver 2.2 ES" xfId="64"/>
    <cellStyle name="Normal 2_Ficticia HIV Dashboard_ES - Set Up and Maintenance Guide" xfId="65"/>
    <cellStyle name="Normal 2_Prototipo" xfId="66"/>
    <cellStyle name="Normal 3" xfId="67"/>
    <cellStyle name="Normal 4" xfId="68"/>
    <cellStyle name="Normal 5" xfId="69"/>
    <cellStyle name="Normal 6" xfId="70"/>
    <cellStyle name="Normal 7" xfId="71"/>
    <cellStyle name="Normal 8" xfId="72"/>
    <cellStyle name="Normal_TZ_R3HIV_Phase_2_21_August_08" xfId="73"/>
    <cellStyle name="Notas" xfId="74"/>
    <cellStyle name="Percent" xfId="75"/>
    <cellStyle name="Porcentual 2" xfId="76"/>
    <cellStyle name="Porcentual 3" xfId="77"/>
    <cellStyle name="Porcentual 4" xfId="78"/>
    <cellStyle name="Porcentual 5" xfId="79"/>
    <cellStyle name="Porcentual 6" xfId="80"/>
    <cellStyle name="Porcentual 7" xfId="81"/>
    <cellStyle name="Porcentual 8" xfId="82"/>
    <cellStyle name="Salida" xfId="83"/>
    <cellStyle name="Texto de advertencia" xfId="84"/>
    <cellStyle name="Texto explicativo" xfId="85"/>
    <cellStyle name="Título" xfId="86"/>
    <cellStyle name="Título 2" xfId="87"/>
    <cellStyle name="Título 3" xfId="88"/>
    <cellStyle name="Título 3 2" xfId="89"/>
    <cellStyle name="Título 3 3" xfId="90"/>
    <cellStyle name="Título 3 3_Prototipo" xfId="91"/>
    <cellStyle name="Título 3 3_PrototipoRep1" xfId="92"/>
    <cellStyle name="Título 3 4" xfId="93"/>
    <cellStyle name="Título 3 5" xfId="94"/>
    <cellStyle name="Título 3 6" xfId="95"/>
    <cellStyle name="Título 3 7" xfId="96"/>
    <cellStyle name="Título 3 8" xfId="97"/>
    <cellStyle name="Total" xfId="98"/>
  </cellStyles>
  <dxfs count="53">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i val="0"/>
        <sz val="11"/>
        <color indexed="8"/>
      </font>
      <fill>
        <patternFill patternType="solid">
          <fgColor theme="4" tint="0.7999799847602844"/>
          <bgColor theme="4" tint="0.7999799847602844"/>
        </patternFill>
      </fill>
    </dxf>
    <dxf>
      <font>
        <b/>
        <i val="0"/>
        <sz val="11"/>
        <color indexed="8"/>
      </font>
      <fill>
        <patternFill patternType="solid">
          <fgColor theme="4" tint="0.5999600291252136"/>
          <bgColor theme="4" tint="0.5999600291252136"/>
        </patternFill>
      </fill>
    </dxf>
    <dxf>
      <font>
        <b/>
        <i val="0"/>
        <sz val="11"/>
        <color indexed="9"/>
      </font>
      <fill>
        <patternFill patternType="solid">
          <fgColor theme="4" tint="0.3999499976634979"/>
          <bgColor theme="4" tint="0.399949997663497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i val="0"/>
        <sz val="11"/>
        <color indexed="8"/>
      </font>
      <fill>
        <patternFill patternType="solid">
          <fgColor indexed="51"/>
          <bgColor indexed="13"/>
        </patternFill>
      </fill>
    </dxf>
    <dxf>
      <font>
        <b/>
        <i val="0"/>
        <sz val="11"/>
        <color indexed="8"/>
      </font>
      <fill>
        <patternFill patternType="solid">
          <fgColor indexed="49"/>
          <bgColor indexed="11"/>
        </patternFill>
      </fill>
    </dxf>
    <dxf>
      <font>
        <b/>
        <i val="0"/>
        <sz val="11"/>
        <color indexed="8"/>
      </font>
      <fill>
        <patternFill patternType="solid">
          <fgColor indexed="29"/>
          <bgColor indexed="61"/>
        </patternFill>
      </fill>
    </dxf>
    <dxf>
      <font>
        <b/>
        <i val="0"/>
        <sz val="11"/>
        <color indexed="8"/>
      </font>
      <fill>
        <patternFill patternType="solid">
          <fgColor indexed="51"/>
          <bgColor indexed="13"/>
        </patternFill>
      </fill>
    </dxf>
    <dxf>
      <font>
        <b/>
        <i val="0"/>
        <sz val="11"/>
        <color indexed="8"/>
      </font>
      <fill>
        <patternFill patternType="solid">
          <fgColor indexed="49"/>
          <bgColor indexed="11"/>
        </patternFill>
      </fill>
    </dxf>
    <dxf>
      <font>
        <b/>
        <i val="0"/>
        <sz val="11"/>
        <color indexed="8"/>
      </font>
      <fill>
        <patternFill patternType="solid">
          <fgColor indexed="29"/>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9"/>
      </font>
      <fill>
        <patternFill patternType="solid">
          <fgColor indexed="19"/>
          <bgColor indexed="29"/>
        </patternFill>
      </fill>
    </dxf>
    <dxf>
      <font>
        <b val="0"/>
        <sz val="11"/>
        <color indexed="8"/>
      </font>
      <fill>
        <patternFill patternType="solid">
          <fgColor indexed="51"/>
          <bgColor indexed="13"/>
        </patternFill>
      </fill>
    </dxf>
    <dxf>
      <font>
        <b val="0"/>
        <sz val="11"/>
        <color indexed="8"/>
      </font>
      <fill>
        <patternFill patternType="solid">
          <fgColor indexed="49"/>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8"/>
      </font>
      <fill>
        <patternFill patternType="solid">
          <fgColor indexed="26"/>
          <bgColor indexed="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9"/>
      </font>
      <fill>
        <patternFill patternType="solid">
          <fgColor indexed="32"/>
          <bgColor indexed="8"/>
        </patternFill>
      </fill>
    </dxf>
    <dxf>
      <font>
        <b val="0"/>
        <sz val="11"/>
        <color indexed="8"/>
      </font>
      <fill>
        <patternFill patternType="solid">
          <fgColor indexed="4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61"/>
        </patternFill>
      </fill>
    </dxf>
    <dxf>
      <font>
        <b val="0"/>
        <sz val="11"/>
        <color indexed="9"/>
      </font>
      <fill>
        <patternFill patternType="solid">
          <fgColor indexed="59"/>
          <bgColor indexed="63"/>
        </patternFill>
      </fill>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ED7D31"/>
          <bgColor rgb="FFFF7171"/>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theme="4" tint="0.3999499976634979"/>
          <bgColor theme="4" tint="0.3999499976634979"/>
        </patternFill>
      </fill>
      <border/>
    </dxf>
    <dxf>
      <font>
        <b/>
        <i val="0"/>
        <sz val="11"/>
        <color rgb="FF000000"/>
      </font>
      <fill>
        <patternFill patternType="solid">
          <fgColor theme="4" tint="0.5999600291252136"/>
          <bgColor theme="4" tint="0.5999600291252136"/>
        </patternFill>
      </fill>
      <border/>
    </dxf>
    <dxf>
      <font>
        <b/>
        <i val="0"/>
        <sz val="11"/>
        <color rgb="FF000000"/>
      </font>
      <fill>
        <patternFill patternType="solid">
          <fgColor theme="4" tint="0.7999799847602844"/>
          <bgColor theme="4"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ED7D31"/>
      <rgbColor rgb="00800080"/>
      <rgbColor rgb="000070C0"/>
      <rgbColor rgb="00C0C0C0"/>
      <rgbColor rgb="00808080"/>
      <rgbColor rgb="0093CDDD"/>
      <rgbColor rgb="00993366"/>
      <rgbColor rgb="00FFF8EF"/>
      <rgbColor rgb="00CCFFFF"/>
      <rgbColor rgb="001F1C1B"/>
      <rgbColor rgb="00FF7171"/>
      <rgbColor rgb="000066CC"/>
      <rgbColor rgb="00CCC1DA"/>
      <rgbColor rgb="00131312"/>
      <rgbColor rgb="00FF00FF"/>
      <rgbColor rgb="00FFF88F"/>
      <rgbColor rgb="0000FFFF"/>
      <rgbColor rgb="00800080"/>
      <rgbColor rgb="00800000"/>
      <rgbColor rgb="00008080"/>
      <rgbColor rgb="000000FF"/>
      <rgbColor rgb="0000CCFF"/>
      <rgbColor rgb="00F2F2F2"/>
      <rgbColor rgb="00CCFFCC"/>
      <rgbColor rgb="00FFFF99"/>
      <rgbColor rgb="0099CCFF"/>
      <rgbColor rgb="00D9D9D9"/>
      <rgbColor rgb="00BFBFBF"/>
      <rgbColor rgb="00FFCC99"/>
      <rgbColor rgb="003366FF"/>
      <rgbColor rgb="0033CC33"/>
      <rgbColor rgb="0099CC00"/>
      <rgbColor rgb="00FFCC00"/>
      <rgbColor rgb="00FF9900"/>
      <rgbColor rgb="00FF6600"/>
      <rgbColor rgb="00666699"/>
      <rgbColor rgb="00A6A6A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3875"/>
          <c:w val="0.92425"/>
          <c:h val="0.78875"/>
        </c:manualLayout>
      </c:layout>
      <c:barChart>
        <c:barDir val="col"/>
        <c:grouping val="clustered"/>
        <c:varyColors val="0"/>
        <c:ser>
          <c:idx val="0"/>
          <c:order val="0"/>
          <c:tx>
            <c:v>Presupuesto</c:v>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338606.5</c:v>
                </c:pt>
                <c:pt idx="1">
                  <c:v>893030</c:v>
                </c:pt>
                <c:pt idx="2">
                  <c:v>1744000</c:v>
                </c:pt>
                <c:pt idx="3">
                  <c:v>2000000</c:v>
                </c:pt>
                <c:pt idx="4">
                  <c:v>0</c:v>
                </c:pt>
                <c:pt idx="5">
                  <c:v>0</c:v>
                </c:pt>
                <c:pt idx="6">
                  <c:v>0</c:v>
                </c:pt>
                <c:pt idx="7">
                  <c:v>0</c:v>
                </c:pt>
                <c:pt idx="8">
                  <c:v>0</c:v>
                </c:pt>
                <c:pt idx="9">
                  <c:v>0</c:v>
                </c:pt>
                <c:pt idx="10">
                  <c:v>0</c:v>
                </c:pt>
                <c:pt idx="11">
                  <c:v>0</c:v>
                </c:pt>
              </c:numCache>
            </c:numRef>
          </c:val>
        </c:ser>
        <c:ser>
          <c:idx val="1"/>
          <c:order val="1"/>
          <c:tx>
            <c:v>Desembolso</c:v>
          </c:tx>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939921</c:v>
                </c:pt>
                <c:pt idx="1">
                  <c:v>1576540</c:v>
                </c:pt>
                <c:pt idx="2">
                  <c:v>1794011.28</c:v>
                </c:pt>
                <c:pt idx="3">
                  <c:v>1794011.28</c:v>
                </c:pt>
                <c:pt idx="4">
                  <c:v>0</c:v>
                </c:pt>
                <c:pt idx="5">
                  <c:v>0</c:v>
                </c:pt>
                <c:pt idx="6">
                  <c:v>0</c:v>
                </c:pt>
                <c:pt idx="7">
                  <c:v>0</c:v>
                </c:pt>
                <c:pt idx="8">
                  <c:v>0</c:v>
                </c:pt>
                <c:pt idx="9">
                  <c:v>0</c:v>
                </c:pt>
                <c:pt idx="10">
                  <c:v>0</c:v>
                </c:pt>
                <c:pt idx="11">
                  <c:v>0</c:v>
                </c:pt>
              </c:numCache>
            </c:numRef>
          </c:val>
        </c:ser>
        <c:gapWidth val="70"/>
        <c:axId val="53143503"/>
        <c:axId val="8529480"/>
      </c:barChart>
      <c:catAx>
        <c:axId val="5314350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Calibri"/>
                <a:ea typeface="Calibri"/>
                <a:cs typeface="Calibri"/>
              </a:defRPr>
            </a:pPr>
          </a:p>
        </c:txPr>
        <c:crossAx val="8529480"/>
        <c:crossesAt val="0"/>
        <c:auto val="1"/>
        <c:lblOffset val="100"/>
        <c:tickLblSkip val="1"/>
        <c:noMultiLvlLbl val="0"/>
      </c:catAx>
      <c:valAx>
        <c:axId val="852948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3143503"/>
        <c:crossesAt val="1"/>
        <c:crossBetween val="between"/>
        <c:dispUnits/>
      </c:valAx>
      <c:dTable>
        <c:showHorzBorder val="1"/>
        <c:showVertBorder val="1"/>
        <c:showOutline val="1"/>
        <c:showKeys val="1"/>
        <c:spPr>
          <a:ln w="3175">
            <a:solidFill>
              <a:srgbClr val="808080"/>
            </a:solidFill>
          </a:ln>
        </c:spPr>
      </c:dTable>
      <c:spPr>
        <a:solidFill>
          <a:srgbClr val="FFFFFF"/>
        </a:solidFill>
        <a:ln w="3175">
          <a:solidFill>
            <a:srgbClr val="000000"/>
          </a:solidFill>
        </a:ln>
      </c:spPr>
    </c:plotArea>
    <c:plotVisOnly val="1"/>
    <c:dispBlanksAs val="gap"/>
    <c:showDLblsOverMax val="0"/>
  </c:chart>
  <c:spPr>
    <a:noFill/>
    <a:ln>
      <a:noFill/>
    </a:ln>
  </c:spPr>
  <c:txPr>
    <a:bodyPr vert="horz" rot="0"/>
    <a:lstStyle/>
    <a:p>
      <a:pPr>
        <a:defRPr lang="en-US" cap="none" sz="6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10075"/>
          <c:w val="0.89875"/>
          <c:h val="0.821"/>
        </c:manualLayout>
      </c:layout>
      <c:barChart>
        <c:barDir val="col"/>
        <c:grouping val="clustered"/>
        <c:varyColors val="0"/>
        <c:ser>
          <c:idx val="0"/>
          <c:order val="0"/>
          <c:tx>
            <c:v>Meta</c:v>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datos'!$H$119:$Q$119</c:f>
              <c:numCache>
                <c:ptCount val="10"/>
                <c:pt idx="0">
                  <c:v>7332</c:v>
                </c:pt>
                <c:pt idx="1">
                  <c:v>4888</c:v>
                </c:pt>
                <c:pt idx="2">
                  <c:v>2444</c:v>
                </c:pt>
              </c:numCache>
            </c:numRef>
          </c:val>
        </c:ser>
        <c:ser>
          <c:idx val="1"/>
          <c:order val="1"/>
          <c:tx>
            <c:v>Logro</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datos'!$H$120:$Q$120</c:f>
              <c:numCache>
                <c:ptCount val="10"/>
                <c:pt idx="0">
                  <c:v>3686</c:v>
                </c:pt>
                <c:pt idx="1">
                  <c:v>2610</c:v>
                </c:pt>
                <c:pt idx="2">
                  <c:v>4275</c:v>
                </c:pt>
              </c:numCache>
            </c:numRef>
          </c:val>
        </c:ser>
        <c:axId val="168665"/>
        <c:axId val="1517986"/>
      </c:barChart>
      <c:catAx>
        <c:axId val="16866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517986"/>
        <c:crossesAt val="0"/>
        <c:auto val="1"/>
        <c:lblOffset val="100"/>
        <c:tickLblSkip val="1"/>
        <c:noMultiLvlLbl val="0"/>
      </c:catAx>
      <c:valAx>
        <c:axId val="151798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68665"/>
        <c:crossesAt val="1"/>
        <c:crossBetween val="between"/>
        <c:dispUnits/>
      </c:valAx>
      <c:spPr>
        <a:noFill/>
        <a:ln>
          <a:noFill/>
        </a:ln>
      </c:spPr>
    </c:plotArea>
    <c:legend>
      <c:legendPos val="r"/>
      <c:layout>
        <c:manualLayout>
          <c:xMode val="edge"/>
          <c:yMode val="edge"/>
          <c:x val="0.2005"/>
          <c:y val="0.8425"/>
          <c:w val="0.33875"/>
          <c:h val="0.1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195"/>
          <c:w val="0.9125"/>
          <c:h val="0.81675"/>
        </c:manualLayout>
      </c:layout>
      <c:barChart>
        <c:barDir val="col"/>
        <c:grouping val="clustered"/>
        <c:varyColors val="0"/>
        <c:ser>
          <c:idx val="0"/>
          <c:order val="0"/>
          <c:tx>
            <c:v>Meta</c:v>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datos'!$H$115:$Q$115</c:f>
              <c:numCache>
                <c:ptCount val="10"/>
                <c:pt idx="0">
                  <c:v>7332</c:v>
                </c:pt>
                <c:pt idx="1">
                  <c:v>4888</c:v>
                </c:pt>
                <c:pt idx="2">
                  <c:v>6519</c:v>
                </c:pt>
              </c:numCache>
            </c:numRef>
          </c:val>
        </c:ser>
        <c:ser>
          <c:idx val="1"/>
          <c:order val="1"/>
          <c:tx>
            <c:v>Logro</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datos'!$H$116:$Q$116</c:f>
              <c:numCache>
                <c:ptCount val="10"/>
                <c:pt idx="0">
                  <c:v>3686</c:v>
                </c:pt>
                <c:pt idx="1">
                  <c:v>2610</c:v>
                </c:pt>
                <c:pt idx="2">
                  <c:v>4275</c:v>
                </c:pt>
              </c:numCache>
            </c:numRef>
          </c:val>
        </c:ser>
        <c:axId val="13661875"/>
        <c:axId val="55848012"/>
      </c:barChart>
      <c:catAx>
        <c:axId val="1366187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55848012"/>
        <c:crossesAt val="0"/>
        <c:auto val="1"/>
        <c:lblOffset val="100"/>
        <c:tickLblSkip val="1"/>
        <c:noMultiLvlLbl val="0"/>
      </c:catAx>
      <c:valAx>
        <c:axId val="5584801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3661875"/>
        <c:crossesAt val="1"/>
        <c:crossBetween val="between"/>
        <c:dispUnits/>
      </c:valAx>
      <c:spPr>
        <a:noFill/>
        <a:ln>
          <a:noFill/>
        </a:ln>
      </c:spPr>
    </c:plotArea>
    <c:legend>
      <c:legendPos val="r"/>
      <c:layout>
        <c:manualLayout>
          <c:xMode val="edge"/>
          <c:yMode val="edge"/>
          <c:x val="0.882"/>
          <c:y val="0.37725"/>
          <c:w val="0.09125"/>
          <c:h val="0.195"/>
        </c:manualLayout>
      </c:layout>
      <c:overlay val="0"/>
      <c:spPr>
        <a:solidFill>
          <a:srgbClr val="FFFFFF"/>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75"/>
          <c:y val="0"/>
          <c:w val="0.8675"/>
          <c:h val="1"/>
        </c:manualLayout>
      </c:layout>
      <c:barChart>
        <c:barDir val="col"/>
        <c:grouping val="clustered"/>
        <c:varyColors val="0"/>
        <c:ser>
          <c:idx val="0"/>
          <c:order val="0"/>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datos'!$B$51:$B$55</c:f>
              <c:strCache>
                <c:ptCount val="5"/>
                <c:pt idx="0">
                  <c:v>Desembolsado por el Fondo Mundial</c:v>
                </c:pt>
                <c:pt idx="1">
                  <c:v>intereses</c:v>
                </c:pt>
                <c:pt idx="2">
                  <c:v>Gastos </c:v>
                </c:pt>
                <c:pt idx="3">
                  <c:v>Compromisos </c:v>
                </c:pt>
                <c:pt idx="4">
                  <c:v>Saldo en Caja al 31 de diciembre de 2019</c:v>
                </c:pt>
              </c:strCache>
            </c:strRef>
          </c:cat>
          <c:val>
            <c:numRef>
              <c:f>'Introducción de datos'!$D$51:$D$55</c:f>
              <c:numCache>
                <c:ptCount val="5"/>
                <c:pt idx="0">
                  <c:v>217471.28</c:v>
                </c:pt>
                <c:pt idx="1">
                  <c:v>10395.97</c:v>
                </c:pt>
                <c:pt idx="2">
                  <c:v>618861.3</c:v>
                </c:pt>
                <c:pt idx="3">
                  <c:v>2000</c:v>
                </c:pt>
                <c:pt idx="4">
                  <c:v>334499.05999999994</c:v>
                </c:pt>
              </c:numCache>
            </c:numRef>
          </c:val>
        </c:ser>
        <c:axId val="9656457"/>
        <c:axId val="19799250"/>
      </c:barChart>
      <c:catAx>
        <c:axId val="965645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19799250"/>
        <c:crossesAt val="0"/>
        <c:auto val="1"/>
        <c:lblOffset val="100"/>
        <c:tickLblSkip val="1"/>
        <c:noMultiLvlLbl val="0"/>
      </c:catAx>
      <c:valAx>
        <c:axId val="19799250"/>
        <c:scaling>
          <c:orientation val="minMax"/>
        </c:scaling>
        <c:axPos val="l"/>
        <c:majorGridlines>
          <c:spPr>
            <a:ln w="3175">
              <a:solidFill>
                <a:srgbClr val="808080"/>
              </a:solidFill>
            </a:ln>
          </c:spPr>
        </c:majorGridlines>
        <c:delete val="0"/>
        <c:numFmt formatCode="[$$-340A]\ #,##0.0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9656457"/>
        <c:crossesAt val="1"/>
        <c:crossBetween val="between"/>
        <c:dispUnits/>
      </c:valAx>
      <c:spPr>
        <a:solidFill>
          <a:srgbClr val="FFFFFF"/>
        </a:solidFill>
        <a:ln w="3175">
          <a:noFill/>
        </a:ln>
      </c:spPr>
    </c:plotArea>
    <c:plotVisOnly val="1"/>
    <c:dispBlanksAs val="gap"/>
    <c:showDLblsOverMax val="0"/>
  </c:chart>
  <c:spPr>
    <a:noFill/>
    <a:ln>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725"/>
          <c:w val="0.83225"/>
          <c:h val="0.87075"/>
        </c:manualLayout>
      </c:layout>
      <c:barChart>
        <c:barDir val="col"/>
        <c:grouping val="clustered"/>
        <c:varyColors val="0"/>
        <c:ser>
          <c:idx val="0"/>
          <c:order val="0"/>
          <c:tx>
            <c:strRef>
              <c:f>Financiamiento!$C$32</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datos'!$B$39:$B$44</c:f>
              <c:strCache>
                <c:ptCount val="6"/>
                <c:pt idx="0">
                  <c:v>Modulo 1: Control de Vectores</c:v>
                </c:pt>
                <c:pt idx="1">
                  <c:v>Modulo 2: Gestión de Casos</c:v>
                </c:pt>
                <c:pt idx="2">
                  <c:v>Modulo 3: Sistemas de información sanitaria y M &amp; E</c:v>
                </c:pt>
                <c:pt idx="3">
                  <c:v>Modulo 4: Salud Comunitaria</c:v>
                </c:pt>
                <c:pt idx="4">
                  <c:v>Modulo 5: Gestión de Programas</c:v>
                </c:pt>
                <c:pt idx="5">
                  <c:v> Módulo 6: Presupuesto por Resultados</c:v>
                </c:pt>
              </c:strCache>
            </c:strRef>
          </c:cat>
          <c:val>
            <c:numRef>
              <c:f>'Introducción de datos'!$C$39:$C$44</c:f>
              <c:numCache>
                <c:ptCount val="6"/>
                <c:pt idx="0">
                  <c:v>473206</c:v>
                </c:pt>
                <c:pt idx="1">
                  <c:v>830160</c:v>
                </c:pt>
                <c:pt idx="2">
                  <c:v>136704</c:v>
                </c:pt>
                <c:pt idx="3">
                  <c:v>71816</c:v>
                </c:pt>
                <c:pt idx="4">
                  <c:v>232114</c:v>
                </c:pt>
                <c:pt idx="5">
                  <c:v>0</c:v>
                </c:pt>
              </c:numCache>
            </c:numRef>
          </c:val>
        </c:ser>
        <c:ser>
          <c:idx val="1"/>
          <c:order val="1"/>
          <c:tx>
            <c:strRef>
              <c:f>Financiamiento!$C$33</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datos'!$B$39:$B$44</c:f>
              <c:strCache>
                <c:ptCount val="6"/>
                <c:pt idx="0">
                  <c:v>Modulo 1: Control de Vectores</c:v>
                </c:pt>
                <c:pt idx="1">
                  <c:v>Modulo 2: Gestión de Casos</c:v>
                </c:pt>
                <c:pt idx="2">
                  <c:v>Modulo 3: Sistemas de información sanitaria y M &amp; E</c:v>
                </c:pt>
                <c:pt idx="3">
                  <c:v>Modulo 4: Salud Comunitaria</c:v>
                </c:pt>
                <c:pt idx="4">
                  <c:v>Modulo 5: Gestión de Programas</c:v>
                </c:pt>
                <c:pt idx="5">
                  <c:v> Módulo 6: Presupuesto por Resultados</c:v>
                </c:pt>
              </c:strCache>
            </c:strRef>
          </c:cat>
          <c:val>
            <c:numRef>
              <c:f>'Introducción de datos'!$D$39:$D$44</c:f>
              <c:numCache>
                <c:ptCount val="6"/>
                <c:pt idx="0">
                  <c:v>441720.5</c:v>
                </c:pt>
                <c:pt idx="1">
                  <c:v>652079.5</c:v>
                </c:pt>
                <c:pt idx="2">
                  <c:v>103098</c:v>
                </c:pt>
                <c:pt idx="3">
                  <c:v>71735</c:v>
                </c:pt>
                <c:pt idx="4">
                  <c:v>222941</c:v>
                </c:pt>
              </c:numCache>
            </c:numRef>
          </c:val>
        </c:ser>
        <c:gapWidth val="100"/>
        <c:axId val="43975523"/>
        <c:axId val="60235388"/>
      </c:barChart>
      <c:catAx>
        <c:axId val="4397552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60235388"/>
        <c:crossesAt val="0"/>
        <c:auto val="1"/>
        <c:lblOffset val="100"/>
        <c:tickLblSkip val="1"/>
        <c:noMultiLvlLbl val="0"/>
      </c:catAx>
      <c:valAx>
        <c:axId val="60235388"/>
        <c:scaling>
          <c:orientation val="minMax"/>
        </c:scaling>
        <c:axPos val="l"/>
        <c:majorGridlines>
          <c:spPr>
            <a:ln w="3175">
              <a:solidFill>
                <a:srgbClr val="000000"/>
              </a:solidFill>
            </a:ln>
          </c:spPr>
        </c:majorGridlines>
        <c:delete val="0"/>
        <c:numFmt formatCode="_([$$-440A]* #,##0.00_);_([$$-440A]* \(#,##0.00\);_([$$-440A]* \-??_);_(@_)"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43975523"/>
        <c:crossesAt val="1"/>
        <c:crossBetween val="between"/>
        <c:dispUnits/>
      </c:valAx>
      <c:spPr>
        <a:noFill/>
        <a:ln w="12700">
          <a:solidFill>
            <a:srgbClr val="000000"/>
          </a:solidFill>
        </a:ln>
      </c:spPr>
    </c:plotArea>
    <c:plotVisOnly val="1"/>
    <c:dispBlanksAs val="gap"/>
    <c:showDLblsOverMax val="0"/>
  </c:chart>
  <c:spPr>
    <a:noFill/>
    <a:ln>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23375"/>
          <c:w val="0.94925"/>
          <c:h val="0.6575"/>
        </c:manualLayout>
      </c:layout>
      <c:barChart>
        <c:barDir val="bar"/>
        <c:grouping val="percentStacked"/>
        <c:varyColors val="0"/>
        <c:ser>
          <c:idx val="0"/>
          <c:order val="0"/>
          <c:tx>
            <c:strRef>
              <c:f>'Introducción de datos'!$D$77</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datos'!$D$78</c:f>
              <c:numCache>
                <c:ptCount val="1"/>
                <c:pt idx="0">
                  <c:v>0</c:v>
                </c:pt>
              </c:numCache>
            </c:numRef>
          </c:val>
        </c:ser>
        <c:ser>
          <c:idx val="1"/>
          <c:order val="1"/>
          <c:tx>
            <c:strRef>
              <c:f>'Introducción de datos'!$E$77</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datos'!$E$78</c:f>
              <c:numCache>
                <c:ptCount val="1"/>
                <c:pt idx="0">
                  <c:v>0</c:v>
                </c:pt>
              </c:numCache>
            </c:numRef>
          </c:val>
        </c:ser>
        <c:overlap val="100"/>
        <c:gapWidth val="79"/>
        <c:axId val="5247581"/>
        <c:axId val="47228230"/>
      </c:barChart>
      <c:catAx>
        <c:axId val="5247581"/>
        <c:scaling>
          <c:orientation val="minMax"/>
        </c:scaling>
        <c:axPos val="l"/>
        <c:delete val="1"/>
        <c:majorTickMark val="out"/>
        <c:minorTickMark val="none"/>
        <c:tickLblPos val="nextTo"/>
        <c:crossAx val="47228230"/>
        <c:crossesAt val="0"/>
        <c:auto val="1"/>
        <c:lblOffset val="100"/>
        <c:tickLblSkip val="1"/>
        <c:noMultiLvlLbl val="0"/>
      </c:catAx>
      <c:valAx>
        <c:axId val="47228230"/>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5247581"/>
        <c:crosses val="max"/>
        <c:crossBetween val="between"/>
        <c:dispUnits/>
      </c:valAx>
      <c:spPr>
        <a:solidFill>
          <a:srgbClr val="FFFFFF"/>
        </a:solidFill>
        <a:ln w="3175">
          <a:noFill/>
        </a:ln>
      </c:spPr>
    </c:plotArea>
    <c:legend>
      <c:legendPos val="r"/>
      <c:layout>
        <c:manualLayout>
          <c:xMode val="edge"/>
          <c:yMode val="edge"/>
          <c:x val="0.22825"/>
          <c:y val="0.69"/>
          <c:w val="0.43475"/>
          <c:h val="0.178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noFill/>
    <a:ln>
      <a:no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1235"/>
          <c:w val="0.9255"/>
          <c:h val="0.70825"/>
        </c:manualLayout>
      </c:layout>
      <c:barChart>
        <c:barDir val="col"/>
        <c:grouping val="clustered"/>
        <c:varyColors val="0"/>
        <c:ser>
          <c:idx val="0"/>
          <c:order val="0"/>
          <c:tx>
            <c:strRef>
              <c:f>'Introducción de datos'!$C$82</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datos'!$C$83</c:f>
              <c:numCache>
                <c:ptCount val="1"/>
                <c:pt idx="0">
                  <c:v>0</c:v>
                </c:pt>
              </c:numCache>
            </c:numRef>
          </c:val>
        </c:ser>
        <c:ser>
          <c:idx val="1"/>
          <c:order val="1"/>
          <c:tx>
            <c:strRef>
              <c:f>'Introducción de datos'!$D$82</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datos'!$D$83</c:f>
              <c:numCache>
                <c:ptCount val="1"/>
                <c:pt idx="0">
                  <c:v>0</c:v>
                </c:pt>
              </c:numCache>
            </c:numRef>
          </c:val>
        </c:ser>
        <c:ser>
          <c:idx val="2"/>
          <c:order val="2"/>
          <c:tx>
            <c:strRef>
              <c:f>'Introducción de datos'!$E$82</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datos'!$E$83</c:f>
              <c:numCache>
                <c:ptCount val="1"/>
                <c:pt idx="0">
                  <c:v>0</c:v>
                </c:pt>
              </c:numCache>
            </c:numRef>
          </c:val>
        </c:ser>
        <c:ser>
          <c:idx val="3"/>
          <c:order val="3"/>
          <c:tx>
            <c:strRef>
              <c:f>'Introducción de datos'!$F$82</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datos'!$F$83</c:f>
              <c:numCache>
                <c:ptCount val="1"/>
                <c:pt idx="0">
                  <c:v>0</c:v>
                </c:pt>
              </c:numCache>
            </c:numRef>
          </c:val>
        </c:ser>
        <c:ser>
          <c:idx val="4"/>
          <c:order val="4"/>
          <c:tx>
            <c:strRef>
              <c:f>'Introducción de datos'!$G$82</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datos'!$G$83</c:f>
              <c:numCache>
                <c:ptCount val="1"/>
                <c:pt idx="0">
                  <c:v>0</c:v>
                </c:pt>
              </c:numCache>
            </c:numRef>
          </c:val>
        </c:ser>
        <c:overlap val="-20"/>
        <c:axId val="22400887"/>
        <c:axId val="281392"/>
      </c:barChart>
      <c:catAx>
        <c:axId val="22400887"/>
        <c:scaling>
          <c:orientation val="minMax"/>
        </c:scaling>
        <c:axPos val="b"/>
        <c:delete val="0"/>
        <c:numFmt formatCode="General" sourceLinked="1"/>
        <c:majorTickMark val="none"/>
        <c:minorTickMark val="none"/>
        <c:tickLblPos val="none"/>
        <c:spPr>
          <a:ln w="3175">
            <a:solidFill>
              <a:srgbClr val="000000"/>
            </a:solidFill>
          </a:ln>
        </c:spPr>
        <c:crossAx val="281392"/>
        <c:crossesAt val="0"/>
        <c:auto val="0"/>
        <c:lblOffset val="100"/>
        <c:tickLblSkip val="1"/>
        <c:noMultiLvlLbl val="0"/>
      </c:catAx>
      <c:valAx>
        <c:axId val="28139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400887"/>
        <c:crossesAt val="1"/>
        <c:crossBetween val="between"/>
        <c:dispUnits/>
      </c:valAx>
      <c:spPr>
        <a:noFill/>
        <a:ln>
          <a:noFill/>
        </a:ln>
      </c:spPr>
    </c:plotArea>
    <c:legend>
      <c:legendPos val="r"/>
      <c:layout>
        <c:manualLayout>
          <c:xMode val="edge"/>
          <c:yMode val="edge"/>
          <c:x val="0.01175"/>
          <c:y val="0.7405"/>
          <c:w val="0.986"/>
          <c:h val="0.13525"/>
        </c:manualLayout>
      </c:layout>
      <c:overlay val="0"/>
      <c:spPr>
        <a:noFill/>
        <a:ln w="3175">
          <a:noFill/>
        </a:ln>
      </c:spPr>
      <c:txPr>
        <a:bodyPr vert="horz" rot="0"/>
        <a:lstStyle/>
        <a:p>
          <a:pPr>
            <a:defRPr lang="en-US" cap="none" sz="585" b="0" i="0" u="none" baseline="0">
              <a:solidFill>
                <a:srgbClr val="000000"/>
              </a:solidFill>
            </a:defRPr>
          </a:pPr>
        </a:p>
      </c:txPr>
    </c:legend>
    <c:plotVisOnly val="1"/>
    <c:dispBlanksAs val="gap"/>
    <c:showDLblsOverMax val="0"/>
  </c:chart>
  <c:spPr>
    <a:noFill/>
    <a:ln>
      <a:noFill/>
    </a:ln>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75"/>
          <c:y val="0.1075"/>
          <c:w val="0.764"/>
          <c:h val="0.7422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datos'!$B$71:$B$72</c:f>
              <c:strCache>
                <c:ptCount val="2"/>
                <c:pt idx="0">
                  <c:v>Condiciones precedentes</c:v>
                </c:pt>
                <c:pt idx="1">
                  <c:v>Acciones con fecha límite</c:v>
                </c:pt>
              </c:strCache>
            </c:strRef>
          </c:cat>
          <c:val>
            <c:numRef>
              <c:f>'Introducción de datos'!$D$71:$D$72</c:f>
              <c:numCache>
                <c:ptCount val="2"/>
                <c:pt idx="0">
                  <c:v>0</c:v>
                </c:pt>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datos'!$B$71:$B$72</c:f>
              <c:strCache>
                <c:ptCount val="2"/>
                <c:pt idx="0">
                  <c:v>Condiciones precedentes</c:v>
                </c:pt>
                <c:pt idx="1">
                  <c:v>Acciones con fecha límite</c:v>
                </c:pt>
              </c:strCache>
            </c:strRef>
          </c:cat>
          <c:val>
            <c:numRef>
              <c:f>'Introducción de datos'!$E$71:$E$72</c:f>
              <c:numCache>
                <c:ptCount val="2"/>
                <c:pt idx="0">
                  <c:v>0</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datos'!$B$71:$B$72</c:f>
              <c:strCache>
                <c:ptCount val="2"/>
                <c:pt idx="0">
                  <c:v>Condiciones precedentes</c:v>
                </c:pt>
                <c:pt idx="1">
                  <c:v>Acciones con fecha límite</c:v>
                </c:pt>
              </c:strCache>
            </c:strRef>
          </c:cat>
          <c:val>
            <c:numRef>
              <c:f>'Introducción de datos'!$F$71:$F$72</c:f>
              <c:numCache>
                <c:ptCount val="2"/>
                <c:pt idx="0">
                  <c:v>0</c:v>
                </c:pt>
              </c:numCache>
            </c:numRef>
          </c:val>
        </c:ser>
        <c:overlap val="100"/>
        <c:gapWidth val="70"/>
        <c:axId val="2532529"/>
        <c:axId val="22792762"/>
      </c:barChart>
      <c:catAx>
        <c:axId val="25325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792762"/>
        <c:crossesAt val="0"/>
        <c:auto val="1"/>
        <c:lblOffset val="100"/>
        <c:tickLblSkip val="1"/>
        <c:noMultiLvlLbl val="0"/>
      </c:catAx>
      <c:valAx>
        <c:axId val="22792762"/>
        <c:scaling>
          <c:orientation val="minMax"/>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32529"/>
        <c:crossesAt val="1"/>
        <c:crossBetween val="between"/>
        <c:dispUnits/>
      </c:valAx>
      <c:spPr>
        <a:noFill/>
        <a:ln>
          <a:noFill/>
        </a:ln>
      </c:spPr>
    </c:plotArea>
    <c:legend>
      <c:legendPos val="r"/>
      <c:layout>
        <c:manualLayout>
          <c:xMode val="edge"/>
          <c:yMode val="edge"/>
          <c:x val="0"/>
          <c:y val="0.73525"/>
          <c:w val="0.9765"/>
          <c:h val="0.169"/>
        </c:manualLayout>
      </c:layout>
      <c:overlay val="0"/>
      <c:spPr>
        <a:no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a:noFill/>
    </a:ln>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15175"/>
          <c:w val="0.79875"/>
          <c:h val="0.709"/>
        </c:manualLayout>
      </c:layout>
      <c:barChart>
        <c:barDir val="bar"/>
        <c:grouping val="percentStacked"/>
        <c:varyColors val="0"/>
        <c:ser>
          <c:idx val="0"/>
          <c:order val="0"/>
          <c:tx>
            <c:strRef>
              <c:f>'Introducción de datos'!$D$87</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datos'!$B$88:$B$89</c:f>
              <c:strCache>
                <c:ptCount val="2"/>
                <c:pt idx="0">
                  <c:v>Sub SR al SR</c:v>
                </c:pt>
                <c:pt idx="1">
                  <c:v>Personal Técnico al RP</c:v>
                </c:pt>
              </c:strCache>
            </c:strRef>
          </c:cat>
          <c:val>
            <c:numRef>
              <c:f>'Introducción de datos'!$D$88:$D$89</c:f>
              <c:numCache>
                <c:ptCount val="2"/>
              </c:numCache>
            </c:numRef>
          </c:val>
        </c:ser>
        <c:ser>
          <c:idx val="1"/>
          <c:order val="1"/>
          <c:tx>
            <c:strRef>
              <c:f>'Introducción de datos'!$E$87</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datos'!$B$88:$B$89</c:f>
              <c:strCache>
                <c:ptCount val="2"/>
                <c:pt idx="0">
                  <c:v>Sub SR al SR</c:v>
                </c:pt>
                <c:pt idx="1">
                  <c:v>Personal Técnico al RP</c:v>
                </c:pt>
              </c:strCache>
            </c:strRef>
          </c:cat>
          <c:val>
            <c:numRef>
              <c:f>'Introducción de datos'!$E$88:$E$89</c:f>
              <c:numCache>
                <c:ptCount val="2"/>
                <c:pt idx="0">
                  <c:v>0</c:v>
                </c:pt>
                <c:pt idx="1">
                  <c:v>0</c:v>
                </c:pt>
              </c:numCache>
            </c:numRef>
          </c:val>
        </c:ser>
        <c:overlap val="100"/>
        <c:gapWidth val="79"/>
        <c:axId val="3808267"/>
        <c:axId val="34274404"/>
      </c:barChart>
      <c:catAx>
        <c:axId val="380826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34274404"/>
        <c:crossesAt val="0"/>
        <c:auto val="1"/>
        <c:lblOffset val="100"/>
        <c:tickLblSkip val="1"/>
        <c:noMultiLvlLbl val="0"/>
      </c:catAx>
      <c:valAx>
        <c:axId val="34274404"/>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3808267"/>
        <c:crosses val="max"/>
        <c:crossBetween val="between"/>
        <c:dispUnits/>
      </c:valAx>
      <c:spPr>
        <a:solidFill>
          <a:srgbClr val="FFFFFF"/>
        </a:solidFill>
        <a:ln w="3175">
          <a:noFill/>
        </a:ln>
      </c:spPr>
    </c:plotArea>
    <c:legend>
      <c:legendPos val="r"/>
      <c:layout>
        <c:manualLayout>
          <c:xMode val="edge"/>
          <c:yMode val="edge"/>
          <c:x val="0.29275"/>
          <c:y val="0.74325"/>
          <c:w val="0.30975"/>
          <c:h val="0.123"/>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195"/>
          <c:w val="0.8565"/>
          <c:h val="0.657"/>
        </c:manualLayout>
      </c:layout>
      <c:lineChart>
        <c:grouping val="standard"/>
        <c:varyColors val="0"/>
        <c:ser>
          <c:idx val="0"/>
          <c:order val="0"/>
          <c:tx>
            <c:v>Presupuesto</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datos'!$C$97:$N$97</c:f>
              <c:numCache>
                <c:ptCount val="12"/>
                <c:pt idx="0">
                  <c:v>42577.5</c:v>
                </c:pt>
                <c:pt idx="1">
                  <c:v>159785.3</c:v>
                </c:pt>
                <c:pt idx="2">
                  <c:v>361563.45999999996</c:v>
                </c:pt>
                <c:pt idx="9">
                  <c:v>0</c:v>
                </c:pt>
                <c:pt idx="10">
                  <c:v>0</c:v>
                </c:pt>
                <c:pt idx="11">
                  <c:v>0</c:v>
                </c:pt>
              </c:numCache>
            </c:numRef>
          </c:val>
          <c:smooth val="0"/>
        </c:ser>
        <c:ser>
          <c:idx val="1"/>
          <c:order val="1"/>
          <c:tx>
            <c:v>Obligaciones</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datos'!$C$98:$N$98</c:f>
              <c:numCache>
                <c:ptCount val="12"/>
                <c:pt idx="0">
                  <c:v>0</c:v>
                </c:pt>
                <c:pt idx="1">
                  <c:v>0</c:v>
                </c:pt>
                <c:pt idx="2">
                  <c:v>0</c:v>
                </c:pt>
                <c:pt idx="9">
                  <c:v>0</c:v>
                </c:pt>
                <c:pt idx="10">
                  <c:v>0</c:v>
                </c:pt>
                <c:pt idx="11">
                  <c:v>0</c:v>
                </c:pt>
              </c:numCache>
            </c:numRef>
          </c:val>
          <c:smooth val="0"/>
        </c:ser>
        <c:ser>
          <c:idx val="2"/>
          <c:order val="2"/>
          <c:tx>
            <c:v>Gastos</c:v>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datos'!$C$99:$N$99</c:f>
              <c:numCache>
                <c:ptCount val="12"/>
                <c:pt idx="0">
                  <c:v>42577.5</c:v>
                </c:pt>
                <c:pt idx="1">
                  <c:v>201916</c:v>
                </c:pt>
                <c:pt idx="2">
                  <c:v>266404.16000000003</c:v>
                </c:pt>
                <c:pt idx="9">
                  <c:v>0</c:v>
                </c:pt>
                <c:pt idx="10">
                  <c:v>0</c:v>
                </c:pt>
                <c:pt idx="11">
                  <c:v>0</c:v>
                </c:pt>
              </c:numCache>
            </c:numRef>
          </c:val>
          <c:smooth val="0"/>
        </c:ser>
        <c:marker val="1"/>
        <c:axId val="40034181"/>
        <c:axId val="24763310"/>
      </c:lineChart>
      <c:catAx>
        <c:axId val="400341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24763310"/>
        <c:crossesAt val="0"/>
        <c:auto val="1"/>
        <c:lblOffset val="100"/>
        <c:tickLblSkip val="1"/>
        <c:noMultiLvlLbl val="0"/>
      </c:catAx>
      <c:valAx>
        <c:axId val="24763310"/>
        <c:scaling>
          <c:orientation val="minMax"/>
        </c:scaling>
        <c:axPos val="l"/>
        <c:majorGridlines>
          <c:spPr>
            <a:ln w="3175">
              <a:solidFill>
                <a:srgbClr val="000000"/>
              </a:solidFill>
            </a:ln>
          </c:spPr>
        </c:majorGridlines>
        <c:delete val="0"/>
        <c:numFmt formatCode="_([$$-440A]* #,##0.00_);_([$$-440A]* \(#,##0.00\);_([$$-440A]* \-??_);_(@_)" sourceLinked="0"/>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40034181"/>
        <c:crossesAt val="1"/>
        <c:crossBetween val="midCat"/>
        <c:dispUnits/>
      </c:valAx>
      <c:spPr>
        <a:solidFill>
          <a:srgbClr val="FFFFFF"/>
        </a:solidFill>
        <a:ln w="12700">
          <a:solidFill>
            <a:srgbClr val="808080"/>
          </a:solidFill>
        </a:ln>
      </c:spPr>
    </c:plotArea>
    <c:legend>
      <c:legendPos val="r"/>
      <c:layout>
        <c:manualLayout>
          <c:xMode val="edge"/>
          <c:yMode val="edge"/>
          <c:x val="0.02025"/>
          <c:y val="0.7255"/>
          <c:w val="0.87875"/>
          <c:h val="0.202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5"/>
          <c:y val="0.10475"/>
          <c:w val="0.84125"/>
          <c:h val="0.79675"/>
        </c:manualLayout>
      </c:layout>
      <c:barChart>
        <c:barDir val="col"/>
        <c:grouping val="clustered"/>
        <c:varyColors val="0"/>
        <c:ser>
          <c:idx val="0"/>
          <c:order val="0"/>
          <c:tx>
            <c:v>Meta</c:v>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datos'!$H$117:$Q$117</c:f>
              <c:numCache>
                <c:ptCount val="10"/>
                <c:pt idx="0">
                  <c:v>0.036</c:v>
                </c:pt>
                <c:pt idx="1">
                  <c:v>0.036</c:v>
                </c:pt>
                <c:pt idx="2">
                  <c:v>0.036</c:v>
                </c:pt>
              </c:numCache>
            </c:numRef>
          </c:val>
        </c:ser>
        <c:ser>
          <c:idx val="1"/>
          <c:order val="1"/>
          <c:tx>
            <c:v>Logro</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datos'!$H$118:$Q$118</c:f>
              <c:numCache>
                <c:ptCount val="10"/>
                <c:pt idx="0">
                  <c:v>0.1989</c:v>
                </c:pt>
                <c:pt idx="1">
                  <c:v>0.0095</c:v>
                </c:pt>
                <c:pt idx="2">
                  <c:v>0.072</c:v>
                </c:pt>
              </c:numCache>
            </c:numRef>
          </c:val>
        </c:ser>
        <c:axId val="21543199"/>
        <c:axId val="59671064"/>
      </c:barChart>
      <c:catAx>
        <c:axId val="2154319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59671064"/>
        <c:crossesAt val="0"/>
        <c:auto val="1"/>
        <c:lblOffset val="100"/>
        <c:tickLblSkip val="1"/>
        <c:noMultiLvlLbl val="0"/>
      </c:catAx>
      <c:valAx>
        <c:axId val="5967106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21543199"/>
        <c:crossesAt val="1"/>
        <c:crossBetween val="between"/>
        <c:dispUnits/>
      </c:valAx>
      <c:spPr>
        <a:noFill/>
        <a:ln>
          <a:noFill/>
        </a:ln>
      </c:spPr>
    </c:plotArea>
    <c:legend>
      <c:legendPos val="r"/>
      <c:layout>
        <c:manualLayout>
          <c:xMode val="edge"/>
          <c:yMode val="edge"/>
          <c:x val="0.8845"/>
          <c:y val="0.39"/>
          <c:w val="0.092"/>
          <c:h val="0.17025"/>
        </c:manualLayout>
      </c:layout>
      <c:overlay val="0"/>
      <c:spPr>
        <a:solidFill>
          <a:srgbClr val="FFFFFF"/>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Men&#250;!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666750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667625" cy="2819400"/>
        </a:xfrm>
        <a:prstGeom prst="rect">
          <a:avLst/>
        </a:prstGeom>
        <a:noFill/>
        <a:ln w="9525" cmpd="sng">
          <a:noFill/>
        </a:ln>
      </xdr:spPr>
    </xdr:pic>
    <xdr:clientData/>
  </xdr:twoCellAnchor>
  <xdr:twoCellAnchor>
    <xdr:from>
      <xdr:col>7</xdr:col>
      <xdr:colOff>685800</xdr:colOff>
      <xdr:row>7</xdr:row>
      <xdr:rowOff>47625</xdr:rowOff>
    </xdr:from>
    <xdr:to>
      <xdr:col>11</xdr:col>
      <xdr:colOff>561975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66950"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57150</xdr:rowOff>
    </xdr:to>
    <xdr:sp>
      <xdr:nvSpPr>
        <xdr:cNvPr id="3" name="AutoShape 27"/>
        <xdr:cNvSpPr>
          <a:spLocks/>
        </xdr:cNvSpPr>
      </xdr:nvSpPr>
      <xdr:spPr>
        <a:xfrm>
          <a:off x="2619375" y="1914525"/>
          <a:ext cx="2581275" cy="2047875"/>
        </a:xfrm>
        <a:prstGeom prst="roundRect">
          <a:avLst/>
        </a:prstGeom>
        <a:gradFill rotWithShape="1">
          <a:gsLst>
            <a:gs pos="0">
              <a:srgbClr val="D48886"/>
            </a:gs>
            <a:gs pos="100000">
              <a:srgbClr val="B24B48"/>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600075</xdr:colOff>
      <xdr:row>12</xdr:row>
      <xdr:rowOff>38100</xdr:rowOff>
    </xdr:to>
    <xdr:sp>
      <xdr:nvSpPr>
        <xdr:cNvPr id="4" name="AutoShape 26"/>
        <xdr:cNvSpPr>
          <a:spLocks/>
        </xdr:cNvSpPr>
      </xdr:nvSpPr>
      <xdr:spPr>
        <a:xfrm>
          <a:off x="3409950" y="2428875"/>
          <a:ext cx="1076325" cy="37147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10</xdr:row>
      <xdr:rowOff>85725</xdr:rowOff>
    </xdr:from>
    <xdr:to>
      <xdr:col>6</xdr:col>
      <xdr:colOff>590550</xdr:colOff>
      <xdr:row>12</xdr:row>
      <xdr:rowOff>0</xdr:rowOff>
    </xdr:to>
    <xdr:sp>
      <xdr:nvSpPr>
        <xdr:cNvPr id="5" name="AutoShape 27">
          <a:hlinkClick r:id="rId3"/>
        </xdr:cNvPr>
        <xdr:cNvSpPr>
          <a:spLocks/>
        </xdr:cNvSpPr>
      </xdr:nvSpPr>
      <xdr:spPr>
        <a:xfrm>
          <a:off x="3448050" y="2466975"/>
          <a:ext cx="1028700" cy="29527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57150</xdr:rowOff>
    </xdr:to>
    <xdr:sp>
      <xdr:nvSpPr>
        <xdr:cNvPr id="6" name="Freeform 28"/>
        <xdr:cNvSpPr>
          <a:spLocks/>
        </xdr:cNvSpPr>
      </xdr:nvSpPr>
      <xdr:spPr>
        <a:xfrm>
          <a:off x="3438525" y="2486025"/>
          <a:ext cx="104775" cy="14287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180975</xdr:rowOff>
    </xdr:from>
    <xdr:to>
      <xdr:col>6</xdr:col>
      <xdr:colOff>609600</xdr:colOff>
      <xdr:row>17</xdr:row>
      <xdr:rowOff>152400</xdr:rowOff>
    </xdr:to>
    <xdr:sp>
      <xdr:nvSpPr>
        <xdr:cNvPr id="7" name="AutoShape 26"/>
        <xdr:cNvSpPr>
          <a:spLocks/>
        </xdr:cNvSpPr>
      </xdr:nvSpPr>
      <xdr:spPr>
        <a:xfrm>
          <a:off x="3429000" y="3514725"/>
          <a:ext cx="1066800" cy="35242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16</xdr:row>
      <xdr:rowOff>38100</xdr:rowOff>
    </xdr:from>
    <xdr:to>
      <xdr:col>6</xdr:col>
      <xdr:colOff>619125</xdr:colOff>
      <xdr:row>17</xdr:row>
      <xdr:rowOff>114300</xdr:rowOff>
    </xdr:to>
    <xdr:sp>
      <xdr:nvSpPr>
        <xdr:cNvPr id="8" name="AutoShape 27">
          <a:hlinkClick r:id="rId4"/>
        </xdr:cNvPr>
        <xdr:cNvSpPr>
          <a:spLocks/>
        </xdr:cNvSpPr>
      </xdr:nvSpPr>
      <xdr:spPr>
        <a:xfrm>
          <a:off x="3448050" y="3562350"/>
          <a:ext cx="1057275" cy="266700"/>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457200</xdr:colOff>
      <xdr:row>16</xdr:row>
      <xdr:rowOff>190500</xdr:rowOff>
    </xdr:to>
    <xdr:sp>
      <xdr:nvSpPr>
        <xdr:cNvPr id="9" name="Freeform 28"/>
        <xdr:cNvSpPr>
          <a:spLocks/>
        </xdr:cNvSpPr>
      </xdr:nvSpPr>
      <xdr:spPr>
        <a:xfrm>
          <a:off x="3476625" y="3552825"/>
          <a:ext cx="1047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0</xdr:rowOff>
    </xdr:from>
    <xdr:to>
      <xdr:col>6</xdr:col>
      <xdr:colOff>600075</xdr:colOff>
      <xdr:row>15</xdr:row>
      <xdr:rowOff>0</xdr:rowOff>
    </xdr:to>
    <xdr:sp>
      <xdr:nvSpPr>
        <xdr:cNvPr id="10" name="AutoShape 26"/>
        <xdr:cNvSpPr>
          <a:spLocks/>
        </xdr:cNvSpPr>
      </xdr:nvSpPr>
      <xdr:spPr>
        <a:xfrm>
          <a:off x="3409950" y="2952750"/>
          <a:ext cx="1076325" cy="38100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13</xdr:row>
      <xdr:rowOff>38100</xdr:rowOff>
    </xdr:from>
    <xdr:to>
      <xdr:col>6</xdr:col>
      <xdr:colOff>590550</xdr:colOff>
      <xdr:row>14</xdr:row>
      <xdr:rowOff>161925</xdr:rowOff>
    </xdr:to>
    <xdr:sp>
      <xdr:nvSpPr>
        <xdr:cNvPr id="11" name="AutoShape 27">
          <a:hlinkClick r:id="rId5"/>
        </xdr:cNvPr>
        <xdr:cNvSpPr>
          <a:spLocks/>
        </xdr:cNvSpPr>
      </xdr:nvSpPr>
      <xdr:spPr>
        <a:xfrm>
          <a:off x="3448050" y="2990850"/>
          <a:ext cx="1028700" cy="31432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352425</xdr:colOff>
      <xdr:row>5</xdr:row>
      <xdr:rowOff>0</xdr:rowOff>
    </xdr:from>
    <xdr:to>
      <xdr:col>7</xdr:col>
      <xdr:colOff>400050</xdr:colOff>
      <xdr:row>6</xdr:row>
      <xdr:rowOff>47625</xdr:rowOff>
    </xdr:to>
    <xdr:sp>
      <xdr:nvSpPr>
        <xdr:cNvPr id="13" name="Rectangle 803"/>
        <xdr:cNvSpPr>
          <a:spLocks/>
        </xdr:cNvSpPr>
      </xdr:nvSpPr>
      <xdr:spPr>
        <a:xfrm>
          <a:off x="2714625" y="1428750"/>
          <a:ext cx="2333625"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304800</xdr:colOff>
      <xdr:row>11</xdr:row>
      <xdr:rowOff>0</xdr:rowOff>
    </xdr:from>
    <xdr:to>
      <xdr:col>11</xdr:col>
      <xdr:colOff>171450</xdr:colOff>
      <xdr:row>13</xdr:row>
      <xdr:rowOff>28575</xdr:rowOff>
    </xdr:to>
    <xdr:sp>
      <xdr:nvSpPr>
        <xdr:cNvPr id="14" name="AutoShape 30"/>
        <xdr:cNvSpPr>
          <a:spLocks/>
        </xdr:cNvSpPr>
      </xdr:nvSpPr>
      <xdr:spPr>
        <a:xfrm>
          <a:off x="5715000" y="2571750"/>
          <a:ext cx="1495425" cy="40957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371475</xdr:colOff>
      <xdr:row>11</xdr:row>
      <xdr:rowOff>47625</xdr:rowOff>
    </xdr:from>
    <xdr:to>
      <xdr:col>11</xdr:col>
      <xdr:colOff>152400</xdr:colOff>
      <xdr:row>13</xdr:row>
      <xdr:rowOff>0</xdr:rowOff>
    </xdr:to>
    <xdr:sp>
      <xdr:nvSpPr>
        <xdr:cNvPr id="15" name="AutoShape 31">
          <a:hlinkClick r:id="rId6"/>
        </xdr:cNvPr>
        <xdr:cNvSpPr>
          <a:spLocks/>
        </xdr:cNvSpPr>
      </xdr:nvSpPr>
      <xdr:spPr>
        <a:xfrm>
          <a:off x="5781675" y="2619375"/>
          <a:ext cx="140970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57150</xdr:rowOff>
    </xdr:from>
    <xdr:to>
      <xdr:col>8</xdr:col>
      <xdr:colOff>495300</xdr:colOff>
      <xdr:row>12</xdr:row>
      <xdr:rowOff>47625</xdr:rowOff>
    </xdr:to>
    <xdr:sp>
      <xdr:nvSpPr>
        <xdr:cNvPr id="16" name="Freeform 32"/>
        <xdr:cNvSpPr>
          <a:spLocks/>
        </xdr:cNvSpPr>
      </xdr:nvSpPr>
      <xdr:spPr>
        <a:xfrm>
          <a:off x="5762625" y="2628900"/>
          <a:ext cx="142875" cy="18097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238125</xdr:colOff>
      <xdr:row>7</xdr:row>
      <xdr:rowOff>85725</xdr:rowOff>
    </xdr:from>
    <xdr:to>
      <xdr:col>4</xdr:col>
      <xdr:colOff>95250</xdr:colOff>
      <xdr:row>18</xdr:row>
      <xdr:rowOff>114300</xdr:rowOff>
    </xdr:to>
    <xdr:sp>
      <xdr:nvSpPr>
        <xdr:cNvPr id="17" name="AutoShape 31"/>
        <xdr:cNvSpPr>
          <a:spLocks/>
        </xdr:cNvSpPr>
      </xdr:nvSpPr>
      <xdr:spPr>
        <a:xfrm>
          <a:off x="314325" y="1895475"/>
          <a:ext cx="2143125" cy="2124075"/>
        </a:xfrm>
        <a:prstGeom prst="roundRect">
          <a:avLst/>
        </a:prstGeom>
        <a:gradFill rotWithShape="1">
          <a:gsLst>
            <a:gs pos="0">
              <a:srgbClr val="87AFD3"/>
            </a:gs>
            <a:gs pos="100000">
              <a:srgbClr val="4C7BB4"/>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295275</xdr:colOff>
      <xdr:row>14</xdr:row>
      <xdr:rowOff>57150</xdr:rowOff>
    </xdr:from>
    <xdr:to>
      <xdr:col>11</xdr:col>
      <xdr:colOff>152400</xdr:colOff>
      <xdr:row>16</xdr:row>
      <xdr:rowOff>76200</xdr:rowOff>
    </xdr:to>
    <xdr:sp>
      <xdr:nvSpPr>
        <xdr:cNvPr id="19" name="AutoShape 30"/>
        <xdr:cNvSpPr>
          <a:spLocks/>
        </xdr:cNvSpPr>
      </xdr:nvSpPr>
      <xdr:spPr>
        <a:xfrm>
          <a:off x="5705475" y="3200400"/>
          <a:ext cx="1485900" cy="4000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352425</xdr:colOff>
      <xdr:row>14</xdr:row>
      <xdr:rowOff>104775</xdr:rowOff>
    </xdr:from>
    <xdr:to>
      <xdr:col>11</xdr:col>
      <xdr:colOff>104775</xdr:colOff>
      <xdr:row>16</xdr:row>
      <xdr:rowOff>76200</xdr:rowOff>
    </xdr:to>
    <xdr:sp>
      <xdr:nvSpPr>
        <xdr:cNvPr id="20" name="AutoShape 31">
          <a:hlinkClick r:id="rId7"/>
        </xdr:cNvPr>
        <xdr:cNvSpPr>
          <a:spLocks/>
        </xdr:cNvSpPr>
      </xdr:nvSpPr>
      <xdr:spPr>
        <a:xfrm>
          <a:off x="5762625" y="3248025"/>
          <a:ext cx="1381125" cy="35242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133350</xdr:rowOff>
    </xdr:from>
    <xdr:to>
      <xdr:col>8</xdr:col>
      <xdr:colOff>476250</xdr:colOff>
      <xdr:row>15</xdr:row>
      <xdr:rowOff>104775</xdr:rowOff>
    </xdr:to>
    <xdr:sp>
      <xdr:nvSpPr>
        <xdr:cNvPr id="21" name="Freeform 32"/>
        <xdr:cNvSpPr>
          <a:spLocks/>
        </xdr:cNvSpPr>
      </xdr:nvSpPr>
      <xdr:spPr>
        <a:xfrm>
          <a:off x="5743575" y="3276600"/>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15</xdr:row>
      <xdr:rowOff>142875</xdr:rowOff>
    </xdr:from>
    <xdr:to>
      <xdr:col>3</xdr:col>
      <xdr:colOff>495300</xdr:colOff>
      <xdr:row>18</xdr:row>
      <xdr:rowOff>9525</xdr:rowOff>
    </xdr:to>
    <xdr:sp>
      <xdr:nvSpPr>
        <xdr:cNvPr id="22" name="AutoShape 30"/>
        <xdr:cNvSpPr>
          <a:spLocks/>
        </xdr:cNvSpPr>
      </xdr:nvSpPr>
      <xdr:spPr>
        <a:xfrm>
          <a:off x="600075" y="3476625"/>
          <a:ext cx="1495425" cy="4381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15</xdr:row>
      <xdr:rowOff>180975</xdr:rowOff>
    </xdr:from>
    <xdr:to>
      <xdr:col>3</xdr:col>
      <xdr:colOff>476250</xdr:colOff>
      <xdr:row>17</xdr:row>
      <xdr:rowOff>180975</xdr:rowOff>
    </xdr:to>
    <xdr:sp>
      <xdr:nvSpPr>
        <xdr:cNvPr id="23" name="AutoShape 31">
          <a:hlinkClick r:id="rId8"/>
        </xdr:cNvPr>
        <xdr:cNvSpPr>
          <a:spLocks/>
        </xdr:cNvSpPr>
      </xdr:nvSpPr>
      <xdr:spPr>
        <a:xfrm>
          <a:off x="628650" y="3514725"/>
          <a:ext cx="1447800" cy="3810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10</xdr:row>
      <xdr:rowOff>28575</xdr:rowOff>
    </xdr:from>
    <xdr:to>
      <xdr:col>3</xdr:col>
      <xdr:colOff>495300</xdr:colOff>
      <xdr:row>12</xdr:row>
      <xdr:rowOff>9525</xdr:rowOff>
    </xdr:to>
    <xdr:sp>
      <xdr:nvSpPr>
        <xdr:cNvPr id="25" name="AutoShape 30"/>
        <xdr:cNvSpPr>
          <a:spLocks/>
        </xdr:cNvSpPr>
      </xdr:nvSpPr>
      <xdr:spPr>
        <a:xfrm>
          <a:off x="600075" y="2409825"/>
          <a:ext cx="1495425" cy="3619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57150</xdr:rowOff>
    </xdr:from>
    <xdr:to>
      <xdr:col>3</xdr:col>
      <xdr:colOff>476250</xdr:colOff>
      <xdr:row>11</xdr:row>
      <xdr:rowOff>180975</xdr:rowOff>
    </xdr:to>
    <xdr:sp>
      <xdr:nvSpPr>
        <xdr:cNvPr id="26" name="AutoShape 31">
          <a:hlinkClick r:id="rId9"/>
        </xdr:cNvPr>
        <xdr:cNvSpPr>
          <a:spLocks/>
        </xdr:cNvSpPr>
      </xdr:nvSpPr>
      <xdr:spPr>
        <a:xfrm>
          <a:off x="628650" y="2438400"/>
          <a:ext cx="1447800" cy="314325"/>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723900</xdr:colOff>
      <xdr:row>11</xdr:row>
      <xdr:rowOff>47625</xdr:rowOff>
    </xdr:to>
    <xdr:sp>
      <xdr:nvSpPr>
        <xdr:cNvPr id="27" name="Freeform 32"/>
        <xdr:cNvSpPr>
          <a:spLocks/>
        </xdr:cNvSpPr>
      </xdr:nvSpPr>
      <xdr:spPr>
        <a:xfrm>
          <a:off x="647700" y="2466975"/>
          <a:ext cx="152400"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13</xdr:row>
      <xdr:rowOff>0</xdr:rowOff>
    </xdr:from>
    <xdr:to>
      <xdr:col>3</xdr:col>
      <xdr:colOff>495300</xdr:colOff>
      <xdr:row>14</xdr:row>
      <xdr:rowOff>171450</xdr:rowOff>
    </xdr:to>
    <xdr:sp>
      <xdr:nvSpPr>
        <xdr:cNvPr id="28" name="AutoShape 30"/>
        <xdr:cNvSpPr>
          <a:spLocks/>
        </xdr:cNvSpPr>
      </xdr:nvSpPr>
      <xdr:spPr>
        <a:xfrm>
          <a:off x="600075" y="2952750"/>
          <a:ext cx="1495425" cy="3619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476250</xdr:colOff>
      <xdr:row>14</xdr:row>
      <xdr:rowOff>142875</xdr:rowOff>
    </xdr:to>
    <xdr:sp>
      <xdr:nvSpPr>
        <xdr:cNvPr id="29" name="AutoShape 31">
          <a:hlinkClick r:id="rId10"/>
        </xdr:cNvPr>
        <xdr:cNvSpPr>
          <a:spLocks/>
        </xdr:cNvSpPr>
      </xdr:nvSpPr>
      <xdr:spPr>
        <a:xfrm>
          <a:off x="628650" y="2981325"/>
          <a:ext cx="1447800" cy="3048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723900</xdr:colOff>
      <xdr:row>14</xdr:row>
      <xdr:rowOff>9525</xdr:rowOff>
    </xdr:to>
    <xdr:sp>
      <xdr:nvSpPr>
        <xdr:cNvPr id="30" name="Freeform 32"/>
        <xdr:cNvSpPr>
          <a:spLocks/>
        </xdr:cNvSpPr>
      </xdr:nvSpPr>
      <xdr:spPr>
        <a:xfrm>
          <a:off x="647700" y="3000375"/>
          <a:ext cx="152400"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57150</xdr:rowOff>
    </xdr:from>
    <xdr:to>
      <xdr:col>4</xdr:col>
      <xdr:colOff>95250</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66900"/>
          <a:ext cx="2124075" cy="457200"/>
        </a:xfrm>
        <a:prstGeom prst="rect">
          <a:avLst/>
        </a:prstGeom>
        <a:noFill/>
        <a:ln w="9525" cmpd="sng">
          <a:noFill/>
        </a:ln>
      </xdr:spPr>
    </xdr:pic>
    <xdr:clientData/>
  </xdr:twoCellAnchor>
  <xdr:twoCellAnchor>
    <xdr:from>
      <xdr:col>1</xdr:col>
      <xdr:colOff>323850</xdr:colOff>
      <xdr:row>7</xdr:row>
      <xdr:rowOff>104775</xdr:rowOff>
    </xdr:from>
    <xdr:to>
      <xdr:col>4</xdr:col>
      <xdr:colOff>76200</xdr:colOff>
      <xdr:row>10</xdr:row>
      <xdr:rowOff>0</xdr:rowOff>
    </xdr:to>
    <xdr:sp fLocksText="0">
      <xdr:nvSpPr>
        <xdr:cNvPr id="32" name="Text Box 2013"/>
        <xdr:cNvSpPr txBox="1">
          <a:spLocks noChangeArrowheads="1"/>
        </xdr:cNvSpPr>
      </xdr:nvSpPr>
      <xdr:spPr>
        <a:xfrm>
          <a:off x="400050" y="1914525"/>
          <a:ext cx="2038350" cy="466725"/>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238125</xdr:colOff>
      <xdr:row>7</xdr:row>
      <xdr:rowOff>57150</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0325" y="1866900"/>
          <a:ext cx="2609850" cy="457200"/>
        </a:xfrm>
        <a:prstGeom prst="rect">
          <a:avLst/>
        </a:prstGeom>
        <a:noFill/>
        <a:ln w="9525" cmpd="sng">
          <a:noFill/>
        </a:ln>
      </xdr:spPr>
    </xdr:pic>
    <xdr:clientData/>
  </xdr:twoCellAnchor>
  <xdr:twoCellAnchor>
    <xdr:from>
      <xdr:col>4</xdr:col>
      <xdr:colOff>619125</xdr:colOff>
      <xdr:row>7</xdr:row>
      <xdr:rowOff>104775</xdr:rowOff>
    </xdr:from>
    <xdr:to>
      <xdr:col>7</xdr:col>
      <xdr:colOff>285750</xdr:colOff>
      <xdr:row>9</xdr:row>
      <xdr:rowOff>104775</xdr:rowOff>
    </xdr:to>
    <xdr:sp fLocksText="0">
      <xdr:nvSpPr>
        <xdr:cNvPr id="34" name="Text Box 2017"/>
        <xdr:cNvSpPr txBox="1">
          <a:spLocks noChangeArrowheads="1"/>
        </xdr:cNvSpPr>
      </xdr:nvSpPr>
      <xdr:spPr>
        <a:xfrm>
          <a:off x="2981325" y="1914525"/>
          <a:ext cx="195262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723900</xdr:colOff>
      <xdr:row>7</xdr:row>
      <xdr:rowOff>76200</xdr:rowOff>
    </xdr:from>
    <xdr:to>
      <xdr:col>11</xdr:col>
      <xdr:colOff>523875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72100" y="1885950"/>
          <a:ext cx="2190750" cy="438150"/>
        </a:xfrm>
        <a:prstGeom prst="rect">
          <a:avLst/>
        </a:prstGeom>
        <a:noFill/>
        <a:ln w="9525" cmpd="sng">
          <a:noFill/>
        </a:ln>
      </xdr:spPr>
    </xdr:pic>
    <xdr:clientData/>
  </xdr:twoCellAnchor>
  <xdr:twoCellAnchor>
    <xdr:from>
      <xdr:col>8</xdr:col>
      <xdr:colOff>76200</xdr:colOff>
      <xdr:row>7</xdr:row>
      <xdr:rowOff>104775</xdr:rowOff>
    </xdr:from>
    <xdr:to>
      <xdr:col>11</xdr:col>
      <xdr:colOff>447675</xdr:colOff>
      <xdr:row>9</xdr:row>
      <xdr:rowOff>104775</xdr:rowOff>
    </xdr:to>
    <xdr:sp fLocksText="0">
      <xdr:nvSpPr>
        <xdr:cNvPr id="36" name="Text Box 2019"/>
        <xdr:cNvSpPr txBox="1">
          <a:spLocks noChangeArrowheads="1"/>
        </xdr:cNvSpPr>
      </xdr:nvSpPr>
      <xdr:spPr>
        <a:xfrm>
          <a:off x="5486400" y="1914525"/>
          <a:ext cx="2000250"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76200</xdr:rowOff>
    </xdr:to>
    <xdr:pic>
      <xdr:nvPicPr>
        <xdr:cNvPr id="1" name="Picture 2"/>
        <xdr:cNvPicPr preferRelativeResize="1">
          <a:picLocks noChangeAspect="1"/>
        </xdr:cNvPicPr>
      </xdr:nvPicPr>
      <xdr:blipFill>
        <a:blip r:embed="rId1"/>
        <a:stretch>
          <a:fillRect/>
        </a:stretch>
      </xdr:blipFill>
      <xdr:spPr>
        <a:xfrm>
          <a:off x="142875" y="257175"/>
          <a:ext cx="74295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1133475</xdr:colOff>
      <xdr:row>0</xdr:row>
      <xdr:rowOff>428625</xdr:rowOff>
    </xdr:to>
    <xdr:sp>
      <xdr:nvSpPr>
        <xdr:cNvPr id="1" name="AutoShape 50">
          <a:hlinkClick r:id="rId1"/>
        </xdr:cNvPr>
        <xdr:cNvSpPr>
          <a:spLocks/>
        </xdr:cNvSpPr>
      </xdr:nvSpPr>
      <xdr:spPr>
        <a:xfrm>
          <a:off x="28575" y="28575"/>
          <a:ext cx="1276350" cy="400050"/>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29</xdr:row>
      <xdr:rowOff>285750</xdr:rowOff>
    </xdr:from>
    <xdr:to>
      <xdr:col>6</xdr:col>
      <xdr:colOff>142875</xdr:colOff>
      <xdr:row>39</xdr:row>
      <xdr:rowOff>104775</xdr:rowOff>
    </xdr:to>
    <xdr:sp>
      <xdr:nvSpPr>
        <xdr:cNvPr id="1" name="AutoShape 100"/>
        <xdr:cNvSpPr>
          <a:spLocks/>
        </xdr:cNvSpPr>
      </xdr:nvSpPr>
      <xdr:spPr>
        <a:xfrm flipH="1">
          <a:off x="11944350" y="4562475"/>
          <a:ext cx="0" cy="2314575"/>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161925</xdr:colOff>
      <xdr:row>0</xdr:row>
      <xdr:rowOff>0</xdr:rowOff>
    </xdr:from>
    <xdr:to>
      <xdr:col>1</xdr:col>
      <xdr:colOff>933450</xdr:colOff>
      <xdr:row>0</xdr:row>
      <xdr:rowOff>333375</xdr:rowOff>
    </xdr:to>
    <xdr:sp>
      <xdr:nvSpPr>
        <xdr:cNvPr id="2" name="AutoShape 50">
          <a:hlinkClick r:id="rId1"/>
        </xdr:cNvPr>
        <xdr:cNvSpPr>
          <a:spLocks/>
        </xdr:cNvSpPr>
      </xdr:nvSpPr>
      <xdr:spPr>
        <a:xfrm>
          <a:off x="161925" y="0"/>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46</xdr:row>
      <xdr:rowOff>38100</xdr:rowOff>
    </xdr:from>
    <xdr:to>
      <xdr:col>6</xdr:col>
      <xdr:colOff>971550</xdr:colOff>
      <xdr:row>47</xdr:row>
      <xdr:rowOff>47625</xdr:rowOff>
    </xdr:to>
    <xdr:grpSp>
      <xdr:nvGrpSpPr>
        <xdr:cNvPr id="3" name="Group 18"/>
        <xdr:cNvGrpSpPr>
          <a:grpSpLocks/>
        </xdr:cNvGrpSpPr>
      </xdr:nvGrpSpPr>
      <xdr:grpSpPr>
        <a:xfrm>
          <a:off x="7943850" y="8153400"/>
          <a:ext cx="4829175" cy="200025"/>
          <a:chOff x="13233" y="13364"/>
          <a:chExt cx="8041" cy="298"/>
        </a:xfrm>
        <a:solidFill>
          <a:srgbClr val="FFFFFF"/>
        </a:solidFill>
      </xdr:grpSpPr>
      <xdr:sp>
        <xdr:nvSpPr>
          <xdr:cNvPr id="4" name="AutoShape 100"/>
          <xdr:cNvSpPr>
            <a:spLocks/>
          </xdr:cNvSpPr>
        </xdr:nvSpPr>
        <xdr:spPr>
          <a:xfrm>
            <a:off x="13253" y="13643"/>
            <a:ext cx="8017"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3233" y="13364"/>
            <a:ext cx="0" cy="274"/>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1274" y="13389"/>
            <a:ext cx="0" cy="274"/>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1171575</xdr:colOff>
      <xdr:row>2</xdr:row>
      <xdr:rowOff>447675</xdr:rowOff>
    </xdr:to>
    <xdr:sp>
      <xdr:nvSpPr>
        <xdr:cNvPr id="1" name="Rectangle 117">
          <a:hlinkClick r:id="rId1"/>
        </xdr:cNvPr>
        <xdr:cNvSpPr>
          <a:spLocks/>
        </xdr:cNvSpPr>
      </xdr:nvSpPr>
      <xdr:spPr>
        <a:xfrm>
          <a:off x="200025" y="590550"/>
          <a:ext cx="971550"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95250</xdr:colOff>
      <xdr:row>0</xdr:row>
      <xdr:rowOff>38100</xdr:rowOff>
    </xdr:from>
    <xdr:to>
      <xdr:col>0</xdr:col>
      <xdr:colOff>1000125</xdr:colOff>
      <xdr:row>1</xdr:row>
      <xdr:rowOff>114300</xdr:rowOff>
    </xdr:to>
    <xdr:sp>
      <xdr:nvSpPr>
        <xdr:cNvPr id="2" name="AutoShape 50">
          <a:hlinkClick r:id="rId2"/>
        </xdr:cNvPr>
        <xdr:cNvSpPr>
          <a:spLocks/>
        </xdr:cNvSpPr>
      </xdr:nvSpPr>
      <xdr:spPr>
        <a:xfrm>
          <a:off x="95250" y="38100"/>
          <a:ext cx="904875"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200025</xdr:colOff>
      <xdr:row>1</xdr:row>
      <xdr:rowOff>266700</xdr:rowOff>
    </xdr:from>
    <xdr:to>
      <xdr:col>0</xdr:col>
      <xdr:colOff>1181100</xdr:colOff>
      <xdr:row>3</xdr:row>
      <xdr:rowOff>38100</xdr:rowOff>
    </xdr:to>
    <xdr:pic>
      <xdr:nvPicPr>
        <xdr:cNvPr id="3" name="Picture 711"/>
        <xdr:cNvPicPr preferRelativeResize="1">
          <a:picLocks noChangeAspect="1"/>
        </xdr:cNvPicPr>
      </xdr:nvPicPr>
      <xdr:blipFill>
        <a:blip r:embed="rId3"/>
        <a:stretch>
          <a:fillRect/>
        </a:stretch>
      </xdr:blipFill>
      <xdr:spPr>
        <a:xfrm>
          <a:off x="200025" y="533400"/>
          <a:ext cx="9810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66675</xdr:rowOff>
    </xdr:from>
    <xdr:to>
      <xdr:col>6</xdr:col>
      <xdr:colOff>171450</xdr:colOff>
      <xdr:row>21</xdr:row>
      <xdr:rowOff>0</xdr:rowOff>
    </xdr:to>
    <xdr:graphicFrame>
      <xdr:nvGraphicFramePr>
        <xdr:cNvPr id="1" name="Chart 1"/>
        <xdr:cNvGraphicFramePr/>
      </xdr:nvGraphicFramePr>
      <xdr:xfrm>
        <a:off x="19050" y="3019425"/>
        <a:ext cx="4943475" cy="2333625"/>
      </xdr:xfrm>
      <a:graphic>
        <a:graphicData uri="http://schemas.openxmlformats.org/drawingml/2006/chart">
          <c:chart xmlns:c="http://schemas.openxmlformats.org/drawingml/2006/chart" r:id="rId1"/>
        </a:graphicData>
      </a:graphic>
    </xdr:graphicFrame>
    <xdr:clientData/>
  </xdr:twoCellAnchor>
  <xdr:twoCellAnchor>
    <xdr:from>
      <xdr:col>7</xdr:col>
      <xdr:colOff>47625</xdr:colOff>
      <xdr:row>9</xdr:row>
      <xdr:rowOff>152400</xdr:rowOff>
    </xdr:from>
    <xdr:to>
      <xdr:col>13</xdr:col>
      <xdr:colOff>76200</xdr:colOff>
      <xdr:row>20</xdr:row>
      <xdr:rowOff>152400</xdr:rowOff>
    </xdr:to>
    <xdr:graphicFrame>
      <xdr:nvGraphicFramePr>
        <xdr:cNvPr id="2" name="Chart 2"/>
        <xdr:cNvGraphicFramePr/>
      </xdr:nvGraphicFramePr>
      <xdr:xfrm>
        <a:off x="5095875" y="3105150"/>
        <a:ext cx="5381625" cy="20955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0</xdr:rowOff>
    </xdr:from>
    <xdr:to>
      <xdr:col>6</xdr:col>
      <xdr:colOff>114300</xdr:colOff>
      <xdr:row>32</xdr:row>
      <xdr:rowOff>133350</xdr:rowOff>
    </xdr:to>
    <xdr:graphicFrame>
      <xdr:nvGraphicFramePr>
        <xdr:cNvPr id="3" name="Chart 3"/>
        <xdr:cNvGraphicFramePr/>
      </xdr:nvGraphicFramePr>
      <xdr:xfrm>
        <a:off x="0" y="7343775"/>
        <a:ext cx="4905375" cy="2295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704850</xdr:colOff>
      <xdr:row>0</xdr:row>
      <xdr:rowOff>333375</xdr:rowOff>
    </xdr:to>
    <xdr:sp>
      <xdr:nvSpPr>
        <xdr:cNvPr id="4" name="AutoShape 50">
          <a:hlinkClick r:id="rId4"/>
        </xdr:cNvPr>
        <xdr:cNvSpPr>
          <a:spLocks/>
        </xdr:cNvSpPr>
      </xdr:nvSpPr>
      <xdr:spPr>
        <a:xfrm>
          <a:off x="0" y="0"/>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xdr:row>
      <xdr:rowOff>161925</xdr:rowOff>
    </xdr:from>
    <xdr:to>
      <xdr:col>12</xdr:col>
      <xdr:colOff>276225</xdr:colOff>
      <xdr:row>14</xdr:row>
      <xdr:rowOff>152400</xdr:rowOff>
    </xdr:to>
    <xdr:graphicFrame>
      <xdr:nvGraphicFramePr>
        <xdr:cNvPr id="1" name="Chart 1"/>
        <xdr:cNvGraphicFramePr/>
      </xdr:nvGraphicFramePr>
      <xdr:xfrm>
        <a:off x="5724525" y="1924050"/>
        <a:ext cx="535305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15</xdr:row>
      <xdr:rowOff>371475</xdr:rowOff>
    </xdr:from>
    <xdr:to>
      <xdr:col>6</xdr:col>
      <xdr:colOff>0</xdr:colOff>
      <xdr:row>25</xdr:row>
      <xdr:rowOff>28575</xdr:rowOff>
    </xdr:to>
    <xdr:graphicFrame>
      <xdr:nvGraphicFramePr>
        <xdr:cNvPr id="2" name="Chart 2"/>
        <xdr:cNvGraphicFramePr/>
      </xdr:nvGraphicFramePr>
      <xdr:xfrm>
        <a:off x="295275" y="3810000"/>
        <a:ext cx="4152900" cy="1838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9525</xdr:rowOff>
    </xdr:from>
    <xdr:to>
      <xdr:col>6</xdr:col>
      <xdr:colOff>95250</xdr:colOff>
      <xdr:row>14</xdr:row>
      <xdr:rowOff>247650</xdr:rowOff>
    </xdr:to>
    <xdr:graphicFrame>
      <xdr:nvGraphicFramePr>
        <xdr:cNvPr id="3" name="Chart 3"/>
        <xdr:cNvGraphicFramePr/>
      </xdr:nvGraphicFramePr>
      <xdr:xfrm>
        <a:off x="0" y="1952625"/>
        <a:ext cx="4543425" cy="1381125"/>
      </xdr:xfrm>
      <a:graphic>
        <a:graphicData uri="http://schemas.openxmlformats.org/drawingml/2006/chart">
          <c:chart xmlns:c="http://schemas.openxmlformats.org/drawingml/2006/chart" r:id="rId3"/>
        </a:graphicData>
      </a:graphic>
    </xdr:graphicFrame>
    <xdr:clientData/>
  </xdr:twoCellAnchor>
  <xdr:twoCellAnchor>
    <xdr:from>
      <xdr:col>6</xdr:col>
      <xdr:colOff>1076325</xdr:colOff>
      <xdr:row>16</xdr:row>
      <xdr:rowOff>9525</xdr:rowOff>
    </xdr:from>
    <xdr:to>
      <xdr:col>13</xdr:col>
      <xdr:colOff>228600</xdr:colOff>
      <xdr:row>25</xdr:row>
      <xdr:rowOff>57150</xdr:rowOff>
    </xdr:to>
    <xdr:graphicFrame>
      <xdr:nvGraphicFramePr>
        <xdr:cNvPr id="4" name="Chart 4"/>
        <xdr:cNvGraphicFramePr/>
      </xdr:nvGraphicFramePr>
      <xdr:xfrm>
        <a:off x="5524500" y="3819525"/>
        <a:ext cx="6267450" cy="1857375"/>
      </xdr:xfrm>
      <a:graphic>
        <a:graphicData uri="http://schemas.openxmlformats.org/drawingml/2006/chart">
          <c:chart xmlns:c="http://schemas.openxmlformats.org/drawingml/2006/chart" r:id="rId4"/>
        </a:graphicData>
      </a:graphic>
    </xdr:graphicFrame>
    <xdr:clientData/>
  </xdr:twoCellAnchor>
  <xdr:twoCellAnchor>
    <xdr:from>
      <xdr:col>0</xdr:col>
      <xdr:colOff>219075</xdr:colOff>
      <xdr:row>27</xdr:row>
      <xdr:rowOff>47625</xdr:rowOff>
    </xdr:from>
    <xdr:to>
      <xdr:col>6</xdr:col>
      <xdr:colOff>104775</xdr:colOff>
      <xdr:row>30</xdr:row>
      <xdr:rowOff>266700</xdr:rowOff>
    </xdr:to>
    <xdr:graphicFrame>
      <xdr:nvGraphicFramePr>
        <xdr:cNvPr id="5" name="Chart 5"/>
        <xdr:cNvGraphicFramePr/>
      </xdr:nvGraphicFramePr>
      <xdr:xfrm>
        <a:off x="219075" y="7115175"/>
        <a:ext cx="4333875" cy="15430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704850</xdr:colOff>
      <xdr:row>0</xdr:row>
      <xdr:rowOff>342900</xdr:rowOff>
    </xdr:to>
    <xdr:sp>
      <xdr:nvSpPr>
        <xdr:cNvPr id="6" name="AutoShape 50">
          <a:hlinkClick r:id="rId6"/>
        </xdr:cNvPr>
        <xdr:cNvSpPr>
          <a:spLocks/>
        </xdr:cNvSpPr>
      </xdr:nvSpPr>
      <xdr:spPr>
        <a:xfrm>
          <a:off x="0" y="9525"/>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10</xdr:row>
      <xdr:rowOff>66675</xdr:rowOff>
    </xdr:from>
    <xdr:to>
      <xdr:col>12</xdr:col>
      <xdr:colOff>228600</xdr:colOff>
      <xdr:row>18</xdr:row>
      <xdr:rowOff>95250</xdr:rowOff>
    </xdr:to>
    <xdr:graphicFrame>
      <xdr:nvGraphicFramePr>
        <xdr:cNvPr id="1" name="Chart 1"/>
        <xdr:cNvGraphicFramePr/>
      </xdr:nvGraphicFramePr>
      <xdr:xfrm>
        <a:off x="4791075" y="4448175"/>
        <a:ext cx="4124325" cy="1800225"/>
      </xdr:xfrm>
      <a:graphic>
        <a:graphicData uri="http://schemas.openxmlformats.org/drawingml/2006/chart">
          <c:chart xmlns:c="http://schemas.openxmlformats.org/drawingml/2006/chart" r:id="rId1"/>
        </a:graphicData>
      </a:graphic>
    </xdr:graphicFrame>
    <xdr:clientData/>
  </xdr:twoCellAnchor>
  <xdr:twoCellAnchor>
    <xdr:from>
      <xdr:col>12</xdr:col>
      <xdr:colOff>666750</xdr:colOff>
      <xdr:row>9</xdr:row>
      <xdr:rowOff>114300</xdr:rowOff>
    </xdr:from>
    <xdr:to>
      <xdr:col>18</xdr:col>
      <xdr:colOff>228600</xdr:colOff>
      <xdr:row>18</xdr:row>
      <xdr:rowOff>57150</xdr:rowOff>
    </xdr:to>
    <xdr:graphicFrame>
      <xdr:nvGraphicFramePr>
        <xdr:cNvPr id="2" name="Chart 2"/>
        <xdr:cNvGraphicFramePr/>
      </xdr:nvGraphicFramePr>
      <xdr:xfrm>
        <a:off x="9353550" y="4381500"/>
        <a:ext cx="4219575" cy="1828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942975</xdr:colOff>
      <xdr:row>1</xdr:row>
      <xdr:rowOff>9525</xdr:rowOff>
    </xdr:to>
    <xdr:sp>
      <xdr:nvSpPr>
        <xdr:cNvPr id="3" name="AutoShape 50">
          <a:hlinkClick r:id="rId3"/>
        </xdr:cNvPr>
        <xdr:cNvSpPr>
          <a:spLocks/>
        </xdr:cNvSpPr>
      </xdr:nvSpPr>
      <xdr:spPr>
        <a:xfrm>
          <a:off x="28575" y="19050"/>
          <a:ext cx="942975"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4381500"/>
        <a:ext cx="4352925" cy="16002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914400</xdr:colOff>
      <xdr:row>0</xdr:row>
      <xdr:rowOff>381000</xdr:rowOff>
    </xdr:to>
    <xdr:sp>
      <xdr:nvSpPr>
        <xdr:cNvPr id="1" name="AutoShape 50">
          <a:hlinkClick r:id="rId1"/>
        </xdr:cNvPr>
        <xdr:cNvSpPr>
          <a:spLocks/>
        </xdr:cNvSpPr>
      </xdr:nvSpPr>
      <xdr:spPr>
        <a:xfrm>
          <a:off x="38100" y="47625"/>
          <a:ext cx="9525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685800</xdr:colOff>
      <xdr:row>0</xdr:row>
      <xdr:rowOff>352425</xdr:rowOff>
    </xdr:to>
    <xdr:sp>
      <xdr:nvSpPr>
        <xdr:cNvPr id="1" name="AutoShape 50">
          <a:hlinkClick r:id="rId1"/>
        </xdr:cNvPr>
        <xdr:cNvSpPr>
          <a:spLocks/>
        </xdr:cNvSpPr>
      </xdr:nvSpPr>
      <xdr:spPr>
        <a:xfrm>
          <a:off x="38100" y="28575"/>
          <a:ext cx="923925"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20MENSUALES\REPORTE%20SEMESTRAL\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145" zoomScaleNormal="145" zoomScalePageLayoutView="0" workbookViewId="0" topLeftCell="A7">
      <selection activeCell="H5" sqref="H5"/>
    </sheetView>
  </sheetViews>
  <sheetFormatPr defaultColWidth="11.421875" defaultRowHeight="15"/>
  <cols>
    <col min="1" max="1" width="1.1484375" style="0" customWidth="1"/>
    <col min="2" max="10" width="11.421875" style="0" customWidth="1"/>
    <col min="11" max="11" width="1.57421875" style="0" customWidth="1"/>
  </cols>
  <sheetData>
    <row r="1" ht="25.5" customHeight="1"/>
    <row r="2" spans="2:15" ht="36">
      <c r="B2" s="488" t="str">
        <f>'Información de la subvención'!B3:J3</f>
        <v>Tablero de mando:  El Salvador - MALARIA</v>
      </c>
      <c r="C2" s="488"/>
      <c r="D2" s="488"/>
      <c r="E2" s="488"/>
      <c r="F2" s="488"/>
      <c r="G2" s="488"/>
      <c r="H2" s="488"/>
      <c r="I2" s="488"/>
      <c r="J2" s="488"/>
      <c r="K2" s="488"/>
      <c r="L2" s="488"/>
      <c r="M2" s="1"/>
      <c r="N2" s="1"/>
      <c r="O2" s="1"/>
    </row>
    <row r="4" spans="2:12" ht="21">
      <c r="B4" s="489" t="str">
        <f>+'Introducción de datos'!G6&amp;"  "&amp;+'Introducción de datos'!G8&amp;",  "&amp;+'Introducción de datos'!I8</f>
        <v>MALARIA  ,  Fase 1</v>
      </c>
      <c r="C4" s="489"/>
      <c r="D4" s="489"/>
      <c r="E4" s="489"/>
      <c r="F4" s="2"/>
      <c r="G4" s="2"/>
      <c r="H4" s="3" t="str">
        <f>'Información de la subvención'!D9</f>
        <v>1117</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
    </sheetView>
  </sheetViews>
  <sheetFormatPr defaultColWidth="11.421875" defaultRowHeight="15"/>
  <cols>
    <col min="1" max="1" width="11.421875" style="0" customWidth="1"/>
    <col min="2" max="2" width="16.140625" style="0" customWidth="1"/>
    <col min="3" max="3" width="14.57421875" style="0" customWidth="1"/>
    <col min="4" max="4" width="15.421875" style="0" customWidth="1"/>
    <col min="5" max="6" width="11.421875" style="0" customWidth="1"/>
    <col min="7" max="7" width="14.421875" style="0" customWidth="1"/>
    <col min="8" max="8" width="35.421875" style="0" customWidth="1"/>
    <col min="9" max="9" width="45.57421875" style="0" customWidth="1"/>
    <col min="10" max="10" width="33.421875" style="0" customWidth="1"/>
    <col min="11" max="12" width="11.421875" style="0" customWidth="1"/>
    <col min="13" max="13" width="28.421875" style="0" customWidth="1"/>
    <col min="14" max="14" width="46.421875" style="0" customWidth="1"/>
  </cols>
  <sheetData>
    <row r="2" ht="25.5" customHeight="1"/>
    <row r="3" spans="2:9" ht="36">
      <c r="B3" s="691" t="str">
        <f>'Información de la subvención'!B3:J3</f>
        <v>Tablero de mando:  El Salvador - MALARIA</v>
      </c>
      <c r="C3" s="691"/>
      <c r="D3" s="691"/>
      <c r="E3" s="691"/>
      <c r="F3" s="691"/>
      <c r="G3" s="691"/>
      <c r="H3" s="691"/>
      <c r="I3" s="268"/>
    </row>
    <row r="6" spans="2:8" ht="18.75">
      <c r="B6" s="692" t="s">
        <v>219</v>
      </c>
      <c r="C6" s="692"/>
      <c r="D6" s="692"/>
      <c r="E6" s="692"/>
      <c r="F6" s="692"/>
      <c r="G6" s="692"/>
      <c r="H6" s="692"/>
    </row>
    <row r="8" spans="2:15" ht="18.75">
      <c r="B8" s="422" t="s">
        <v>220</v>
      </c>
      <c r="C8" s="422" t="s">
        <v>221</v>
      </c>
      <c r="D8" s="422" t="s">
        <v>222</v>
      </c>
      <c r="E8" s="422" t="s">
        <v>223</v>
      </c>
      <c r="F8" s="422" t="s">
        <v>224</v>
      </c>
      <c r="G8" s="422" t="s">
        <v>225</v>
      </c>
      <c r="H8" s="422" t="s">
        <v>226</v>
      </c>
      <c r="I8" s="423" t="s">
        <v>227</v>
      </c>
      <c r="J8" s="423" t="s">
        <v>228</v>
      </c>
      <c r="M8" s="10"/>
      <c r="N8" s="10"/>
      <c r="O8" s="10"/>
    </row>
    <row r="9" spans="2:15" ht="15">
      <c r="B9" s="424" t="s">
        <v>229</v>
      </c>
      <c r="C9" s="424" t="s">
        <v>229</v>
      </c>
      <c r="D9" s="424" t="s">
        <v>229</v>
      </c>
      <c r="E9" s="424" t="s">
        <v>229</v>
      </c>
      <c r="F9" s="424" t="s">
        <v>229</v>
      </c>
      <c r="G9" s="424" t="s">
        <v>229</v>
      </c>
      <c r="H9" s="424" t="s">
        <v>229</v>
      </c>
      <c r="I9" s="425" t="s">
        <v>229</v>
      </c>
      <c r="J9" s="424" t="s">
        <v>229</v>
      </c>
      <c r="M9" s="10"/>
      <c r="N9" s="10"/>
      <c r="O9" s="10"/>
    </row>
    <row r="10" spans="2:15" ht="15">
      <c r="B10" s="426" t="s">
        <v>230</v>
      </c>
      <c r="C10" s="426" t="s">
        <v>71</v>
      </c>
      <c r="D10" s="426" t="s">
        <v>231</v>
      </c>
      <c r="E10" s="426" t="s">
        <v>232</v>
      </c>
      <c r="F10" s="426" t="s">
        <v>59</v>
      </c>
      <c r="G10" s="427" t="s">
        <v>233</v>
      </c>
      <c r="H10" s="428" t="s">
        <v>234</v>
      </c>
      <c r="I10" s="429" t="s">
        <v>142</v>
      </c>
      <c r="J10" s="424" t="s">
        <v>235</v>
      </c>
      <c r="M10" s="10"/>
      <c r="N10" s="10"/>
      <c r="O10" s="10"/>
    </row>
    <row r="11" spans="2:15" ht="15">
      <c r="B11" s="426" t="s">
        <v>236</v>
      </c>
      <c r="C11" s="426" t="s">
        <v>237</v>
      </c>
      <c r="D11" s="426" t="s">
        <v>238</v>
      </c>
      <c r="E11" s="426" t="s">
        <v>239</v>
      </c>
      <c r="F11" s="426" t="s">
        <v>75</v>
      </c>
      <c r="G11" s="427" t="s">
        <v>55</v>
      </c>
      <c r="H11" s="428" t="s">
        <v>240</v>
      </c>
      <c r="I11" s="429" t="s">
        <v>143</v>
      </c>
      <c r="J11" s="424" t="s">
        <v>241</v>
      </c>
      <c r="M11" s="10"/>
      <c r="N11" s="10"/>
      <c r="O11" s="10"/>
    </row>
    <row r="12" spans="2:15" ht="15">
      <c r="B12" s="426" t="s">
        <v>48</v>
      </c>
      <c r="D12" s="426" t="s">
        <v>242</v>
      </c>
      <c r="E12" s="426" t="s">
        <v>243</v>
      </c>
      <c r="F12" s="426" t="s">
        <v>76</v>
      </c>
      <c r="G12" s="427" t="s">
        <v>244</v>
      </c>
      <c r="H12" s="428" t="s">
        <v>245</v>
      </c>
      <c r="I12" s="429" t="s">
        <v>144</v>
      </c>
      <c r="J12" s="424" t="s">
        <v>246</v>
      </c>
      <c r="M12" s="430"/>
      <c r="N12" s="10"/>
      <c r="O12" s="10"/>
    </row>
    <row r="13" spans="2:15" ht="15">
      <c r="B13" s="426" t="s">
        <v>247</v>
      </c>
      <c r="D13" s="426" t="s">
        <v>248</v>
      </c>
      <c r="E13" s="431"/>
      <c r="F13" s="426" t="s">
        <v>77</v>
      </c>
      <c r="G13" s="427" t="s">
        <v>249</v>
      </c>
      <c r="H13" s="428" t="s">
        <v>250</v>
      </c>
      <c r="I13" s="429" t="s">
        <v>145</v>
      </c>
      <c r="J13" s="424" t="s">
        <v>251</v>
      </c>
      <c r="M13" s="430"/>
      <c r="N13" s="10"/>
      <c r="O13" s="10"/>
    </row>
    <row r="14" spans="2:15" ht="15">
      <c r="B14" s="426" t="s">
        <v>252</v>
      </c>
      <c r="D14" s="426" t="s">
        <v>253</v>
      </c>
      <c r="F14" s="426" t="s">
        <v>78</v>
      </c>
      <c r="G14" s="427" t="s">
        <v>254</v>
      </c>
      <c r="H14" s="428" t="s">
        <v>255</v>
      </c>
      <c r="I14" s="429" t="s">
        <v>256</v>
      </c>
      <c r="J14" s="424" t="s">
        <v>257</v>
      </c>
      <c r="M14" s="430"/>
      <c r="N14" s="10"/>
      <c r="O14" s="10"/>
    </row>
    <row r="15" spans="4:15" ht="15">
      <c r="D15" s="426" t="s">
        <v>258</v>
      </c>
      <c r="F15" s="426" t="s">
        <v>79</v>
      </c>
      <c r="H15" s="428" t="s">
        <v>259</v>
      </c>
      <c r="I15" s="429" t="s">
        <v>260</v>
      </c>
      <c r="J15" s="424" t="s">
        <v>261</v>
      </c>
      <c r="M15" s="430"/>
      <c r="N15" s="10"/>
      <c r="O15" s="10"/>
    </row>
    <row r="16" spans="4:15" ht="15">
      <c r="D16" s="426" t="s">
        <v>262</v>
      </c>
      <c r="F16" s="426" t="s">
        <v>80</v>
      </c>
      <c r="H16" s="428" t="s">
        <v>263</v>
      </c>
      <c r="I16" s="429" t="s">
        <v>264</v>
      </c>
      <c r="J16" s="424" t="s">
        <v>265</v>
      </c>
      <c r="M16" s="430"/>
      <c r="N16" s="10"/>
      <c r="O16" s="10"/>
    </row>
    <row r="17" spans="4:15" ht="15">
      <c r="D17" s="426" t="s">
        <v>266</v>
      </c>
      <c r="F17" s="426" t="s">
        <v>81</v>
      </c>
      <c r="H17" s="428" t="s">
        <v>267</v>
      </c>
      <c r="I17" s="429" t="s">
        <v>268</v>
      </c>
      <c r="J17" s="424" t="s">
        <v>269</v>
      </c>
      <c r="M17" s="430"/>
      <c r="N17" s="10"/>
      <c r="O17" s="10"/>
    </row>
    <row r="18" spans="4:15" ht="15">
      <c r="D18" s="426" t="s">
        <v>270</v>
      </c>
      <c r="F18" s="426" t="s">
        <v>82</v>
      </c>
      <c r="H18" s="428" t="s">
        <v>271</v>
      </c>
      <c r="I18" s="429" t="s">
        <v>272</v>
      </c>
      <c r="J18" s="424" t="s">
        <v>273</v>
      </c>
      <c r="M18" s="430"/>
      <c r="N18" s="10"/>
      <c r="O18" s="10"/>
    </row>
    <row r="19" spans="4:15" ht="15">
      <c r="D19" s="426" t="s">
        <v>274</v>
      </c>
      <c r="F19" s="426" t="s">
        <v>83</v>
      </c>
      <c r="H19" s="428" t="s">
        <v>275</v>
      </c>
      <c r="I19" s="429" t="s">
        <v>276</v>
      </c>
      <c r="J19" s="424" t="s">
        <v>277</v>
      </c>
      <c r="M19" s="430"/>
      <c r="N19" s="10"/>
      <c r="O19" s="10"/>
    </row>
    <row r="20" spans="4:15" ht="15">
      <c r="D20" s="432"/>
      <c r="F20" s="426" t="s">
        <v>84</v>
      </c>
      <c r="H20" s="428" t="s">
        <v>278</v>
      </c>
      <c r="I20" s="429" t="s">
        <v>279</v>
      </c>
      <c r="J20" s="424" t="s">
        <v>280</v>
      </c>
      <c r="M20" s="10"/>
      <c r="N20" s="10"/>
      <c r="O20" s="10"/>
    </row>
    <row r="21" spans="4:15" ht="15">
      <c r="D21" s="433"/>
      <c r="F21" s="426" t="s">
        <v>85</v>
      </c>
      <c r="H21" s="433"/>
      <c r="I21" s="429" t="s">
        <v>281</v>
      </c>
      <c r="J21" s="424" t="s">
        <v>282</v>
      </c>
      <c r="M21" s="10"/>
      <c r="N21" s="10"/>
      <c r="O21" s="10"/>
    </row>
    <row r="22" spans="8:15" ht="15">
      <c r="H22" s="433"/>
      <c r="I22" s="429" t="s">
        <v>283</v>
      </c>
      <c r="J22" s="424" t="s">
        <v>284</v>
      </c>
      <c r="M22" s="10"/>
      <c r="N22" s="10"/>
      <c r="O22" s="10"/>
    </row>
    <row r="23" spans="9:15" ht="15">
      <c r="I23" s="429" t="s">
        <v>285</v>
      </c>
      <c r="J23" s="424" t="s">
        <v>286</v>
      </c>
      <c r="M23" s="10"/>
      <c r="N23" s="10"/>
      <c r="O23" s="10"/>
    </row>
    <row r="24" spans="9:15" ht="15">
      <c r="I24" s="429" t="s">
        <v>287</v>
      </c>
      <c r="J24" s="424" t="s">
        <v>288</v>
      </c>
      <c r="M24" s="10"/>
      <c r="N24" s="10"/>
      <c r="O24" s="10"/>
    </row>
    <row r="25" spans="9:10" ht="15">
      <c r="I25" s="434"/>
      <c r="J25" s="424" t="s">
        <v>289</v>
      </c>
    </row>
    <row r="26" spans="9:10" ht="15">
      <c r="I26" s="429" t="s">
        <v>290</v>
      </c>
      <c r="J26" s="424" t="s">
        <v>291</v>
      </c>
    </row>
    <row r="27" spans="9:10" ht="15">
      <c r="I27" s="429" t="s">
        <v>292</v>
      </c>
      <c r="J27" s="424" t="s">
        <v>44</v>
      </c>
    </row>
    <row r="28" spans="9:10" ht="15">
      <c r="I28" s="434" t="s">
        <v>146</v>
      </c>
      <c r="J28" s="424" t="s">
        <v>293</v>
      </c>
    </row>
    <row r="29" spans="9:10" ht="15">
      <c r="I29" s="434" t="s">
        <v>294</v>
      </c>
      <c r="J29" s="424" t="s">
        <v>295</v>
      </c>
    </row>
    <row r="30" spans="9:10" ht="15">
      <c r="I30" s="434" t="s">
        <v>296</v>
      </c>
      <c r="J30" s="424" t="s">
        <v>297</v>
      </c>
    </row>
    <row r="31" ht="15">
      <c r="J31" s="424" t="s">
        <v>298</v>
      </c>
    </row>
    <row r="32" ht="15">
      <c r="J32" s="424" t="s">
        <v>299</v>
      </c>
    </row>
    <row r="33" ht="15">
      <c r="J33" s="424" t="s">
        <v>300</v>
      </c>
    </row>
    <row r="34" ht="15">
      <c r="J34" s="424" t="s">
        <v>301</v>
      </c>
    </row>
    <row r="35" ht="15">
      <c r="J35" s="424" t="s">
        <v>302</v>
      </c>
    </row>
    <row r="36" ht="15">
      <c r="J36" s="424" t="s">
        <v>303</v>
      </c>
    </row>
    <row r="37" ht="15">
      <c r="J37" s="424" t="s">
        <v>304</v>
      </c>
    </row>
    <row r="38" ht="15">
      <c r="J38" s="424" t="s">
        <v>305</v>
      </c>
    </row>
    <row r="39" ht="15">
      <c r="J39" s="424" t="s">
        <v>306</v>
      </c>
    </row>
    <row r="40" ht="15">
      <c r="J40" s="424" t="s">
        <v>307</v>
      </c>
    </row>
    <row r="41" ht="15">
      <c r="J41" s="424" t="s">
        <v>308</v>
      </c>
    </row>
    <row r="42" ht="15">
      <c r="J42" s="424" t="s">
        <v>309</v>
      </c>
    </row>
    <row r="43" ht="15">
      <c r="J43" s="424" t="s">
        <v>310</v>
      </c>
    </row>
    <row r="44" ht="15">
      <c r="J44" s="424" t="s">
        <v>311</v>
      </c>
    </row>
    <row r="45" ht="15">
      <c r="J45" s="424" t="s">
        <v>312</v>
      </c>
    </row>
    <row r="46" ht="15">
      <c r="J46" s="424" t="s">
        <v>313</v>
      </c>
    </row>
    <row r="47" ht="15">
      <c r="J47" s="424" t="s">
        <v>314</v>
      </c>
    </row>
    <row r="48" ht="15">
      <c r="J48" s="424" t="s">
        <v>315</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70" zoomScaleNormal="70" zoomScalePageLayoutView="0" workbookViewId="0" topLeftCell="A1">
      <pane ySplit="2" topLeftCell="A9" activePane="bottomLeft" state="frozen"/>
      <selection pane="topLeft" activeCell="B1" sqref="B1"/>
      <selection pane="bottomLeft" activeCell="B11" sqref="B11:D11"/>
    </sheetView>
  </sheetViews>
  <sheetFormatPr defaultColWidth="11.421875" defaultRowHeight="15"/>
  <cols>
    <col min="1" max="1" width="2.57421875" style="0" customWidth="1"/>
    <col min="2" max="2" width="21.421875" style="0" customWidth="1"/>
    <col min="3" max="3" width="11.421875" style="0" customWidth="1"/>
    <col min="4" max="4" width="11.140625" style="0" customWidth="1"/>
    <col min="5" max="5" width="16.421875" style="0" customWidth="1"/>
    <col min="6" max="6" width="15.57421875" style="0" customWidth="1"/>
    <col min="7" max="7" width="37.421875" style="0" customWidth="1"/>
    <col min="8" max="8" width="17.42187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421875" style="5" customWidth="1"/>
    <col min="15" max="15" width="3.00390625" style="5" customWidth="1"/>
    <col min="16" max="16" width="2.421875" style="0" customWidth="1"/>
    <col min="17" max="17" width="16.140625" style="0" customWidth="1"/>
    <col min="18" max="18" width="13.57421875" style="0" customWidth="1"/>
    <col min="19" max="19" width="11.421875" style="0" customWidth="1"/>
    <col min="20" max="20" width="14.8515625" style="0" customWidth="1"/>
    <col min="21" max="21" width="16.00390625" style="0" customWidth="1"/>
    <col min="22" max="22" width="0" style="0" hidden="1" customWidth="1"/>
    <col min="23" max="23" width="15.421875" style="0" customWidth="1"/>
    <col min="24" max="24" width="11.421875" style="0" customWidth="1"/>
    <col min="25" max="25" width="2.421875" style="0" customWidth="1"/>
    <col min="26" max="26" width="1.1484375" style="0" customWidth="1"/>
    <col min="27" max="27" width="3.421875" style="0" customWidth="1"/>
    <col min="28" max="28" width="17.00390625" style="0" customWidth="1"/>
    <col min="29" max="29" width="15.00390625" style="0" customWidth="1"/>
    <col min="30" max="30" width="11.421875" style="0" customWidth="1"/>
    <col min="31" max="31" width="13.421875" style="0" customWidth="1"/>
    <col min="32" max="32" width="16.8515625" style="0" customWidth="1"/>
    <col min="33" max="33" width="11.421875" style="0" customWidth="1"/>
    <col min="34" max="34" width="2.00390625" style="0" customWidth="1"/>
    <col min="35" max="35" width="3.421875" style="0" customWidth="1"/>
    <col min="36" max="36" width="2.421875" style="0" customWidth="1"/>
    <col min="37" max="37" width="40.574218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490" t="str">
        <f>+"Cuadro de mando:  "&amp;"  "&amp;+'Introducción de datos'!C4&amp;" - "&amp;'Introducción de datos'!G6</f>
        <v>Cuadro de mando:    El Salvador - MALARIA</v>
      </c>
      <c r="C2" s="490"/>
      <c r="D2" s="490"/>
      <c r="E2" s="490"/>
      <c r="F2" s="490"/>
      <c r="G2" s="490"/>
      <c r="H2" s="490"/>
      <c r="I2" s="490"/>
      <c r="J2" s="490"/>
      <c r="K2" s="490"/>
      <c r="L2" s="490"/>
      <c r="M2" s="490"/>
    </row>
    <row r="3" spans="1:13" ht="15.75" customHeight="1">
      <c r="A3" s="6"/>
      <c r="B3" s="7"/>
      <c r="C3" s="7"/>
      <c r="D3" s="7"/>
      <c r="E3" s="7"/>
      <c r="F3" s="7"/>
      <c r="G3" s="7"/>
      <c r="H3" s="7"/>
      <c r="I3" s="7"/>
      <c r="J3" s="7"/>
      <c r="K3" s="8"/>
      <c r="L3" s="8"/>
      <c r="M3" s="6"/>
    </row>
    <row r="5" spans="2:15" ht="23.25">
      <c r="B5" s="491" t="s">
        <v>0</v>
      </c>
      <c r="C5" s="491"/>
      <c r="D5" s="491"/>
      <c r="E5" s="491"/>
      <c r="F5" s="491"/>
      <c r="G5" s="491"/>
      <c r="H5" s="491"/>
      <c r="I5" s="491"/>
      <c r="J5" s="491"/>
      <c r="K5" s="491"/>
      <c r="L5" s="491"/>
      <c r="M5" s="491"/>
      <c r="N5" s="491"/>
      <c r="O5" s="491"/>
    </row>
    <row r="7" spans="2:15" ht="21">
      <c r="B7" s="492" t="s">
        <v>1</v>
      </c>
      <c r="C7" s="492"/>
      <c r="D7" s="492"/>
      <c r="E7" s="492" t="s">
        <v>2</v>
      </c>
      <c r="F7" s="492"/>
      <c r="G7" s="492"/>
      <c r="H7" s="492"/>
      <c r="I7" s="492"/>
      <c r="J7" s="492" t="s">
        <v>3</v>
      </c>
      <c r="K7" s="492"/>
      <c r="L7" s="492"/>
      <c r="M7" s="492" t="s">
        <v>4</v>
      </c>
      <c r="N7" s="492"/>
      <c r="O7" s="492"/>
    </row>
    <row r="8" spans="2:15" ht="92.25" customHeight="1">
      <c r="B8" s="493" t="str">
        <f>+'Introducción de datos'!B27</f>
        <v>F1: Presupuesto y desembolsos del Fondo Mundial</v>
      </c>
      <c r="C8" s="493"/>
      <c r="D8" s="493"/>
      <c r="E8" s="494" t="s">
        <v>5</v>
      </c>
      <c r="F8" s="494"/>
      <c r="G8" s="494"/>
      <c r="H8" s="494"/>
      <c r="I8" s="494"/>
      <c r="J8" s="495" t="s">
        <v>6</v>
      </c>
      <c r="K8" s="495"/>
      <c r="L8" s="495"/>
      <c r="M8" s="495" t="s">
        <v>7</v>
      </c>
      <c r="N8" s="495"/>
      <c r="O8" s="495"/>
    </row>
    <row r="9" spans="2:15" ht="117.75" customHeight="1">
      <c r="B9" s="493" t="str">
        <f>+'Introducción de datos'!B36</f>
        <v>F2: Presupuesto y gastos reales por modulos de la subvención</v>
      </c>
      <c r="C9" s="493"/>
      <c r="D9" s="493"/>
      <c r="E9" s="496" t="s">
        <v>8</v>
      </c>
      <c r="F9" s="496"/>
      <c r="G9" s="496"/>
      <c r="H9" s="496"/>
      <c r="I9" s="496"/>
      <c r="J9" s="497" t="s">
        <v>9</v>
      </c>
      <c r="K9" s="497"/>
      <c r="L9" s="497"/>
      <c r="M9" s="497" t="s">
        <v>7</v>
      </c>
      <c r="N9" s="497"/>
      <c r="O9" s="497"/>
    </row>
    <row r="10" spans="2:15" ht="233.25" customHeight="1">
      <c r="B10" s="498" t="str">
        <f>+'Introducción de datos'!B48</f>
        <v>F3: Desembolsos y gastos</v>
      </c>
      <c r="C10" s="498"/>
      <c r="D10" s="498"/>
      <c r="E10" s="496" t="s">
        <v>10</v>
      </c>
      <c r="F10" s="496"/>
      <c r="G10" s="496"/>
      <c r="H10" s="496"/>
      <c r="I10" s="496"/>
      <c r="J10" s="499" t="s">
        <v>11</v>
      </c>
      <c r="K10" s="499"/>
      <c r="L10" s="499"/>
      <c r="M10" s="497" t="s">
        <v>12</v>
      </c>
      <c r="N10" s="497"/>
      <c r="O10" s="497"/>
    </row>
    <row r="11" spans="2:60" ht="279.75" customHeight="1">
      <c r="B11" s="498" t="str">
        <f>+'Introducción de datos'!B57</f>
        <v>F4: Último ciclo de información y desembolso del RP</v>
      </c>
      <c r="C11" s="498"/>
      <c r="D11" s="498"/>
      <c r="E11" s="496" t="s">
        <v>13</v>
      </c>
      <c r="F11" s="496"/>
      <c r="G11" s="496"/>
      <c r="H11" s="496"/>
      <c r="I11" s="496"/>
      <c r="J11" s="499" t="s">
        <v>14</v>
      </c>
      <c r="K11" s="499"/>
      <c r="L11" s="499"/>
      <c r="M11" s="497" t="s">
        <v>15</v>
      </c>
      <c r="N11" s="497"/>
      <c r="O11" s="497"/>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5">
      <c r="B12" s="500"/>
      <c r="C12" s="500"/>
      <c r="D12" s="500"/>
      <c r="E12" s="501"/>
      <c r="F12" s="501"/>
      <c r="G12" s="501"/>
      <c r="H12" s="501"/>
      <c r="I12" s="501"/>
      <c r="J12" s="501"/>
      <c r="K12" s="501"/>
      <c r="L12" s="501"/>
      <c r="M12" s="501"/>
      <c r="N12" s="501"/>
      <c r="O12" s="50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5">
      <c r="B13" s="502"/>
      <c r="C13" s="502"/>
      <c r="D13" s="502"/>
      <c r="E13" s="503"/>
      <c r="F13" s="503"/>
      <c r="G13" s="503"/>
      <c r="H13" s="503"/>
      <c r="I13" s="503"/>
      <c r="J13" s="503"/>
      <c r="K13" s="503"/>
      <c r="L13" s="503"/>
      <c r="M13" s="503"/>
      <c r="N13" s="503"/>
      <c r="O13" s="503"/>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5">
      <c r="B14" s="502"/>
      <c r="C14" s="502"/>
      <c r="D14" s="502"/>
      <c r="E14" s="503"/>
      <c r="F14" s="503"/>
      <c r="G14" s="503"/>
      <c r="H14" s="503"/>
      <c r="I14" s="503"/>
      <c r="J14" s="503"/>
      <c r="K14" s="503"/>
      <c r="L14" s="503"/>
      <c r="M14" s="503"/>
      <c r="N14" s="503"/>
      <c r="O14" s="503"/>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5">
      <c r="B15" s="502"/>
      <c r="C15" s="502"/>
      <c r="D15" s="502"/>
      <c r="E15" s="503"/>
      <c r="F15" s="503"/>
      <c r="G15" s="503"/>
      <c r="H15" s="503"/>
      <c r="I15" s="503"/>
      <c r="J15" s="503"/>
      <c r="K15" s="503"/>
      <c r="L15" s="503"/>
      <c r="M15" s="503"/>
      <c r="N15" s="503"/>
      <c r="O15" s="503"/>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491" t="s">
        <v>16</v>
      </c>
      <c r="C16" s="491"/>
      <c r="D16" s="491"/>
      <c r="E16" s="491"/>
      <c r="F16" s="491"/>
      <c r="G16" s="491"/>
      <c r="H16" s="491"/>
      <c r="I16" s="491"/>
      <c r="J16" s="491"/>
      <c r="K16" s="491"/>
      <c r="L16" s="491"/>
      <c r="M16" s="491"/>
      <c r="N16" s="491"/>
      <c r="O16" s="491"/>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504" t="s">
        <v>1</v>
      </c>
      <c r="C18" s="504"/>
      <c r="D18" s="504"/>
      <c r="E18" s="504" t="s">
        <v>2</v>
      </c>
      <c r="F18" s="504"/>
      <c r="G18" s="504"/>
      <c r="H18" s="504"/>
      <c r="I18" s="504"/>
      <c r="J18" s="504" t="s">
        <v>3</v>
      </c>
      <c r="K18" s="504"/>
      <c r="L18" s="504"/>
      <c r="M18" s="504" t="s">
        <v>17</v>
      </c>
      <c r="N18" s="504"/>
      <c r="O18" s="504"/>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493" t="str">
        <f>+'Introducción de datos'!B68</f>
        <v>M1: Estado de las condiciones precedentes y acciones con fecha límite</v>
      </c>
      <c r="C19" s="493"/>
      <c r="D19" s="493"/>
      <c r="E19" s="496" t="s">
        <v>18</v>
      </c>
      <c r="F19" s="496"/>
      <c r="G19" s="496"/>
      <c r="H19" s="496"/>
      <c r="I19" s="496"/>
      <c r="J19" s="497" t="s">
        <v>19</v>
      </c>
      <c r="K19" s="497"/>
      <c r="L19" s="497"/>
      <c r="M19" s="497" t="s">
        <v>20</v>
      </c>
      <c r="N19" s="497"/>
      <c r="O19" s="497"/>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493" t="str">
        <f>+'Introducción de datos'!B75</f>
        <v>M2: Estado de los principales puestos directivos del RP</v>
      </c>
      <c r="C20" s="493"/>
      <c r="D20" s="493"/>
      <c r="E20" s="496" t="s">
        <v>21</v>
      </c>
      <c r="F20" s="496"/>
      <c r="G20" s="496"/>
      <c r="H20" s="496"/>
      <c r="I20" s="496"/>
      <c r="J20" s="497" t="s">
        <v>22</v>
      </c>
      <c r="K20" s="497"/>
      <c r="L20" s="497"/>
      <c r="M20" s="497" t="s">
        <v>23</v>
      </c>
      <c r="N20" s="497"/>
      <c r="O20" s="497"/>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493" t="str">
        <f>+'Introducción de datos'!B80</f>
        <v>M3: Acuerdos contractuales (N/A)</v>
      </c>
      <c r="C21" s="493"/>
      <c r="D21" s="493"/>
      <c r="E21" s="505" t="s">
        <v>24</v>
      </c>
      <c r="F21" s="505"/>
      <c r="G21" s="505"/>
      <c r="H21" s="505"/>
      <c r="I21" s="505"/>
      <c r="J21" s="497" t="s">
        <v>25</v>
      </c>
      <c r="K21" s="497"/>
      <c r="L21" s="497"/>
      <c r="M21" s="497" t="s">
        <v>26</v>
      </c>
      <c r="N21" s="497"/>
      <c r="O21" s="497"/>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493" t="str">
        <f>+'Introducción de datos'!B85</f>
        <v>M4: Número de informes completos recibidos a tiempo (N/A)</v>
      </c>
      <c r="C22" s="493"/>
      <c r="D22" s="493"/>
      <c r="E22" s="506" t="s">
        <v>27</v>
      </c>
      <c r="F22" s="506"/>
      <c r="G22" s="506"/>
      <c r="H22" s="506"/>
      <c r="I22" s="506"/>
      <c r="J22" s="499" t="s">
        <v>28</v>
      </c>
      <c r="K22" s="499"/>
      <c r="L22" s="499"/>
      <c r="M22" s="497" t="s">
        <v>29</v>
      </c>
      <c r="N22" s="497"/>
      <c r="O22" s="497"/>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498" t="str">
        <f>+'Introducción de datos'!B91</f>
        <v>M5: Presupuesto y compra de productos y equipo sanitario, medicamentos y productos farmacéuticos</v>
      </c>
      <c r="C23" s="498"/>
      <c r="D23" s="498"/>
      <c r="E23" s="507" t="s">
        <v>30</v>
      </c>
      <c r="F23" s="507"/>
      <c r="G23" s="507"/>
      <c r="H23" s="507"/>
      <c r="I23" s="507"/>
      <c r="J23" s="497" t="s">
        <v>31</v>
      </c>
      <c r="K23" s="497"/>
      <c r="L23" s="497"/>
      <c r="M23" s="497" t="s">
        <v>32</v>
      </c>
      <c r="N23" s="497"/>
      <c r="O23" s="497"/>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498"/>
      <c r="C24" s="498"/>
      <c r="D24" s="498"/>
      <c r="E24" s="508" t="s">
        <v>33</v>
      </c>
      <c r="F24" s="508"/>
      <c r="G24" s="508"/>
      <c r="H24" s="508"/>
      <c r="I24" s="508"/>
      <c r="J24" s="497"/>
      <c r="K24" s="497"/>
      <c r="L24" s="497"/>
      <c r="M24" s="497"/>
      <c r="N24" s="497"/>
      <c r="O24" s="497"/>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493" t="str">
        <f>+'Introducción de datos'!B104</f>
        <v>M6: Diferencia entre existencias actuales y existencias de seguridad</v>
      </c>
      <c r="C25" s="493"/>
      <c r="D25" s="493"/>
      <c r="E25" s="509" t="s">
        <v>34</v>
      </c>
      <c r="F25" s="509"/>
      <c r="G25" s="509"/>
      <c r="H25" s="509"/>
      <c r="I25" s="509"/>
      <c r="J25" s="510" t="s">
        <v>35</v>
      </c>
      <c r="K25" s="510"/>
      <c r="L25" s="510"/>
      <c r="M25" s="511" t="s">
        <v>36</v>
      </c>
      <c r="N25" s="511"/>
      <c r="O25" s="511"/>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75">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491" t="s">
        <v>37</v>
      </c>
      <c r="C30" s="491"/>
      <c r="D30" s="491"/>
      <c r="E30" s="491"/>
      <c r="F30" s="491"/>
      <c r="G30" s="491"/>
      <c r="H30" s="491"/>
      <c r="I30" s="491"/>
      <c r="J30" s="491"/>
      <c r="K30" s="491"/>
      <c r="L30" s="491"/>
      <c r="M30" s="491"/>
      <c r="N30" s="491"/>
      <c r="O30" s="491"/>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12" t="s">
        <v>38</v>
      </c>
      <c r="C32" s="512"/>
      <c r="D32" s="512"/>
      <c r="E32" s="513" t="s">
        <v>39</v>
      </c>
      <c r="F32" s="513"/>
      <c r="G32" s="513"/>
      <c r="H32" s="513"/>
      <c r="I32" s="513"/>
      <c r="J32" s="513" t="s">
        <v>3</v>
      </c>
      <c r="K32" s="513"/>
      <c r="L32" s="513"/>
      <c r="M32" s="513" t="s">
        <v>17</v>
      </c>
      <c r="N32" s="513"/>
      <c r="O32" s="513"/>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514"/>
      <c r="C33" s="514"/>
      <c r="D33" s="514"/>
      <c r="E33" s="515"/>
      <c r="F33" s="515"/>
      <c r="G33" s="515"/>
      <c r="H33" s="515"/>
      <c r="I33" s="515"/>
      <c r="J33" s="516"/>
      <c r="K33" s="516"/>
      <c r="L33" s="516"/>
      <c r="M33" s="516"/>
      <c r="N33" s="516"/>
      <c r="O33" s="516"/>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514"/>
      <c r="C34" s="514"/>
      <c r="D34" s="514"/>
      <c r="E34" s="515"/>
      <c r="F34" s="515"/>
      <c r="G34" s="515"/>
      <c r="H34" s="515"/>
      <c r="I34" s="515"/>
      <c r="J34" s="516"/>
      <c r="K34" s="516"/>
      <c r="L34" s="516"/>
      <c r="M34" s="516"/>
      <c r="N34" s="516"/>
      <c r="O34" s="516"/>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514"/>
      <c r="C35" s="514"/>
      <c r="D35" s="514"/>
      <c r="E35" s="516"/>
      <c r="F35" s="516"/>
      <c r="G35" s="516"/>
      <c r="H35" s="516"/>
      <c r="I35" s="516"/>
      <c r="J35" s="516"/>
      <c r="K35" s="516"/>
      <c r="L35" s="516"/>
      <c r="M35" s="516"/>
      <c r="N35" s="516"/>
      <c r="O35" s="516"/>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517"/>
      <c r="C36" s="517"/>
      <c r="D36" s="517"/>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514"/>
      <c r="C37" s="514"/>
      <c r="D37" s="514"/>
      <c r="E37" s="516"/>
      <c r="F37" s="516"/>
      <c r="G37" s="516"/>
      <c r="H37" s="516"/>
      <c r="I37" s="516"/>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514"/>
      <c r="C38" s="514"/>
      <c r="D38" s="514"/>
      <c r="E38" s="515"/>
      <c r="F38" s="515"/>
      <c r="G38" s="515"/>
      <c r="H38" s="515"/>
      <c r="I38" s="515"/>
      <c r="J38" s="516"/>
      <c r="K38" s="516"/>
      <c r="L38" s="516"/>
      <c r="M38" s="516"/>
      <c r="N38" s="516"/>
      <c r="O38" s="516"/>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18"/>
      <c r="C39" s="518"/>
      <c r="D39" s="518"/>
      <c r="E39" s="516"/>
      <c r="F39" s="516"/>
      <c r="G39" s="516"/>
      <c r="H39" s="516"/>
      <c r="I39" s="516"/>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19"/>
      <c r="C40" s="519"/>
      <c r="D40" s="519"/>
      <c r="E40" s="520"/>
      <c r="F40" s="520"/>
      <c r="G40" s="520"/>
      <c r="H40" s="520"/>
      <c r="I40" s="520"/>
      <c r="J40" s="516"/>
      <c r="K40" s="516"/>
      <c r="L40" s="516"/>
      <c r="M40" s="516"/>
      <c r="N40" s="516"/>
      <c r="O40" s="516"/>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18"/>
      <c r="C41" s="518"/>
      <c r="D41" s="518"/>
      <c r="E41" s="515"/>
      <c r="F41" s="515"/>
      <c r="G41" s="515"/>
      <c r="H41" s="515"/>
      <c r="I41" s="515"/>
      <c r="J41" s="516"/>
      <c r="K41" s="516"/>
      <c r="L41" s="516"/>
      <c r="M41" s="516"/>
      <c r="N41" s="516"/>
      <c r="O41" s="516"/>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18"/>
      <c r="C42" s="518"/>
      <c r="D42" s="518"/>
      <c r="E42" s="516"/>
      <c r="F42" s="516"/>
      <c r="G42" s="516"/>
      <c r="H42" s="516"/>
      <c r="I42" s="516"/>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18"/>
      <c r="C43" s="518"/>
      <c r="D43" s="518"/>
      <c r="E43" s="515"/>
      <c r="F43" s="515"/>
      <c r="G43" s="515"/>
      <c r="H43" s="515"/>
      <c r="I43" s="515"/>
      <c r="J43" s="516"/>
      <c r="K43" s="516"/>
      <c r="L43" s="516"/>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19"/>
      <c r="C44" s="519"/>
      <c r="D44" s="519"/>
      <c r="E44" s="515"/>
      <c r="F44" s="515"/>
      <c r="G44" s="515"/>
      <c r="H44" s="515"/>
      <c r="I44" s="515"/>
      <c r="J44" s="516"/>
      <c r="K44" s="516"/>
      <c r="L44" s="516"/>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519"/>
      <c r="C45" s="519"/>
      <c r="D45" s="519"/>
      <c r="E45" s="515"/>
      <c r="F45" s="515"/>
      <c r="G45" s="515"/>
      <c r="H45" s="515"/>
      <c r="I45" s="515"/>
      <c r="J45" s="516"/>
      <c r="K45" s="516"/>
      <c r="L45" s="516"/>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523"/>
      <c r="C46" s="523"/>
      <c r="D46" s="523"/>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521" t="s">
        <v>40</v>
      </c>
      <c r="C48" s="521"/>
      <c r="D48" s="521"/>
      <c r="E48" s="521"/>
      <c r="F48" s="521"/>
      <c r="G48" s="521"/>
      <c r="H48" s="521"/>
      <c r="I48" s="521"/>
      <c r="J48" s="521"/>
      <c r="K48" s="521"/>
      <c r="L48" s="521"/>
      <c r="M48" s="522" t="s">
        <v>41</v>
      </c>
      <c r="N48" s="522"/>
      <c r="O48" s="522"/>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48:L48"/>
    <mergeCell ref="M48:O48"/>
    <mergeCell ref="B45:D45"/>
    <mergeCell ref="E45:I45"/>
    <mergeCell ref="J45:L45"/>
    <mergeCell ref="B46:D46"/>
    <mergeCell ref="B42:D42"/>
    <mergeCell ref="E42:I42"/>
    <mergeCell ref="B43:D43"/>
    <mergeCell ref="E43:I43"/>
    <mergeCell ref="J43:L43"/>
    <mergeCell ref="B44:D44"/>
    <mergeCell ref="E44:I44"/>
    <mergeCell ref="J44:L44"/>
    <mergeCell ref="B40:D40"/>
    <mergeCell ref="E40:I40"/>
    <mergeCell ref="J40:L40"/>
    <mergeCell ref="M40:O40"/>
    <mergeCell ref="B41:D41"/>
    <mergeCell ref="E41:I41"/>
    <mergeCell ref="J41:L41"/>
    <mergeCell ref="M41:O41"/>
    <mergeCell ref="B38:D38"/>
    <mergeCell ref="E38:I38"/>
    <mergeCell ref="J38:L38"/>
    <mergeCell ref="M38:O38"/>
    <mergeCell ref="B39:D39"/>
    <mergeCell ref="E39:I39"/>
    <mergeCell ref="B35:D35"/>
    <mergeCell ref="E35:I35"/>
    <mergeCell ref="J35:L35"/>
    <mergeCell ref="M35:O35"/>
    <mergeCell ref="B36:D36"/>
    <mergeCell ref="B37:D37"/>
    <mergeCell ref="E37:I37"/>
    <mergeCell ref="B33:D33"/>
    <mergeCell ref="E33:I33"/>
    <mergeCell ref="J33:L33"/>
    <mergeCell ref="M33:O33"/>
    <mergeCell ref="B34:D34"/>
    <mergeCell ref="E34:I34"/>
    <mergeCell ref="J34:L34"/>
    <mergeCell ref="M34:O34"/>
    <mergeCell ref="B25:D25"/>
    <mergeCell ref="E25:I25"/>
    <mergeCell ref="J25:L25"/>
    <mergeCell ref="M25:O25"/>
    <mergeCell ref="B30:O30"/>
    <mergeCell ref="B32:D32"/>
    <mergeCell ref="E32:I32"/>
    <mergeCell ref="J32:L32"/>
    <mergeCell ref="M32:O32"/>
    <mergeCell ref="B22:D22"/>
    <mergeCell ref="E22:I22"/>
    <mergeCell ref="J22:L22"/>
    <mergeCell ref="M22:O22"/>
    <mergeCell ref="B23:D24"/>
    <mergeCell ref="E23:I23"/>
    <mergeCell ref="J23:L24"/>
    <mergeCell ref="M23:O24"/>
    <mergeCell ref="E24:I24"/>
    <mergeCell ref="B20:D20"/>
    <mergeCell ref="E20:I20"/>
    <mergeCell ref="J20:L20"/>
    <mergeCell ref="M20:O20"/>
    <mergeCell ref="B21:D21"/>
    <mergeCell ref="E21:I21"/>
    <mergeCell ref="J21:L21"/>
    <mergeCell ref="M21:O21"/>
    <mergeCell ref="B16:O16"/>
    <mergeCell ref="B18:D18"/>
    <mergeCell ref="E18:I18"/>
    <mergeCell ref="J18:L18"/>
    <mergeCell ref="M18:O18"/>
    <mergeCell ref="B19:D19"/>
    <mergeCell ref="E19:I19"/>
    <mergeCell ref="J19:L19"/>
    <mergeCell ref="M19:O19"/>
    <mergeCell ref="B14:D14"/>
    <mergeCell ref="E14:I14"/>
    <mergeCell ref="J14:L14"/>
    <mergeCell ref="M14:O14"/>
    <mergeCell ref="B15:D15"/>
    <mergeCell ref="E15:I15"/>
    <mergeCell ref="J15:L15"/>
    <mergeCell ref="M15:O15"/>
    <mergeCell ref="B12:D12"/>
    <mergeCell ref="E12:I12"/>
    <mergeCell ref="J12:L12"/>
    <mergeCell ref="M12:O12"/>
    <mergeCell ref="B13:D13"/>
    <mergeCell ref="E13:I13"/>
    <mergeCell ref="J13:L13"/>
    <mergeCell ref="M13:O13"/>
    <mergeCell ref="B10:D10"/>
    <mergeCell ref="E10:I10"/>
    <mergeCell ref="J10:L10"/>
    <mergeCell ref="M10:O10"/>
    <mergeCell ref="B11:D11"/>
    <mergeCell ref="E11:I11"/>
    <mergeCell ref="J11:L11"/>
    <mergeCell ref="M11:O11"/>
    <mergeCell ref="B8:D8"/>
    <mergeCell ref="E8:I8"/>
    <mergeCell ref="J8:L8"/>
    <mergeCell ref="M8:O8"/>
    <mergeCell ref="B9:D9"/>
    <mergeCell ref="E9:I9"/>
    <mergeCell ref="J9:L9"/>
    <mergeCell ref="M9:O9"/>
    <mergeCell ref="B2:M2"/>
    <mergeCell ref="B5:O5"/>
    <mergeCell ref="B7:D7"/>
    <mergeCell ref="E7:I7"/>
    <mergeCell ref="J7:L7"/>
    <mergeCell ref="M7:O7"/>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D140"/>
  <sheetViews>
    <sheetView showGridLines="0" tabSelected="1" zoomScale="60" zoomScaleNormal="60" zoomScalePageLayoutView="0" workbookViewId="0" topLeftCell="A126">
      <selection activeCell="J131" sqref="J131"/>
    </sheetView>
  </sheetViews>
  <sheetFormatPr defaultColWidth="11.421875" defaultRowHeight="15"/>
  <cols>
    <col min="1" max="1" width="2.574218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421875" style="0" customWidth="1"/>
    <col min="9" max="9" width="16.421875" style="0" customWidth="1"/>
    <col min="10" max="10" width="16.8515625" style="0" customWidth="1"/>
    <col min="11" max="11" width="18.421875" style="0" customWidth="1"/>
    <col min="12" max="12" width="15.421875" style="0" customWidth="1"/>
    <col min="13" max="13" width="20.421875" style="0" customWidth="1"/>
    <col min="14" max="14" width="14.421875" style="5" customWidth="1"/>
    <col min="15" max="15" width="16.140625" style="0" customWidth="1"/>
    <col min="16" max="16" width="13.57421875" style="0" customWidth="1"/>
    <col min="17" max="17" width="5.28125" style="0" customWidth="1"/>
    <col min="18" max="18" width="85.57421875" style="0" customWidth="1"/>
    <col min="19" max="19" width="2.421875" style="0" customWidth="1"/>
    <col min="20" max="20" width="1.1484375" style="0" customWidth="1"/>
    <col min="21" max="21" width="3.421875" style="0" customWidth="1"/>
    <col min="22" max="22" width="17.00390625" style="0" customWidth="1"/>
    <col min="23" max="23" width="15.00390625" style="0" customWidth="1"/>
    <col min="24" max="24" width="11.421875" style="0" customWidth="1"/>
    <col min="25" max="25" width="13.421875" style="0" customWidth="1"/>
    <col min="26" max="26" width="16.8515625" style="0" customWidth="1"/>
    <col min="27" max="27" width="11.421875" style="0" customWidth="1"/>
    <col min="28" max="28" width="2.00390625" style="5" customWidth="1"/>
    <col min="29" max="29" width="3.421875" style="5" customWidth="1"/>
    <col min="30" max="30" width="2.421875" style="5" customWidth="1"/>
    <col min="31" max="31" width="40.57421875" style="0" customWidth="1"/>
    <col min="32" max="32" width="15.421875" style="0" customWidth="1"/>
  </cols>
  <sheetData>
    <row r="1" spans="1:13" ht="29.25" customHeight="1">
      <c r="A1" s="6"/>
      <c r="B1" s="6"/>
      <c r="C1" s="6"/>
      <c r="D1" s="6"/>
      <c r="E1" s="6"/>
      <c r="F1" s="6"/>
      <c r="G1" s="6"/>
      <c r="H1" s="6"/>
      <c r="I1" s="6"/>
      <c r="J1" s="6"/>
      <c r="K1" s="6"/>
      <c r="L1" s="6"/>
      <c r="M1" s="6"/>
    </row>
    <row r="2" spans="1:13" ht="15.75" customHeight="1">
      <c r="A2" s="6"/>
      <c r="B2" s="526" t="s">
        <v>42</v>
      </c>
      <c r="C2" s="526"/>
      <c r="D2" s="526"/>
      <c r="E2" s="526"/>
      <c r="F2" s="526"/>
      <c r="G2" s="526"/>
      <c r="H2" s="526"/>
      <c r="I2" s="526"/>
      <c r="J2" s="526"/>
      <c r="K2" s="33"/>
      <c r="L2" s="33"/>
      <c r="M2" s="33"/>
    </row>
    <row r="3" spans="1:13" ht="4.5" customHeight="1">
      <c r="A3" s="6"/>
      <c r="B3" s="6"/>
      <c r="C3" s="6"/>
      <c r="D3" s="6"/>
      <c r="E3" s="6"/>
      <c r="F3" s="6"/>
      <c r="G3" s="6"/>
      <c r="H3" s="6"/>
      <c r="I3" s="6"/>
      <c r="J3" s="6"/>
      <c r="K3" s="6"/>
      <c r="L3" s="6"/>
      <c r="M3" s="6"/>
    </row>
    <row r="4" spans="1:13" ht="14.25" customHeight="1">
      <c r="A4" s="6"/>
      <c r="B4" s="34" t="s">
        <v>43</v>
      </c>
      <c r="C4" s="527" t="s">
        <v>44</v>
      </c>
      <c r="D4" s="527"/>
      <c r="E4" s="528" t="s">
        <v>45</v>
      </c>
      <c r="F4" s="528"/>
      <c r="G4" s="529" t="s">
        <v>317</v>
      </c>
      <c r="H4" s="530"/>
      <c r="I4" s="530"/>
      <c r="J4" s="530"/>
      <c r="K4" s="6"/>
      <c r="L4" s="6"/>
      <c r="M4" s="6"/>
    </row>
    <row r="5" spans="1:13" ht="3" customHeight="1">
      <c r="A5" s="6"/>
      <c r="B5" s="37"/>
      <c r="C5" s="6"/>
      <c r="D5" s="6"/>
      <c r="E5" s="38"/>
      <c r="F5" s="38"/>
      <c r="G5" s="6"/>
      <c r="H5" s="6"/>
      <c r="I5" s="6"/>
      <c r="J5" s="6"/>
      <c r="K5" s="6"/>
      <c r="L5" s="6"/>
      <c r="M5" s="6"/>
    </row>
    <row r="6" spans="1:13" ht="15">
      <c r="A6" s="6"/>
      <c r="B6" s="34" t="s">
        <v>46</v>
      </c>
      <c r="C6" s="530" t="s">
        <v>316</v>
      </c>
      <c r="D6" s="530"/>
      <c r="E6" s="528" t="s">
        <v>47</v>
      </c>
      <c r="F6" s="528"/>
      <c r="G6" s="35" t="s">
        <v>236</v>
      </c>
      <c r="H6" s="39" t="s">
        <v>49</v>
      </c>
      <c r="I6" s="531">
        <v>2000000</v>
      </c>
      <c r="J6" s="531"/>
      <c r="K6" s="6"/>
      <c r="L6" s="6"/>
      <c r="M6" s="6"/>
    </row>
    <row r="7" spans="1:13" ht="3" customHeight="1">
      <c r="A7" s="6"/>
      <c r="B7" s="37"/>
      <c r="C7" s="6"/>
      <c r="D7" s="6"/>
      <c r="E7" s="38"/>
      <c r="F7" s="38"/>
      <c r="G7" s="6"/>
      <c r="H7" s="37"/>
      <c r="I7" s="6"/>
      <c r="J7" s="6"/>
      <c r="K7" s="6"/>
      <c r="L7" s="6"/>
      <c r="M7" s="6"/>
    </row>
    <row r="8" spans="1:13" ht="15">
      <c r="A8" s="6"/>
      <c r="B8" s="34" t="s">
        <v>50</v>
      </c>
      <c r="C8" s="530" t="s">
        <v>51</v>
      </c>
      <c r="D8" s="530"/>
      <c r="E8" s="40"/>
      <c r="F8" s="36"/>
      <c r="G8" s="35"/>
      <c r="H8" s="36"/>
      <c r="I8" s="527" t="s">
        <v>232</v>
      </c>
      <c r="J8" s="527"/>
      <c r="K8" s="6"/>
      <c r="L8" s="6"/>
      <c r="M8" s="6"/>
    </row>
    <row r="9" spans="1:13" ht="3" customHeight="1">
      <c r="A9" s="6"/>
      <c r="B9" s="38"/>
      <c r="C9" s="41">
        <v>39825</v>
      </c>
      <c r="D9" s="6"/>
      <c r="E9" s="38"/>
      <c r="F9" s="38"/>
      <c r="G9" s="6"/>
      <c r="H9" s="6"/>
      <c r="I9" s="6"/>
      <c r="J9" s="6"/>
      <c r="K9" s="6"/>
      <c r="L9" s="6"/>
      <c r="M9" s="6"/>
    </row>
    <row r="10" spans="1:13" ht="15">
      <c r="A10" s="6"/>
      <c r="B10" s="34" t="s">
        <v>52</v>
      </c>
      <c r="C10" s="532">
        <v>42736</v>
      </c>
      <c r="D10" s="532"/>
      <c r="E10" s="533" t="s">
        <v>53</v>
      </c>
      <c r="F10" s="533"/>
      <c r="G10" s="527" t="s">
        <v>318</v>
      </c>
      <c r="H10" s="527"/>
      <c r="I10" s="527"/>
      <c r="J10" s="527"/>
      <c r="K10" s="6"/>
      <c r="L10" s="6"/>
      <c r="M10" s="6"/>
    </row>
    <row r="11" spans="1:13" ht="5.25" customHeight="1">
      <c r="A11" s="6"/>
      <c r="B11" s="6"/>
      <c r="C11" s="6"/>
      <c r="D11" s="6"/>
      <c r="E11" s="6"/>
      <c r="F11" s="6"/>
      <c r="G11" s="6"/>
      <c r="H11" s="6"/>
      <c r="I11" s="6"/>
      <c r="J11" s="6"/>
      <c r="K11" s="6"/>
      <c r="L11" s="6"/>
      <c r="M11" s="6"/>
    </row>
    <row r="12" spans="1:13" ht="15" customHeight="1">
      <c r="A12" s="6"/>
      <c r="B12" s="34" t="s">
        <v>54</v>
      </c>
      <c r="C12" s="534" t="s">
        <v>244</v>
      </c>
      <c r="D12" s="534"/>
      <c r="E12" s="535" t="s">
        <v>56</v>
      </c>
      <c r="F12" s="535"/>
      <c r="G12" s="536" t="s">
        <v>348</v>
      </c>
      <c r="H12" s="536"/>
      <c r="I12" s="536"/>
      <c r="J12" s="536"/>
      <c r="K12" s="6"/>
      <c r="L12" s="6"/>
      <c r="M12" s="6"/>
    </row>
    <row r="13" spans="1:13" ht="5.25" customHeight="1">
      <c r="A13" s="6"/>
      <c r="B13" s="6"/>
      <c r="C13" s="6"/>
      <c r="D13" s="6"/>
      <c r="E13" s="6"/>
      <c r="F13" s="6"/>
      <c r="G13" s="6"/>
      <c r="H13" s="6"/>
      <c r="I13" s="6"/>
      <c r="J13" s="6"/>
      <c r="K13" s="6"/>
      <c r="L13" s="6"/>
      <c r="M13" s="6"/>
    </row>
    <row r="14" spans="1:13" ht="15.75" customHeight="1">
      <c r="A14" s="6"/>
      <c r="B14" s="526" t="s">
        <v>57</v>
      </c>
      <c r="C14" s="526"/>
      <c r="D14" s="526"/>
      <c r="E14" s="526"/>
      <c r="F14" s="526"/>
      <c r="G14" s="526"/>
      <c r="H14" s="526"/>
      <c r="I14" s="526"/>
      <c r="J14" s="526"/>
      <c r="K14" s="6"/>
      <c r="L14" s="6"/>
      <c r="M14" s="6"/>
    </row>
    <row r="15" spans="1:13" ht="3" customHeight="1">
      <c r="A15" s="6"/>
      <c r="B15" s="6"/>
      <c r="C15" s="6"/>
      <c r="D15" s="6"/>
      <c r="E15" s="6"/>
      <c r="F15" s="6"/>
      <c r="G15" s="6"/>
      <c r="H15" s="6"/>
      <c r="I15" s="6"/>
      <c r="J15" s="6"/>
      <c r="K15" s="6"/>
      <c r="L15" s="6"/>
      <c r="M15" s="6"/>
    </row>
    <row r="16" spans="1:13" ht="15">
      <c r="A16" s="6"/>
      <c r="B16" s="34" t="s">
        <v>58</v>
      </c>
      <c r="C16" s="35" t="s">
        <v>76</v>
      </c>
      <c r="D16" s="36" t="s">
        <v>60</v>
      </c>
      <c r="E16" s="42">
        <v>43466</v>
      </c>
      <c r="F16" s="43" t="s">
        <v>61</v>
      </c>
      <c r="G16" s="42">
        <v>43830</v>
      </c>
      <c r="H16" s="537" t="s">
        <v>62</v>
      </c>
      <c r="I16" s="537"/>
      <c r="J16" s="42">
        <v>43910</v>
      </c>
      <c r="K16" s="6"/>
      <c r="L16" s="6"/>
      <c r="M16" s="6"/>
    </row>
    <row r="17" spans="1:13" ht="3" customHeight="1">
      <c r="A17" s="6"/>
      <c r="B17" s="6"/>
      <c r="C17" s="6"/>
      <c r="D17" s="6"/>
      <c r="E17" s="6"/>
      <c r="F17" s="6"/>
      <c r="G17" s="6"/>
      <c r="H17" s="6"/>
      <c r="I17" s="6"/>
      <c r="J17" s="6"/>
      <c r="K17" s="6"/>
      <c r="L17" s="6"/>
      <c r="M17" s="6"/>
    </row>
    <row r="18" spans="1:13" ht="15">
      <c r="A18" s="6"/>
      <c r="B18" s="538" t="s">
        <v>63</v>
      </c>
      <c r="C18" s="538"/>
      <c r="D18" s="529" t="s">
        <v>344</v>
      </c>
      <c r="E18" s="530"/>
      <c r="F18" s="530"/>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26" t="s">
        <v>64</v>
      </c>
      <c r="C21" s="526"/>
      <c r="D21" s="526"/>
      <c r="E21" s="526"/>
      <c r="F21" s="526"/>
      <c r="G21" s="526"/>
      <c r="H21" s="526"/>
      <c r="I21" s="526"/>
      <c r="J21" s="526"/>
      <c r="K21" s="6"/>
      <c r="L21" s="6"/>
      <c r="M21" s="6"/>
    </row>
    <row r="22" spans="1:13" ht="15">
      <c r="A22" s="6"/>
      <c r="B22" s="45" t="s">
        <v>65</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75" thickBot="1">
      <c r="A24" s="6"/>
      <c r="B24" s="34" t="s">
        <v>66</v>
      </c>
      <c r="C24" s="47"/>
      <c r="D24" s="528" t="s">
        <v>67</v>
      </c>
      <c r="E24" s="528"/>
      <c r="F24" s="48"/>
      <c r="G24" s="528" t="s">
        <v>68</v>
      </c>
      <c r="H24" s="528"/>
      <c r="I24" s="539"/>
      <c r="J24" s="539"/>
      <c r="K24" s="6"/>
      <c r="L24" s="6"/>
      <c r="M24" s="6"/>
      <c r="N24" s="49"/>
    </row>
    <row r="25" spans="1:29" ht="19.5" thickBot="1">
      <c r="A25" s="6"/>
      <c r="B25" s="50" t="s">
        <v>66</v>
      </c>
      <c r="C25" s="51"/>
      <c r="D25" s="51"/>
      <c r="E25" s="51"/>
      <c r="F25" s="51"/>
      <c r="G25" s="51"/>
      <c r="H25" s="52"/>
      <c r="I25" s="52"/>
      <c r="J25" s="52" t="s">
        <v>69</v>
      </c>
      <c r="K25" s="52"/>
      <c r="L25" s="51"/>
      <c r="M25" s="51"/>
      <c r="N25" s="53"/>
      <c r="AC25" s="54"/>
    </row>
    <row r="26" spans="1:29" ht="15">
      <c r="A26" s="6"/>
      <c r="B26" s="540" t="s">
        <v>70</v>
      </c>
      <c r="C26" s="540"/>
      <c r="D26" s="55" t="s">
        <v>71</v>
      </c>
      <c r="E26" s="56"/>
      <c r="F26" s="56"/>
      <c r="G26" s="56"/>
      <c r="H26" s="56"/>
      <c r="I26" s="56"/>
      <c r="J26" s="57"/>
      <c r="K26" s="56"/>
      <c r="L26" s="56"/>
      <c r="M26" s="56"/>
      <c r="N26" s="58"/>
      <c r="AC26" s="54"/>
    </row>
    <row r="27" spans="1:29" ht="18.75">
      <c r="A27" s="6"/>
      <c r="B27" s="59" t="s">
        <v>72</v>
      </c>
      <c r="C27" s="56"/>
      <c r="D27" s="56"/>
      <c r="E27" s="56"/>
      <c r="F27" s="56"/>
      <c r="G27" s="56"/>
      <c r="H27" s="56"/>
      <c r="I27" s="56"/>
      <c r="J27" s="57"/>
      <c r="K27" s="56"/>
      <c r="L27" s="56"/>
      <c r="M27" s="56"/>
      <c r="N27" s="58"/>
      <c r="AC27" s="54"/>
    </row>
    <row r="28" spans="1:13" ht="15.75" thickBot="1">
      <c r="A28" s="6"/>
      <c r="B28" s="6"/>
      <c r="C28" s="6"/>
      <c r="D28" s="6"/>
      <c r="E28" s="6"/>
      <c r="F28" s="6"/>
      <c r="G28" s="6"/>
      <c r="H28" s="6"/>
      <c r="I28" s="6"/>
      <c r="J28" s="6"/>
      <c r="K28" s="6"/>
      <c r="L28" s="6"/>
      <c r="M28" s="6"/>
    </row>
    <row r="29" spans="1:17" ht="15">
      <c r="A29" s="6"/>
      <c r="B29" s="541" t="s">
        <v>73</v>
      </c>
      <c r="C29" s="541"/>
      <c r="D29" s="541"/>
      <c r="E29" s="541"/>
      <c r="F29" s="541"/>
      <c r="G29" s="541"/>
      <c r="H29" s="541"/>
      <c r="I29" s="541"/>
      <c r="J29" s="541"/>
      <c r="K29" s="541"/>
      <c r="L29" s="541"/>
      <c r="M29" s="541"/>
      <c r="N29" s="541"/>
      <c r="O29" s="60"/>
      <c r="P29" s="61">
        <f>+C33</f>
        <v>338606.5</v>
      </c>
      <c r="Q29" s="62"/>
    </row>
    <row r="30" spans="1:17" ht="45" customHeight="1">
      <c r="A30" s="6"/>
      <c r="B30" s="63" t="s">
        <v>74</v>
      </c>
      <c r="C30" s="64" t="s">
        <v>59</v>
      </c>
      <c r="D30" s="64" t="s">
        <v>347</v>
      </c>
      <c r="E30" s="64" t="s">
        <v>76</v>
      </c>
      <c r="F30" s="64" t="s">
        <v>77</v>
      </c>
      <c r="G30" s="64" t="s">
        <v>78</v>
      </c>
      <c r="H30" s="64" t="s">
        <v>79</v>
      </c>
      <c r="I30" s="64" t="s">
        <v>80</v>
      </c>
      <c r="J30" s="64" t="s">
        <v>81</v>
      </c>
      <c r="K30" s="64" t="s">
        <v>82</v>
      </c>
      <c r="L30" s="64" t="s">
        <v>83</v>
      </c>
      <c r="M30" s="64" t="s">
        <v>84</v>
      </c>
      <c r="N30" s="64" t="s">
        <v>85</v>
      </c>
      <c r="O30" s="60"/>
      <c r="P30" s="61">
        <f>+D33</f>
        <v>893030</v>
      </c>
      <c r="Q30" s="62"/>
    </row>
    <row r="31" spans="1:17" ht="14.25" customHeight="1">
      <c r="A31" s="6"/>
      <c r="B31" s="65" t="str">
        <f>CONCATENATE("Presupuesto (en ",'Introducción de datos'!$D$26,")")</f>
        <v>Presupuesto (en $)</v>
      </c>
      <c r="C31" s="478">
        <v>338606.5</v>
      </c>
      <c r="D31" s="479">
        <v>554423.5</v>
      </c>
      <c r="E31" s="479">
        <v>850970</v>
      </c>
      <c r="F31" s="479">
        <v>256000</v>
      </c>
      <c r="G31" s="435"/>
      <c r="H31" s="435"/>
      <c r="I31" s="66"/>
      <c r="J31" s="66"/>
      <c r="K31" s="66"/>
      <c r="L31" s="66"/>
      <c r="M31" s="66"/>
      <c r="N31" s="66"/>
      <c r="O31" s="60"/>
      <c r="P31" s="61">
        <f>+E33</f>
        <v>1744000</v>
      </c>
      <c r="Q31" s="62"/>
    </row>
    <row r="32" spans="1:17" ht="14.25" customHeight="1">
      <c r="A32" s="6"/>
      <c r="B32" s="67" t="str">
        <f>CONCATENATE("Desembolsos por el Fondo Mundial (en ",$D$26,")")</f>
        <v>Desembolsos por el Fondo Mundial (en $)</v>
      </c>
      <c r="C32" s="478">
        <v>939921</v>
      </c>
      <c r="D32" s="480">
        <v>636619</v>
      </c>
      <c r="E32" s="480">
        <v>217471.28</v>
      </c>
      <c r="F32" s="480"/>
      <c r="G32" s="68">
        <v>0</v>
      </c>
      <c r="H32" s="68"/>
      <c r="I32" s="66"/>
      <c r="J32" s="66"/>
      <c r="K32" s="66"/>
      <c r="L32" s="66"/>
      <c r="M32" s="66"/>
      <c r="N32" s="66"/>
      <c r="O32" s="60"/>
      <c r="P32" s="61">
        <f>+F33</f>
        <v>2000000</v>
      </c>
      <c r="Q32" s="62"/>
    </row>
    <row r="33" spans="1:17" ht="14.25" customHeight="1">
      <c r="A33" s="6"/>
      <c r="B33" s="69" t="s">
        <v>86</v>
      </c>
      <c r="C33" s="481">
        <f>+C31</f>
        <v>338606.5</v>
      </c>
      <c r="D33" s="481">
        <f aca="true" t="shared" si="0" ref="D33:N33">IF(AND(D31=0,D32=0),0,+C33+D31)</f>
        <v>893030</v>
      </c>
      <c r="E33" s="481">
        <f t="shared" si="0"/>
        <v>1744000</v>
      </c>
      <c r="F33" s="481">
        <f t="shared" si="0"/>
        <v>2000000</v>
      </c>
      <c r="G33" s="70">
        <f t="shared" si="0"/>
        <v>0</v>
      </c>
      <c r="H33" s="70">
        <f t="shared" si="0"/>
        <v>0</v>
      </c>
      <c r="I33" s="70">
        <f t="shared" si="0"/>
        <v>0</v>
      </c>
      <c r="J33" s="71">
        <f t="shared" si="0"/>
        <v>0</v>
      </c>
      <c r="K33" s="70">
        <f t="shared" si="0"/>
        <v>0</v>
      </c>
      <c r="L33" s="70">
        <f t="shared" si="0"/>
        <v>0</v>
      </c>
      <c r="M33" s="70">
        <f t="shared" si="0"/>
        <v>0</v>
      </c>
      <c r="N33" s="70">
        <f t="shared" si="0"/>
        <v>0</v>
      </c>
      <c r="O33" s="60"/>
      <c r="P33" s="61">
        <f>+G33</f>
        <v>0</v>
      </c>
      <c r="Q33" s="62"/>
    </row>
    <row r="34" spans="1:17" ht="15" customHeight="1" thickBot="1">
      <c r="A34" s="6"/>
      <c r="B34" s="72" t="s">
        <v>87</v>
      </c>
      <c r="C34" s="482">
        <f>+C32</f>
        <v>939921</v>
      </c>
      <c r="D34" s="482">
        <f>IF(AND(D31=0,D32=0),0,+C34+D32)</f>
        <v>1576540</v>
      </c>
      <c r="E34" s="482">
        <f aca="true" t="shared" si="1" ref="E34:N34">IF(AND(E31=0,E32=0),0,+D34+E32)</f>
        <v>1794011.28</v>
      </c>
      <c r="F34" s="482">
        <f t="shared" si="1"/>
        <v>1794011.28</v>
      </c>
      <c r="G34" s="73">
        <f t="shared" si="1"/>
        <v>0</v>
      </c>
      <c r="H34" s="73">
        <f t="shared" si="1"/>
        <v>0</v>
      </c>
      <c r="I34" s="73">
        <f t="shared" si="1"/>
        <v>0</v>
      </c>
      <c r="J34" s="73">
        <f t="shared" si="1"/>
        <v>0</v>
      </c>
      <c r="K34" s="73">
        <f t="shared" si="1"/>
        <v>0</v>
      </c>
      <c r="L34" s="73">
        <f t="shared" si="1"/>
        <v>0</v>
      </c>
      <c r="M34" s="73">
        <f t="shared" si="1"/>
        <v>0</v>
      </c>
      <c r="N34" s="73">
        <f t="shared" si="1"/>
        <v>0</v>
      </c>
      <c r="O34" s="60"/>
      <c r="P34" s="61">
        <f>+H33</f>
        <v>0</v>
      </c>
      <c r="Q34" s="62"/>
    </row>
    <row r="35" spans="1:17" ht="15">
      <c r="A35" s="6"/>
      <c r="B35" s="6"/>
      <c r="C35" s="74">
        <f aca="true" t="shared" si="2" ref="C35:N35">+IF(AND(C30=$C$16,C33&lt;&gt;0),C34/C33,0)</f>
        <v>0</v>
      </c>
      <c r="D35" s="74">
        <f t="shared" si="2"/>
        <v>0</v>
      </c>
      <c r="E35" s="470"/>
      <c r="F35" s="470">
        <f>+F34/F33</f>
        <v>0.89700564</v>
      </c>
      <c r="G35" s="74">
        <f t="shared" si="2"/>
        <v>0</v>
      </c>
      <c r="H35" s="74">
        <f t="shared" si="2"/>
        <v>0</v>
      </c>
      <c r="I35" s="74">
        <f t="shared" si="2"/>
        <v>0</v>
      </c>
      <c r="J35" s="74">
        <f t="shared" si="2"/>
        <v>0</v>
      </c>
      <c r="K35" s="74">
        <f t="shared" si="2"/>
        <v>0</v>
      </c>
      <c r="L35" s="74">
        <f t="shared" si="2"/>
        <v>0</v>
      </c>
      <c r="M35" s="74">
        <f t="shared" si="2"/>
        <v>0</v>
      </c>
      <c r="N35" s="74">
        <f t="shared" si="2"/>
        <v>0</v>
      </c>
      <c r="O35" s="75"/>
      <c r="P35" s="61">
        <f>+I33</f>
        <v>0</v>
      </c>
      <c r="Q35" s="62"/>
    </row>
    <row r="36" spans="1:29" ht="18.75">
      <c r="A36" s="6"/>
      <c r="B36" s="59" t="s">
        <v>324</v>
      </c>
      <c r="C36" s="6"/>
      <c r="D36" s="6"/>
      <c r="E36" s="76"/>
      <c r="F36" s="6"/>
      <c r="G36" s="77"/>
      <c r="H36" s="6"/>
      <c r="I36" s="6"/>
      <c r="J36" s="6"/>
      <c r="K36" s="6"/>
      <c r="L36" s="6"/>
      <c r="M36" s="6"/>
      <c r="N36" s="78"/>
      <c r="AC36" s="49"/>
    </row>
    <row r="37" spans="1:14" ht="15.75" thickBot="1">
      <c r="A37" s="6"/>
      <c r="B37" s="6"/>
      <c r="C37" s="6"/>
      <c r="D37" s="6"/>
      <c r="E37" s="6"/>
      <c r="F37" s="6"/>
      <c r="G37" s="6"/>
      <c r="H37" s="6"/>
      <c r="I37" s="6"/>
      <c r="J37" s="6"/>
      <c r="K37" s="6"/>
      <c r="L37" s="6"/>
      <c r="M37" s="6"/>
      <c r="N37" s="79"/>
    </row>
    <row r="38" spans="1:26" ht="30" customHeight="1">
      <c r="A38" s="6"/>
      <c r="B38" s="80" t="s">
        <v>88</v>
      </c>
      <c r="C38" s="81" t="str">
        <f>CONCATENATE("Presupuesto acumulado (en ",'Introducción de datos'!$D$26,")")</f>
        <v>Presupuesto acumulado (en $)</v>
      </c>
      <c r="D38" s="82" t="str">
        <f>CONCATENATE("Gastos acumulados (en ",'Introducción de datos'!$D$26,")")</f>
        <v>Gastos acumulados (en $)</v>
      </c>
      <c r="E38" s="82" t="s">
        <v>351</v>
      </c>
      <c r="F38" s="83"/>
      <c r="G38" s="6"/>
      <c r="H38" s="6"/>
      <c r="I38" s="6"/>
      <c r="J38" s="84"/>
      <c r="K38" s="85"/>
      <c r="N38"/>
      <c r="Y38" s="49"/>
      <c r="Z38" s="5"/>
    </row>
    <row r="39" spans="1:26" ht="14.25" customHeight="1">
      <c r="A39" s="6"/>
      <c r="B39" s="86" t="s">
        <v>319</v>
      </c>
      <c r="C39" s="436">
        <f>450856+22350</f>
        <v>473206</v>
      </c>
      <c r="D39" s="436">
        <f>419370.5+22350</f>
        <v>441720.5</v>
      </c>
      <c r="E39" s="475">
        <f>+D39/C39</f>
        <v>0.9334634387560597</v>
      </c>
      <c r="F39" s="88"/>
      <c r="G39" s="89"/>
      <c r="H39" s="6"/>
      <c r="I39" s="6"/>
      <c r="J39" s="90"/>
      <c r="K39" s="91"/>
      <c r="N39"/>
      <c r="Y39" s="49"/>
      <c r="Z39" s="5"/>
    </row>
    <row r="40" spans="1:26" ht="14.25" customHeight="1">
      <c r="A40" s="6"/>
      <c r="B40" s="86" t="s">
        <v>320</v>
      </c>
      <c r="C40" s="436">
        <f>306471+523689</f>
        <v>830160</v>
      </c>
      <c r="D40" s="436">
        <f>271735.5+380344</f>
        <v>652079.5</v>
      </c>
      <c r="E40" s="475">
        <f>+D40/C40</f>
        <v>0.7854865327165848</v>
      </c>
      <c r="F40" s="88"/>
      <c r="G40" s="89"/>
      <c r="H40" s="6"/>
      <c r="I40" s="6"/>
      <c r="J40" s="6"/>
      <c r="K40" s="91"/>
      <c r="N40"/>
      <c r="Y40" s="49"/>
      <c r="Z40" s="5"/>
    </row>
    <row r="41" spans="1:26" ht="15">
      <c r="A41" s="6"/>
      <c r="B41" s="86" t="s">
        <v>321</v>
      </c>
      <c r="C41" s="436">
        <f>68916+67788</f>
        <v>136704</v>
      </c>
      <c r="D41" s="436">
        <f>65686+37412</f>
        <v>103098</v>
      </c>
      <c r="E41" s="475">
        <f>+D41/C41</f>
        <v>0.7541695926966292</v>
      </c>
      <c r="F41" s="93"/>
      <c r="G41" s="6"/>
      <c r="H41" s="6"/>
      <c r="I41" s="6"/>
      <c r="J41" s="6"/>
      <c r="K41" s="91"/>
      <c r="N41"/>
      <c r="Y41" s="49"/>
      <c r="Z41" s="5"/>
    </row>
    <row r="42" spans="1:26" ht="15" customHeight="1">
      <c r="A42" s="6"/>
      <c r="B42" s="86" t="s">
        <v>322</v>
      </c>
      <c r="C42" s="436">
        <v>71816</v>
      </c>
      <c r="D42" s="436">
        <v>71735</v>
      </c>
      <c r="E42" s="475">
        <f>+D42/C42</f>
        <v>0.9988721176339534</v>
      </c>
      <c r="F42" s="94"/>
      <c r="G42" s="6"/>
      <c r="H42" s="6"/>
      <c r="I42" s="6"/>
      <c r="J42" s="6"/>
      <c r="K42" s="49"/>
      <c r="N42"/>
      <c r="Y42" s="49"/>
      <c r="Z42" s="5"/>
    </row>
    <row r="43" spans="1:26" ht="15">
      <c r="A43" s="6"/>
      <c r="B43" s="86" t="s">
        <v>323</v>
      </c>
      <c r="C43" s="436">
        <f>231977+137</f>
        <v>232114</v>
      </c>
      <c r="D43" s="436">
        <f>224804+137-2000</f>
        <v>222941</v>
      </c>
      <c r="E43" s="475">
        <f>+D43/C43</f>
        <v>0.9604806258993426</v>
      </c>
      <c r="F43" s="95"/>
      <c r="G43" s="6"/>
      <c r="H43" s="6"/>
      <c r="I43" s="6"/>
      <c r="J43" s="6"/>
      <c r="K43" s="49"/>
      <c r="N43"/>
      <c r="Y43" s="49"/>
      <c r="Z43" s="5"/>
    </row>
    <row r="44" spans="1:26" ht="15">
      <c r="A44" s="6"/>
      <c r="B44" s="86" t="s">
        <v>349</v>
      </c>
      <c r="C44" s="87">
        <v>0</v>
      </c>
      <c r="D44" s="96"/>
      <c r="E44" s="476"/>
      <c r="F44" s="97"/>
      <c r="G44" s="6"/>
      <c r="H44" s="6"/>
      <c r="I44" s="6"/>
      <c r="J44" s="6"/>
      <c r="K44" s="49"/>
      <c r="N44"/>
      <c r="Y44" s="49"/>
      <c r="Z44" s="5"/>
    </row>
    <row r="45" spans="1:26" ht="15.75" thickBot="1">
      <c r="A45" s="6"/>
      <c r="B45" s="98"/>
      <c r="C45" s="99"/>
      <c r="D45" s="100"/>
      <c r="E45" s="476"/>
      <c r="F45" s="92"/>
      <c r="G45" s="92"/>
      <c r="H45" s="92"/>
      <c r="I45" s="92"/>
      <c r="J45" s="92"/>
      <c r="K45" s="49"/>
      <c r="N45"/>
      <c r="Y45" s="5"/>
      <c r="Z45" s="5"/>
    </row>
    <row r="46" spans="1:26" ht="15.75" thickBot="1">
      <c r="A46" s="6"/>
      <c r="B46" s="101" t="s">
        <v>89</v>
      </c>
      <c r="C46" s="102">
        <f>SUM(C39:C44)</f>
        <v>1744000</v>
      </c>
      <c r="D46" s="102">
        <f>SUM(D39:D44)</f>
        <v>1491574</v>
      </c>
      <c r="E46" s="477">
        <f>D46/C46</f>
        <v>0.8552603211009174</v>
      </c>
      <c r="F46" s="542" t="str">
        <f ca="1">+IF((ROUND(C46,0)=ROUND(OFFSET(B33,0,RIGHT('Introducción de datos'!$C$16,LEN('Introducción de datos'!$C$16)-1),1,1),0)),"OK: Datos corresponden","Atención: Datos no corresponden")</f>
        <v>OK: Datos corresponden</v>
      </c>
      <c r="G46" s="542"/>
      <c r="H46" s="542"/>
      <c r="I46" s="542"/>
      <c r="J46" s="103"/>
      <c r="K46" s="103"/>
      <c r="L46" s="103"/>
      <c r="M46" s="104"/>
      <c r="N46" s="75"/>
      <c r="Y46" s="5"/>
      <c r="Z46" s="5"/>
    </row>
    <row r="47" spans="1:17" ht="15">
      <c r="A47" s="6"/>
      <c r="B47" s="105" t="s">
        <v>325</v>
      </c>
      <c r="C47" s="103"/>
      <c r="D47" s="103"/>
      <c r="E47" s="106"/>
      <c r="F47" s="103"/>
      <c r="G47" s="103"/>
      <c r="H47" s="103"/>
      <c r="I47" s="103"/>
      <c r="J47" s="103"/>
      <c r="K47" s="103"/>
      <c r="L47" s="103"/>
      <c r="M47" s="103"/>
      <c r="N47" s="103"/>
      <c r="O47" s="75"/>
      <c r="P47" s="61"/>
      <c r="Q47" s="62"/>
    </row>
    <row r="48" spans="1:17" ht="18.75">
      <c r="A48" s="6"/>
      <c r="B48" s="59" t="s">
        <v>90</v>
      </c>
      <c r="C48" s="6"/>
      <c r="D48" s="6"/>
      <c r="E48" s="6"/>
      <c r="F48" s="6"/>
      <c r="G48" s="6"/>
      <c r="H48" s="6"/>
      <c r="I48" s="6"/>
      <c r="J48" s="6"/>
      <c r="K48" s="6"/>
      <c r="L48" s="6"/>
      <c r="M48" s="6"/>
      <c r="O48" s="60"/>
      <c r="P48" s="61">
        <f>+J33</f>
        <v>0</v>
      </c>
      <c r="Q48" s="62"/>
    </row>
    <row r="49" spans="1:17" ht="15.75" thickBot="1">
      <c r="A49" s="6"/>
      <c r="B49" s="6"/>
      <c r="C49" s="471"/>
      <c r="D49" s="6"/>
      <c r="E49" s="6"/>
      <c r="F49" s="6"/>
      <c r="G49" s="6"/>
      <c r="H49" s="6"/>
      <c r="I49" s="6"/>
      <c r="J49" s="6"/>
      <c r="K49" s="6"/>
      <c r="L49" s="6"/>
      <c r="M49" s="6"/>
      <c r="O49" s="60"/>
      <c r="P49" s="61">
        <f>+K33</f>
        <v>0</v>
      </c>
      <c r="Q49" s="62"/>
    </row>
    <row r="50" spans="1:28" ht="35.25" customHeight="1">
      <c r="A50" s="6"/>
      <c r="B50" s="107"/>
      <c r="C50" s="108" t="s">
        <v>91</v>
      </c>
      <c r="D50" s="108" t="s">
        <v>92</v>
      </c>
      <c r="E50" s="109" t="str">
        <f>CONCATENATE("Total gastado y desembolso (en ",D26,")")</f>
        <v>Total gastado y desembolso (en $)</v>
      </c>
      <c r="F50" s="6"/>
      <c r="G50" s="110"/>
      <c r="H50" s="83"/>
      <c r="I50" s="111"/>
      <c r="J50" s="111"/>
      <c r="K50" s="111"/>
      <c r="L50" s="111"/>
      <c r="M50" s="112"/>
      <c r="N50" s="112"/>
      <c r="O50" s="61">
        <f>+M33</f>
        <v>0</v>
      </c>
      <c r="P50" s="62"/>
      <c r="AB50" s="49"/>
    </row>
    <row r="51" spans="1:28" ht="15">
      <c r="A51" s="6"/>
      <c r="B51" s="437" t="s">
        <v>326</v>
      </c>
      <c r="C51" s="473">
        <v>1576540</v>
      </c>
      <c r="D51" s="436">
        <f>+E32</f>
        <v>217471.28</v>
      </c>
      <c r="E51" s="113">
        <f>+D51+C51</f>
        <v>1794011.28</v>
      </c>
      <c r="F51" s="6"/>
      <c r="G51" s="114"/>
      <c r="H51" s="115"/>
      <c r="I51" s="116"/>
      <c r="J51" s="117"/>
      <c r="K51" s="117"/>
      <c r="L51" s="118"/>
      <c r="M51" s="118"/>
      <c r="N51" s="118"/>
      <c r="O51" s="62"/>
      <c r="P51" s="62"/>
      <c r="AB51" s="49"/>
    </row>
    <row r="52" spans="1:28" ht="15">
      <c r="A52" s="6"/>
      <c r="B52" s="437" t="s">
        <v>346</v>
      </c>
      <c r="C52" s="473">
        <v>21056.29</v>
      </c>
      <c r="D52" s="436">
        <v>10395.97</v>
      </c>
      <c r="E52" s="113">
        <f>+D52+C52</f>
        <v>31452.260000000002</v>
      </c>
      <c r="F52" s="6"/>
      <c r="G52" s="114"/>
      <c r="H52" s="115"/>
      <c r="I52" s="116"/>
      <c r="J52" s="117"/>
      <c r="K52" s="117"/>
      <c r="L52" s="118"/>
      <c r="M52" s="118"/>
      <c r="N52" s="118"/>
      <c r="O52" s="62"/>
      <c r="P52" s="62"/>
      <c r="AB52" s="49"/>
    </row>
    <row r="53" spans="1:28" ht="15">
      <c r="A53" s="6"/>
      <c r="B53" s="437" t="s">
        <v>327</v>
      </c>
      <c r="C53" s="473">
        <v>872712.7</v>
      </c>
      <c r="D53" s="436">
        <f>620861.3-2000</f>
        <v>618861.3</v>
      </c>
      <c r="E53" s="113">
        <f>+D53+C53</f>
        <v>1491574</v>
      </c>
      <c r="F53" s="471"/>
      <c r="G53" s="471"/>
      <c r="H53" s="115"/>
      <c r="I53" s="116"/>
      <c r="J53" s="117"/>
      <c r="K53" s="117"/>
      <c r="L53" s="118"/>
      <c r="M53" s="120"/>
      <c r="N53" s="120"/>
      <c r="O53" s="62"/>
      <c r="P53" s="62"/>
      <c r="AB53" s="49"/>
    </row>
    <row r="54" spans="1:28" ht="15">
      <c r="A54" s="6"/>
      <c r="B54" s="437" t="s">
        <v>328</v>
      </c>
      <c r="C54" s="473"/>
      <c r="D54" s="436">
        <v>2000</v>
      </c>
      <c r="E54" s="113">
        <f>+D54+C54</f>
        <v>2000</v>
      </c>
      <c r="F54" s="6"/>
      <c r="G54" s="119"/>
      <c r="H54" s="115"/>
      <c r="I54" s="116"/>
      <c r="J54" s="117"/>
      <c r="K54" s="117"/>
      <c r="L54" s="118"/>
      <c r="M54" s="120"/>
      <c r="N54" s="120"/>
      <c r="O54" s="62"/>
      <c r="P54" s="62"/>
      <c r="AB54" s="49"/>
    </row>
    <row r="55" spans="1:28" ht="15.75" thickBot="1">
      <c r="A55" s="6"/>
      <c r="B55" s="438" t="s">
        <v>350</v>
      </c>
      <c r="C55" s="474">
        <v>725493.11</v>
      </c>
      <c r="D55" s="439">
        <f>+C55+D51+D52-D53</f>
        <v>334499.05999999994</v>
      </c>
      <c r="E55" s="121">
        <f>+D55+C55</f>
        <v>1059992.17</v>
      </c>
      <c r="F55" s="6"/>
      <c r="G55" s="119"/>
      <c r="H55" s="115"/>
      <c r="I55" s="116"/>
      <c r="J55" s="117"/>
      <c r="K55" s="117"/>
      <c r="L55" s="118"/>
      <c r="M55" s="120"/>
      <c r="N55" s="120"/>
      <c r="O55" s="62"/>
      <c r="P55" s="62"/>
      <c r="AB55" s="49"/>
    </row>
    <row r="56" spans="1:17" ht="18.75">
      <c r="A56" s="6"/>
      <c r="B56" s="59"/>
      <c r="C56" s="6"/>
      <c r="D56" s="6"/>
      <c r="E56" s="472"/>
      <c r="F56" s="6"/>
      <c r="G56" s="6"/>
      <c r="H56" s="6"/>
      <c r="I56" s="6"/>
      <c r="J56" s="6"/>
      <c r="K56" s="6"/>
      <c r="L56" s="6"/>
      <c r="M56" s="6"/>
      <c r="O56" s="60"/>
      <c r="P56" s="61"/>
      <c r="Q56" s="62"/>
    </row>
    <row r="57" spans="1:13" ht="18.75">
      <c r="A57" s="6"/>
      <c r="B57" s="59" t="s">
        <v>93</v>
      </c>
      <c r="C57" s="6"/>
      <c r="D57" s="122"/>
      <c r="E57" s="6"/>
      <c r="F57" s="6"/>
      <c r="G57" s="6"/>
      <c r="H57" s="6"/>
      <c r="I57" s="6"/>
      <c r="J57" s="6"/>
      <c r="K57" s="6"/>
      <c r="L57" s="6"/>
      <c r="M57" s="6"/>
    </row>
    <row r="58" spans="1:13" ht="15.75" thickBot="1">
      <c r="A58" s="6"/>
      <c r="B58" s="6"/>
      <c r="C58" s="468"/>
      <c r="D58" s="6"/>
      <c r="E58" s="6"/>
      <c r="F58" s="6"/>
      <c r="G58" s="6"/>
      <c r="H58" s="6"/>
      <c r="I58" s="6"/>
      <c r="J58" s="6"/>
      <c r="K58" s="6"/>
      <c r="L58" s="6"/>
      <c r="M58" s="6"/>
    </row>
    <row r="59" spans="1:13" ht="14.25" customHeight="1">
      <c r="A59" s="6"/>
      <c r="B59" s="543" t="s">
        <v>94</v>
      </c>
      <c r="C59" s="543"/>
      <c r="D59" s="543"/>
      <c r="E59" s="6"/>
      <c r="F59" s="6"/>
      <c r="G59" s="6"/>
      <c r="H59" s="6"/>
      <c r="I59" s="6"/>
      <c r="J59" s="6"/>
      <c r="K59" s="6"/>
      <c r="L59" s="6"/>
      <c r="M59" s="5"/>
    </row>
    <row r="60" spans="1:13" ht="15">
      <c r="A60" s="6"/>
      <c r="B60" s="123"/>
      <c r="C60" s="124" t="s">
        <v>95</v>
      </c>
      <c r="D60" s="125" t="s">
        <v>96</v>
      </c>
      <c r="E60" s="6"/>
      <c r="F60" s="6"/>
      <c r="G60" s="6"/>
      <c r="H60" s="6"/>
      <c r="I60" s="6"/>
      <c r="J60" s="6"/>
      <c r="K60" s="6"/>
      <c r="L60" s="6"/>
      <c r="M60" s="5"/>
    </row>
    <row r="61" spans="1:13" ht="15">
      <c r="A61" s="6"/>
      <c r="B61" s="126" t="s">
        <v>97</v>
      </c>
      <c r="C61" s="127">
        <v>60</v>
      </c>
      <c r="D61" s="128">
        <v>60</v>
      </c>
      <c r="E61" s="6"/>
      <c r="F61" s="6"/>
      <c r="G61" s="6"/>
      <c r="H61" s="6"/>
      <c r="I61" s="6"/>
      <c r="J61" s="6"/>
      <c r="K61" s="6"/>
      <c r="L61" s="6"/>
      <c r="M61" s="5"/>
    </row>
    <row r="62" spans="1:13" ht="15">
      <c r="A62" s="6"/>
      <c r="B62" s="129" t="s">
        <v>98</v>
      </c>
      <c r="C62" s="127">
        <v>0</v>
      </c>
      <c r="D62" s="128">
        <v>0</v>
      </c>
      <c r="E62" s="6"/>
      <c r="F62" s="6"/>
      <c r="G62" s="6"/>
      <c r="H62" s="115"/>
      <c r="I62" s="115"/>
      <c r="J62" s="6"/>
      <c r="K62" s="6"/>
      <c r="L62" s="6"/>
      <c r="M62" s="5"/>
    </row>
    <row r="63" spans="1:13" ht="15.75" thickBot="1">
      <c r="A63" s="6"/>
      <c r="B63" s="130"/>
      <c r="C63" s="131"/>
      <c r="D63" s="132"/>
      <c r="E63" s="6"/>
      <c r="F63" s="6"/>
      <c r="G63" s="6"/>
      <c r="H63" s="115"/>
      <c r="I63" s="115"/>
      <c r="J63" s="6"/>
      <c r="K63" s="6"/>
      <c r="L63" s="6"/>
      <c r="M63" s="5"/>
    </row>
    <row r="64" spans="1:13" ht="15">
      <c r="A64" s="6"/>
      <c r="B64" s="133"/>
      <c r="C64" s="6"/>
      <c r="D64" s="6"/>
      <c r="E64" s="6"/>
      <c r="F64" s="6"/>
      <c r="G64" s="6"/>
      <c r="H64" s="6"/>
      <c r="I64" s="6"/>
      <c r="J64" s="6"/>
      <c r="K64" s="6"/>
      <c r="L64" s="6"/>
      <c r="M64" s="6"/>
    </row>
    <row r="65" spans="1:24" ht="15.75" thickBot="1">
      <c r="A65" s="6"/>
      <c r="B65" s="6"/>
      <c r="C65" s="6"/>
      <c r="D65" s="6"/>
      <c r="E65" s="6"/>
      <c r="F65" s="6"/>
      <c r="G65" s="6"/>
      <c r="H65" s="6"/>
      <c r="I65" s="6"/>
      <c r="J65" s="6"/>
      <c r="K65" s="6"/>
      <c r="L65" s="134"/>
      <c r="M65" s="6"/>
      <c r="W65" s="10"/>
      <c r="X65" s="10"/>
    </row>
    <row r="66" spans="1:24" ht="19.5" thickBot="1">
      <c r="A66" s="6"/>
      <c r="B66" s="135" t="s">
        <v>99</v>
      </c>
      <c r="C66" s="136"/>
      <c r="D66" s="136"/>
      <c r="E66" s="136"/>
      <c r="F66" s="136"/>
      <c r="G66" s="136"/>
      <c r="H66" s="137" t="s">
        <v>100</v>
      </c>
      <c r="I66" s="136"/>
      <c r="J66" s="138"/>
      <c r="K66" s="138"/>
      <c r="L66" s="139"/>
      <c r="M66" s="140"/>
      <c r="N66" s="141"/>
      <c r="Q66" s="54"/>
      <c r="W66" s="10"/>
      <c r="X66" s="10"/>
    </row>
    <row r="67" spans="1:24" ht="18.75">
      <c r="A67" s="6"/>
      <c r="B67" s="142"/>
      <c r="C67" s="143"/>
      <c r="D67" s="143"/>
      <c r="E67" s="143"/>
      <c r="F67" s="143"/>
      <c r="G67" s="143"/>
      <c r="H67" s="143"/>
      <c r="I67" s="143"/>
      <c r="J67" s="143"/>
      <c r="K67" s="144"/>
      <c r="L67" s="144"/>
      <c r="M67" s="143"/>
      <c r="N67" s="141"/>
      <c r="Q67" s="54"/>
      <c r="W67" s="10"/>
      <c r="X67" s="10"/>
    </row>
    <row r="68" spans="1:24" ht="18.75">
      <c r="A68" s="6"/>
      <c r="B68" s="142" t="s">
        <v>101</v>
      </c>
      <c r="C68" s="143"/>
      <c r="D68" s="143"/>
      <c r="E68" s="143"/>
      <c r="F68" s="143"/>
      <c r="G68" s="143"/>
      <c r="H68" s="143"/>
      <c r="I68" s="143"/>
      <c r="J68" s="143"/>
      <c r="K68" s="144"/>
      <c r="L68" s="144"/>
      <c r="M68" s="143"/>
      <c r="N68" s="141"/>
      <c r="Q68" s="54"/>
      <c r="W68" s="10"/>
      <c r="X68" s="10"/>
    </row>
    <row r="69" spans="1:24" ht="15.75" thickBot="1">
      <c r="A69" s="6"/>
      <c r="B69" s="145"/>
      <c r="C69" s="146"/>
      <c r="D69" s="146"/>
      <c r="E69" s="146"/>
      <c r="F69" s="146"/>
      <c r="G69" s="146"/>
      <c r="H69" s="145"/>
      <c r="I69" s="146"/>
      <c r="J69" s="145"/>
      <c r="K69" s="145"/>
      <c r="L69" s="145"/>
      <c r="M69" s="145"/>
      <c r="N69" s="49"/>
      <c r="O69" s="10"/>
      <c r="P69" s="10"/>
      <c r="Q69" s="10"/>
      <c r="X69" s="10"/>
    </row>
    <row r="70" spans="1:17" ht="75">
      <c r="A70" s="6"/>
      <c r="B70" s="544"/>
      <c r="C70" s="544"/>
      <c r="D70" s="147" t="s">
        <v>102</v>
      </c>
      <c r="E70" s="148" t="s">
        <v>103</v>
      </c>
      <c r="F70" s="148" t="s">
        <v>104</v>
      </c>
      <c r="G70" s="148" t="s">
        <v>105</v>
      </c>
      <c r="H70" s="149" t="s">
        <v>89</v>
      </c>
      <c r="I70" s="150"/>
      <c r="J70" s="92"/>
      <c r="K70" s="145"/>
      <c r="L70" s="145"/>
      <c r="M70" s="145"/>
      <c r="N70" s="49"/>
      <c r="O70" s="10"/>
      <c r="P70" s="10"/>
      <c r="Q70" s="10"/>
    </row>
    <row r="71" spans="1:17" ht="15">
      <c r="A71" s="6"/>
      <c r="B71" s="545" t="s">
        <v>106</v>
      </c>
      <c r="C71" s="545"/>
      <c r="D71" s="152">
        <v>0</v>
      </c>
      <c r="E71" s="153">
        <v>0</v>
      </c>
      <c r="F71" s="153">
        <v>0</v>
      </c>
      <c r="G71" s="153">
        <v>0</v>
      </c>
      <c r="H71" s="154">
        <f>SUM(E71:G71)</f>
        <v>0</v>
      </c>
      <c r="I71" s="155"/>
      <c r="J71" s="155"/>
      <c r="K71" s="145"/>
      <c r="L71" s="145"/>
      <c r="M71" s="145"/>
      <c r="N71" s="49"/>
      <c r="O71" s="10"/>
      <c r="P71" s="10"/>
      <c r="Q71" s="10"/>
    </row>
    <row r="72" spans="1:17" ht="15.75" thickBot="1">
      <c r="A72" s="6"/>
      <c r="B72" s="546" t="s">
        <v>107</v>
      </c>
      <c r="C72" s="546"/>
      <c r="D72" s="157"/>
      <c r="E72" s="158"/>
      <c r="F72" s="158"/>
      <c r="G72" s="158"/>
      <c r="H72" s="159">
        <f>SUM(E72:G72)</f>
        <v>0</v>
      </c>
      <c r="I72" s="92"/>
      <c r="J72" s="92"/>
      <c r="K72" s="145"/>
      <c r="L72" s="145"/>
      <c r="M72" s="145"/>
      <c r="N72" s="10"/>
      <c r="O72" s="10"/>
      <c r="P72" s="10"/>
      <c r="Q72" s="10"/>
    </row>
    <row r="73" spans="1:17" ht="15">
      <c r="A73" s="6"/>
      <c r="B73" s="145"/>
      <c r="C73" s="145"/>
      <c r="D73" s="145"/>
      <c r="E73" s="145"/>
      <c r="F73" s="145"/>
      <c r="G73" s="145"/>
      <c r="H73" s="145"/>
      <c r="I73" s="145"/>
      <c r="J73" s="145"/>
      <c r="K73" s="145"/>
      <c r="L73" s="145"/>
      <c r="M73" s="145"/>
      <c r="N73" s="10"/>
      <c r="O73" s="10"/>
      <c r="P73" s="10"/>
      <c r="Q73" s="10"/>
    </row>
    <row r="74" spans="1:17" ht="15">
      <c r="A74" s="6"/>
      <c r="B74" s="145"/>
      <c r="C74" s="145"/>
      <c r="D74" s="145"/>
      <c r="E74" s="145"/>
      <c r="F74" s="145"/>
      <c r="G74" s="145"/>
      <c r="H74" s="145"/>
      <c r="I74" s="145"/>
      <c r="J74" s="145"/>
      <c r="K74" s="145"/>
      <c r="L74" s="145"/>
      <c r="M74" s="145"/>
      <c r="N74" s="10"/>
      <c r="Q74" s="10"/>
    </row>
    <row r="75" spans="1:17" ht="18.75">
      <c r="A75" s="6"/>
      <c r="B75" s="142" t="s">
        <v>108</v>
      </c>
      <c r="C75" s="145"/>
      <c r="D75" s="145"/>
      <c r="E75" s="145"/>
      <c r="F75" s="145"/>
      <c r="G75" s="145"/>
      <c r="H75" s="145"/>
      <c r="I75" s="145"/>
      <c r="J75" s="145"/>
      <c r="K75" s="145"/>
      <c r="L75" s="145"/>
      <c r="M75" s="145"/>
      <c r="N75" s="10"/>
      <c r="Q75" s="10"/>
    </row>
    <row r="76" spans="1:17" ht="15.75" thickBot="1">
      <c r="A76" s="6"/>
      <c r="B76" s="145"/>
      <c r="C76" s="145"/>
      <c r="D76" s="145"/>
      <c r="E76" s="145"/>
      <c r="F76" s="145"/>
      <c r="G76" s="145"/>
      <c r="H76" s="145"/>
      <c r="I76" s="145"/>
      <c r="J76" s="145"/>
      <c r="K76" s="145"/>
      <c r="L76" s="145"/>
      <c r="M76" s="145"/>
      <c r="N76" s="10"/>
      <c r="Q76" s="10"/>
    </row>
    <row r="77" spans="1:17" ht="15">
      <c r="A77" s="6"/>
      <c r="B77" s="160"/>
      <c r="C77" s="161" t="s">
        <v>109</v>
      </c>
      <c r="D77" s="161" t="s">
        <v>110</v>
      </c>
      <c r="E77" s="162" t="s">
        <v>111</v>
      </c>
      <c r="F77" s="92"/>
      <c r="G77" s="92"/>
      <c r="H77" s="92"/>
      <c r="I77" s="150"/>
      <c r="J77" s="145"/>
      <c r="K77" s="145"/>
      <c r="L77" s="145"/>
      <c r="M77" s="145"/>
      <c r="N77" s="10"/>
      <c r="Q77" s="10"/>
    </row>
    <row r="78" spans="1:17" ht="15.75" thickBot="1">
      <c r="A78" s="6"/>
      <c r="B78" s="156" t="s">
        <v>112</v>
      </c>
      <c r="C78" s="163">
        <v>0</v>
      </c>
      <c r="D78" s="163">
        <v>0</v>
      </c>
      <c r="E78" s="164">
        <f>+C78-D78</f>
        <v>0</v>
      </c>
      <c r="F78" s="165"/>
      <c r="G78" s="166"/>
      <c r="H78" s="92"/>
      <c r="I78" s="155"/>
      <c r="J78" s="145"/>
      <c r="K78" s="145"/>
      <c r="L78" s="145"/>
      <c r="M78" s="145"/>
      <c r="N78" s="10"/>
      <c r="Q78" s="10"/>
    </row>
    <row r="79" spans="1:17" ht="15">
      <c r="A79" s="6"/>
      <c r="B79" s="167"/>
      <c r="C79" s="145"/>
      <c r="D79" s="145"/>
      <c r="E79" s="145"/>
      <c r="F79" s="145"/>
      <c r="G79" s="145"/>
      <c r="H79" s="145"/>
      <c r="I79" s="145"/>
      <c r="J79" s="145"/>
      <c r="K79" s="145"/>
      <c r="L79" s="145"/>
      <c r="M79" s="145"/>
      <c r="N79" s="10"/>
      <c r="Q79" s="10"/>
    </row>
    <row r="80" spans="1:17" ht="18.75">
      <c r="A80" s="6"/>
      <c r="B80" s="142" t="s">
        <v>329</v>
      </c>
      <c r="C80" s="145"/>
      <c r="D80" s="145"/>
      <c r="E80" s="145"/>
      <c r="F80" s="145"/>
      <c r="G80" s="145"/>
      <c r="H80" s="145"/>
      <c r="I80" s="145"/>
      <c r="J80" s="145"/>
      <c r="K80" s="145"/>
      <c r="L80" s="145"/>
      <c r="M80" s="145"/>
      <c r="N80" s="10"/>
      <c r="Q80" s="10"/>
    </row>
    <row r="81" spans="1:17" ht="15.75" thickBot="1">
      <c r="A81" s="6"/>
      <c r="B81" s="145"/>
      <c r="C81" s="145"/>
      <c r="D81" s="145"/>
      <c r="E81" s="145"/>
      <c r="F81" s="145"/>
      <c r="G81" s="145"/>
      <c r="H81" s="145"/>
      <c r="I81" s="145"/>
      <c r="J81" s="145"/>
      <c r="K81" s="145"/>
      <c r="L81" s="145"/>
      <c r="M81" s="145"/>
      <c r="N81" s="10"/>
      <c r="Q81" s="10"/>
    </row>
    <row r="82" spans="1:17" ht="30">
      <c r="A82" s="6"/>
      <c r="B82" s="160"/>
      <c r="C82" s="161" t="s">
        <v>113</v>
      </c>
      <c r="D82" s="161" t="s">
        <v>114</v>
      </c>
      <c r="E82" s="161" t="s">
        <v>115</v>
      </c>
      <c r="F82" s="161" t="s">
        <v>116</v>
      </c>
      <c r="G82" s="168" t="s">
        <v>117</v>
      </c>
      <c r="H82" s="169"/>
      <c r="I82" s="150"/>
      <c r="J82" s="145"/>
      <c r="K82" s="145"/>
      <c r="L82" s="145"/>
      <c r="M82" s="145"/>
      <c r="N82" s="10"/>
      <c r="Q82" s="10"/>
    </row>
    <row r="83" spans="1:17" ht="15.75" thickBot="1">
      <c r="A83" s="6"/>
      <c r="B83" s="156" t="s">
        <v>118</v>
      </c>
      <c r="C83" s="163">
        <v>0</v>
      </c>
      <c r="D83" s="163">
        <v>0</v>
      </c>
      <c r="E83" s="163">
        <v>0</v>
      </c>
      <c r="F83" s="170">
        <v>0</v>
      </c>
      <c r="G83" s="171">
        <v>0</v>
      </c>
      <c r="H83" s="172"/>
      <c r="I83" s="95"/>
      <c r="J83" s="145"/>
      <c r="K83" s="145"/>
      <c r="L83" s="145"/>
      <c r="M83" s="145"/>
      <c r="N83" s="10"/>
      <c r="Q83" s="10"/>
    </row>
    <row r="84" spans="1:17" ht="15">
      <c r="A84" s="6"/>
      <c r="B84" s="173"/>
      <c r="C84" s="145"/>
      <c r="D84" s="145"/>
      <c r="E84" s="145"/>
      <c r="F84" s="145"/>
      <c r="G84" s="145"/>
      <c r="H84" s="145"/>
      <c r="J84" s="145"/>
      <c r="K84" s="145"/>
      <c r="L84" s="145"/>
      <c r="M84" s="145"/>
      <c r="N84" s="10"/>
      <c r="Q84" s="10"/>
    </row>
    <row r="85" spans="1:17" ht="18.75">
      <c r="A85" s="6"/>
      <c r="B85" s="142" t="s">
        <v>330</v>
      </c>
      <c r="C85" s="145"/>
      <c r="D85" s="145"/>
      <c r="E85" s="145"/>
      <c r="F85" s="145"/>
      <c r="G85" s="145"/>
      <c r="H85" s="145"/>
      <c r="I85" s="145"/>
      <c r="J85" s="145"/>
      <c r="K85" s="145"/>
      <c r="L85" s="145"/>
      <c r="M85" s="145"/>
      <c r="N85" s="10"/>
      <c r="Q85" s="10"/>
    </row>
    <row r="86" spans="1:17" ht="15.75" thickBot="1">
      <c r="A86" s="6"/>
      <c r="B86" s="145"/>
      <c r="C86" s="145"/>
      <c r="D86" s="145"/>
      <c r="E86" s="145"/>
      <c r="F86" s="145"/>
      <c r="G86" s="145"/>
      <c r="H86" s="145"/>
      <c r="I86" s="145"/>
      <c r="J86" s="145"/>
      <c r="K86" s="145"/>
      <c r="L86" s="145"/>
      <c r="M86" s="145"/>
      <c r="N86" s="10"/>
      <c r="Q86" s="10"/>
    </row>
    <row r="87" spans="1:30" ht="15">
      <c r="A87" s="6"/>
      <c r="B87" s="160"/>
      <c r="C87" s="174" t="s">
        <v>119</v>
      </c>
      <c r="D87" s="174" t="s">
        <v>120</v>
      </c>
      <c r="E87" s="175" t="s">
        <v>121</v>
      </c>
      <c r="F87" s="145"/>
      <c r="G87" s="145"/>
      <c r="H87" s="145"/>
      <c r="I87" s="145"/>
      <c r="J87" s="10"/>
      <c r="K87" s="10"/>
      <c r="L87" s="10"/>
      <c r="N87"/>
      <c r="AA87" s="5"/>
      <c r="AD87"/>
    </row>
    <row r="88" spans="1:30" ht="15">
      <c r="A88" s="6"/>
      <c r="B88" s="151" t="s">
        <v>122</v>
      </c>
      <c r="C88" s="152">
        <v>0</v>
      </c>
      <c r="D88" s="176"/>
      <c r="E88" s="177">
        <f>C88-D88</f>
        <v>0</v>
      </c>
      <c r="F88" s="145"/>
      <c r="G88" s="145"/>
      <c r="H88" s="145"/>
      <c r="I88" s="145"/>
      <c r="J88" s="10"/>
      <c r="K88" s="10"/>
      <c r="L88" s="10"/>
      <c r="N88"/>
      <c r="AA88" s="5"/>
      <c r="AD88"/>
    </row>
    <row r="89" spans="1:30" ht="15.75" thickBot="1">
      <c r="A89" s="6"/>
      <c r="B89" s="156" t="s">
        <v>123</v>
      </c>
      <c r="C89" s="178">
        <v>0</v>
      </c>
      <c r="D89" s="179"/>
      <c r="E89" s="177">
        <f>C89-D89</f>
        <v>0</v>
      </c>
      <c r="F89" s="145"/>
      <c r="G89" s="145"/>
      <c r="H89" s="145"/>
      <c r="I89" s="145"/>
      <c r="J89" s="10"/>
      <c r="K89" s="10"/>
      <c r="L89" s="10"/>
      <c r="N89"/>
      <c r="AA89" s="5"/>
      <c r="AD89"/>
    </row>
    <row r="90" spans="1:17" ht="15">
      <c r="A90" s="6"/>
      <c r="B90" s="180"/>
      <c r="C90" s="145"/>
      <c r="D90" s="145"/>
      <c r="E90" s="145"/>
      <c r="F90" s="145"/>
      <c r="G90" s="145"/>
      <c r="H90" s="145"/>
      <c r="I90" s="145"/>
      <c r="J90" s="145"/>
      <c r="K90" s="145"/>
      <c r="L90" s="145"/>
      <c r="M90" s="145"/>
      <c r="N90" s="10"/>
      <c r="Q90" s="10"/>
    </row>
    <row r="91" spans="1:17" ht="18.75">
      <c r="A91" s="6"/>
      <c r="B91" s="142" t="s">
        <v>124</v>
      </c>
      <c r="C91" s="145"/>
      <c r="D91" s="145"/>
      <c r="E91" s="145"/>
      <c r="F91" s="145"/>
      <c r="G91" s="145"/>
      <c r="H91" s="145"/>
      <c r="I91" s="145"/>
      <c r="J91" s="145"/>
      <c r="K91" s="145"/>
      <c r="L91" s="145"/>
      <c r="M91" s="145"/>
      <c r="N91" s="10"/>
      <c r="Q91" s="10"/>
    </row>
    <row r="92" spans="1:17" ht="15.75" thickBot="1">
      <c r="A92" s="6"/>
      <c r="B92" s="145"/>
      <c r="C92" s="145"/>
      <c r="D92" s="145"/>
      <c r="E92" s="145"/>
      <c r="F92" s="145"/>
      <c r="G92" s="145"/>
      <c r="H92" s="145"/>
      <c r="I92" s="92"/>
      <c r="J92" s="92"/>
      <c r="K92" s="92"/>
      <c r="L92" s="92"/>
      <c r="M92" s="92"/>
      <c r="N92" s="49"/>
      <c r="Q92" s="10"/>
    </row>
    <row r="93" spans="1:17" ht="15">
      <c r="A93" s="6"/>
      <c r="B93" s="181"/>
      <c r="C93" s="182" t="s">
        <v>59</v>
      </c>
      <c r="D93" s="182" t="s">
        <v>75</v>
      </c>
      <c r="E93" s="182" t="s">
        <v>76</v>
      </c>
      <c r="F93" s="182" t="s">
        <v>77</v>
      </c>
      <c r="G93" s="182" t="s">
        <v>78</v>
      </c>
      <c r="H93" s="182" t="s">
        <v>79</v>
      </c>
      <c r="I93" s="182" t="s">
        <v>80</v>
      </c>
      <c r="J93" s="182" t="s">
        <v>81</v>
      </c>
      <c r="K93" s="182" t="s">
        <v>82</v>
      </c>
      <c r="L93" s="182" t="s">
        <v>83</v>
      </c>
      <c r="M93" s="182" t="s">
        <v>84</v>
      </c>
      <c r="N93" s="183" t="s">
        <v>85</v>
      </c>
      <c r="Q93" s="10"/>
    </row>
    <row r="94" spans="1:17" ht="15" customHeight="1">
      <c r="A94" s="6"/>
      <c r="B94" s="184" t="s">
        <v>125</v>
      </c>
      <c r="C94" s="483">
        <v>42577.5</v>
      </c>
      <c r="D94" s="484">
        <v>117207.79999999999</v>
      </c>
      <c r="E94" s="484">
        <v>201778.16</v>
      </c>
      <c r="F94" s="484"/>
      <c r="G94" s="185"/>
      <c r="H94" s="185"/>
      <c r="I94" s="185"/>
      <c r="J94" s="185"/>
      <c r="K94" s="186"/>
      <c r="L94" s="186"/>
      <c r="M94" s="186"/>
      <c r="N94" s="186"/>
      <c r="Q94" s="10"/>
    </row>
    <row r="95" spans="1:17" ht="15" customHeight="1">
      <c r="A95" s="6"/>
      <c r="B95" s="184" t="s">
        <v>126</v>
      </c>
      <c r="C95" s="483"/>
      <c r="D95" s="484"/>
      <c r="E95" s="484">
        <v>0</v>
      </c>
      <c r="F95" s="484"/>
      <c r="G95" s="185"/>
      <c r="H95" s="185"/>
      <c r="I95" s="185"/>
      <c r="J95" s="185"/>
      <c r="K95" s="186"/>
      <c r="L95" s="186"/>
      <c r="M95" s="186"/>
      <c r="N95" s="186"/>
      <c r="Q95" s="10"/>
    </row>
    <row r="96" spans="1:17" ht="15" customHeight="1">
      <c r="A96" s="6"/>
      <c r="B96" s="184" t="s">
        <v>127</v>
      </c>
      <c r="C96" s="484">
        <v>42577.5</v>
      </c>
      <c r="D96" s="484">
        <v>117207.79999999999</v>
      </c>
      <c r="E96" s="484">
        <v>64488.16</v>
      </c>
      <c r="F96" s="484"/>
      <c r="G96" s="185"/>
      <c r="H96" s="185"/>
      <c r="I96" s="185"/>
      <c r="J96" s="185"/>
      <c r="K96" s="186"/>
      <c r="L96" s="186"/>
      <c r="M96" s="186"/>
      <c r="N96" s="186"/>
      <c r="Q96" s="10"/>
    </row>
    <row r="97" spans="1:17" ht="15" customHeight="1">
      <c r="A97" s="6"/>
      <c r="B97" s="187" t="s">
        <v>128</v>
      </c>
      <c r="C97" s="485">
        <v>42577.5</v>
      </c>
      <c r="D97" s="485">
        <f>+C94+D94</f>
        <v>159785.3</v>
      </c>
      <c r="E97" s="485">
        <f>+D97+E94</f>
        <v>361563.45999999996</v>
      </c>
      <c r="F97" s="485"/>
      <c r="G97" s="440"/>
      <c r="H97" s="440"/>
      <c r="I97" s="440"/>
      <c r="J97" s="440"/>
      <c r="K97" s="440"/>
      <c r="L97" s="440">
        <f aca="true" t="shared" si="3" ref="L97:N99">+K97+L94</f>
        <v>0</v>
      </c>
      <c r="M97" s="441">
        <f t="shared" si="3"/>
        <v>0</v>
      </c>
      <c r="N97" s="441">
        <f t="shared" si="3"/>
        <v>0</v>
      </c>
      <c r="Q97" s="10"/>
    </row>
    <row r="98" spans="1:17" ht="15" customHeight="1">
      <c r="A98" s="6"/>
      <c r="B98" s="187" t="s">
        <v>129</v>
      </c>
      <c r="C98" s="485">
        <f>C95</f>
        <v>0</v>
      </c>
      <c r="D98" s="485">
        <f>+C98+D95</f>
        <v>0</v>
      </c>
      <c r="E98" s="485">
        <f>+D98+E95</f>
        <v>0</v>
      </c>
      <c r="F98" s="485"/>
      <c r="G98" s="440"/>
      <c r="H98" s="440"/>
      <c r="I98" s="440"/>
      <c r="J98" s="440"/>
      <c r="K98" s="440"/>
      <c r="L98" s="440">
        <f t="shared" si="3"/>
        <v>0</v>
      </c>
      <c r="M98" s="441">
        <f t="shared" si="3"/>
        <v>0</v>
      </c>
      <c r="N98" s="441">
        <f t="shared" si="3"/>
        <v>0</v>
      </c>
      <c r="Q98" s="10"/>
    </row>
    <row r="99" spans="1:17" ht="15">
      <c r="A99" s="6"/>
      <c r="B99" s="188" t="s">
        <v>130</v>
      </c>
      <c r="C99" s="486">
        <f>+C96</f>
        <v>42577.5</v>
      </c>
      <c r="D99" s="485">
        <v>201916</v>
      </c>
      <c r="E99" s="485">
        <f>+D99+E96</f>
        <v>266404.16000000003</v>
      </c>
      <c r="F99" s="485"/>
      <c r="G99" s="440"/>
      <c r="H99" s="440"/>
      <c r="I99" s="440"/>
      <c r="J99" s="440"/>
      <c r="K99" s="440"/>
      <c r="L99" s="440">
        <f t="shared" si="3"/>
        <v>0</v>
      </c>
      <c r="M99" s="441">
        <f t="shared" si="3"/>
        <v>0</v>
      </c>
      <c r="N99" s="441">
        <f t="shared" si="3"/>
        <v>0</v>
      </c>
      <c r="Q99" s="10"/>
    </row>
    <row r="100" spans="1:17" ht="15">
      <c r="A100" s="6"/>
      <c r="B100" s="6"/>
      <c r="C100" s="145"/>
      <c r="D100" s="469"/>
      <c r="E100" s="145"/>
      <c r="F100" s="145"/>
      <c r="G100" s="145"/>
      <c r="H100" s="145"/>
      <c r="I100" s="92"/>
      <c r="J100" s="189"/>
      <c r="K100" s="190"/>
      <c r="L100" s="92"/>
      <c r="M100" s="191"/>
      <c r="N100" s="49"/>
      <c r="Q100" s="10"/>
    </row>
    <row r="101" spans="1:17" ht="15">
      <c r="A101" s="6"/>
      <c r="B101" s="192" t="s">
        <v>331</v>
      </c>
      <c r="C101" s="145"/>
      <c r="D101" s="145"/>
      <c r="E101" s="487"/>
      <c r="F101" s="145"/>
      <c r="G101" s="145"/>
      <c r="H101" s="145"/>
      <c r="I101" s="92"/>
      <c r="J101" s="189"/>
      <c r="K101" s="190"/>
      <c r="L101" s="92"/>
      <c r="M101" s="191"/>
      <c r="N101" s="49"/>
      <c r="Q101" s="10"/>
    </row>
    <row r="102" spans="1:17" ht="15">
      <c r="A102" s="6"/>
      <c r="C102" s="145"/>
      <c r="D102" s="145"/>
      <c r="E102" s="145"/>
      <c r="F102" s="145"/>
      <c r="G102" s="145"/>
      <c r="H102" s="145"/>
      <c r="I102" s="92"/>
      <c r="J102" s="189"/>
      <c r="K102" s="191"/>
      <c r="L102" s="92"/>
      <c r="M102" s="191"/>
      <c r="N102" s="49"/>
      <c r="Q102" s="10"/>
    </row>
    <row r="103" spans="1:14" ht="15">
      <c r="A103" s="6"/>
      <c r="B103" s="6"/>
      <c r="C103" s="6"/>
      <c r="D103" s="6"/>
      <c r="E103" s="6"/>
      <c r="F103" s="6"/>
      <c r="G103" s="6"/>
      <c r="H103" s="6"/>
      <c r="I103" s="92"/>
      <c r="J103" s="92"/>
      <c r="K103" s="92"/>
      <c r="L103" s="92"/>
      <c r="M103" s="92"/>
      <c r="N103" s="49"/>
    </row>
    <row r="104" spans="1:14" ht="18.75">
      <c r="A104" s="6"/>
      <c r="B104" s="142" t="s">
        <v>131</v>
      </c>
      <c r="C104" s="6"/>
      <c r="D104" s="6"/>
      <c r="E104" s="6"/>
      <c r="F104" s="6"/>
      <c r="G104" s="6"/>
      <c r="H104" s="6"/>
      <c r="I104" s="92"/>
      <c r="J104" s="92"/>
      <c r="K104" s="92"/>
      <c r="L104" s="92"/>
      <c r="M104" s="92"/>
      <c r="N104" s="49"/>
    </row>
    <row r="105" spans="1:17" ht="15.75" thickBot="1">
      <c r="A105" s="6"/>
      <c r="B105" s="6"/>
      <c r="C105" s="92"/>
      <c r="D105" s="92"/>
      <c r="E105" s="92"/>
      <c r="F105" s="92"/>
      <c r="G105" s="145"/>
      <c r="H105" s="145"/>
      <c r="I105" s="145"/>
      <c r="J105" s="92"/>
      <c r="K105" s="145"/>
      <c r="L105" s="92"/>
      <c r="M105" s="92"/>
      <c r="N105" s="49"/>
      <c r="O105" s="10"/>
      <c r="Q105" s="49"/>
    </row>
    <row r="106" spans="1:16" ht="70.5" customHeight="1">
      <c r="A106" s="6"/>
      <c r="B106" s="193" t="s">
        <v>132</v>
      </c>
      <c r="C106" s="194" t="s">
        <v>133</v>
      </c>
      <c r="D106" s="195" t="s">
        <v>134</v>
      </c>
      <c r="E106" s="195" t="s">
        <v>135</v>
      </c>
      <c r="F106" s="195" t="s">
        <v>136</v>
      </c>
      <c r="G106" s="195" t="s">
        <v>137</v>
      </c>
      <c r="H106" s="195" t="s">
        <v>138</v>
      </c>
      <c r="I106" s="195" t="s">
        <v>139</v>
      </c>
      <c r="J106" s="195" t="s">
        <v>140</v>
      </c>
      <c r="K106" s="196" t="s">
        <v>141</v>
      </c>
      <c r="L106" s="145"/>
      <c r="M106" s="49"/>
      <c r="N106" s="49"/>
      <c r="P106" s="49"/>
    </row>
    <row r="107" spans="1:16" ht="15.75" thickBot="1">
      <c r="A107" s="6"/>
      <c r="B107" s="547" t="s">
        <v>236</v>
      </c>
      <c r="C107" s="197"/>
      <c r="D107" s="198"/>
      <c r="E107" s="199">
        <f>IF(ISBLANK(D107),"",D107*30)</f>
      </c>
      <c r="F107" s="200"/>
      <c r="G107" s="201">
        <f>IF(AND(E107&gt;0,F107&gt;0),(F107*E107),"")</f>
      </c>
      <c r="H107" s="202"/>
      <c r="I107" s="203">
        <f>IF(AND(G107&gt;0,H107&gt;0),H107/G107,"")</f>
      </c>
      <c r="J107" s="198"/>
      <c r="K107" s="203">
        <f>IF(AND(I107&gt;0,J107&gt;0),I107-J107,"")</f>
      </c>
      <c r="L107" s="145"/>
      <c r="M107" s="49"/>
      <c r="N107" s="49"/>
      <c r="P107" s="49"/>
    </row>
    <row r="108" spans="1:14" ht="15.75" thickBot="1">
      <c r="A108" s="6"/>
      <c r="B108" s="547"/>
      <c r="C108" s="197"/>
      <c r="D108" s="198"/>
      <c r="E108" s="199">
        <f>IF(ISBLANK(D108),"",D108*30)</f>
      </c>
      <c r="F108" s="200"/>
      <c r="G108" s="201">
        <f>IF(AND(E108&gt;0,F108&gt;0),(F108*E108),"")</f>
      </c>
      <c r="H108" s="202"/>
      <c r="I108" s="203">
        <f>IF(AND(G108&gt;0,H108&gt;0),H108/G108,"")</f>
      </c>
      <c r="J108" s="198"/>
      <c r="K108" s="203">
        <f>IF(AND(I108&gt;0,J108&gt;0),I108-J108,"")</f>
      </c>
      <c r="L108" s="145"/>
      <c r="M108" s="49"/>
      <c r="N108" s="49"/>
    </row>
    <row r="109" spans="1:17" ht="15">
      <c r="A109" s="6"/>
      <c r="B109" s="204"/>
      <c r="C109" s="6"/>
      <c r="D109" s="205"/>
      <c r="E109" s="6"/>
      <c r="F109" s="6"/>
      <c r="G109" s="145"/>
      <c r="H109" s="145"/>
      <c r="I109" s="145"/>
      <c r="J109" s="6"/>
      <c r="K109" s="6"/>
      <c r="L109" s="145"/>
      <c r="M109" s="145"/>
      <c r="N109" s="49"/>
      <c r="O109" s="10"/>
      <c r="Q109" s="49"/>
    </row>
    <row r="110" spans="1:13" ht="15">
      <c r="A110" s="6"/>
      <c r="B110" s="6"/>
      <c r="C110" s="6"/>
      <c r="D110" s="6"/>
      <c r="E110" s="6"/>
      <c r="F110" s="6"/>
      <c r="G110" s="6"/>
      <c r="H110" s="6"/>
      <c r="I110" s="145"/>
      <c r="J110" s="143"/>
      <c r="K110" s="143"/>
      <c r="L110" s="6"/>
      <c r="M110" s="6"/>
    </row>
    <row r="111" spans="1:15" ht="19.5" thickBot="1">
      <c r="A111" s="6"/>
      <c r="B111" s="206" t="s">
        <v>147</v>
      </c>
      <c r="C111" s="207"/>
      <c r="D111" s="207"/>
      <c r="E111" s="208"/>
      <c r="F111" s="208"/>
      <c r="G111" s="208"/>
      <c r="H111" s="209"/>
      <c r="I111" s="210"/>
      <c r="J111" s="211"/>
      <c r="K111" s="212" t="s">
        <v>148</v>
      </c>
      <c r="L111" s="208"/>
      <c r="M111" s="213"/>
      <c r="N111" s="214"/>
      <c r="O111" s="5"/>
    </row>
    <row r="112" spans="1:15" ht="15.75" thickBot="1">
      <c r="A112" s="6"/>
      <c r="B112" s="6"/>
      <c r="C112" s="6"/>
      <c r="D112" s="6"/>
      <c r="E112" s="6"/>
      <c r="F112" s="6"/>
      <c r="G112" s="6"/>
      <c r="H112" s="6"/>
      <c r="I112" s="6"/>
      <c r="J112" s="6"/>
      <c r="K112" s="6"/>
      <c r="L112" s="6"/>
      <c r="M112" s="6"/>
      <c r="N112"/>
      <c r="O112" s="5"/>
    </row>
    <row r="113" spans="1:18" ht="25.5">
      <c r="A113" s="6"/>
      <c r="B113" s="548" t="s">
        <v>149</v>
      </c>
      <c r="C113" s="548"/>
      <c r="D113" s="548"/>
      <c r="E113" s="215" t="s">
        <v>150</v>
      </c>
      <c r="F113" s="216" t="s">
        <v>151</v>
      </c>
      <c r="G113" s="217"/>
      <c r="H113" s="218" t="s">
        <v>59</v>
      </c>
      <c r="I113" s="218" t="s">
        <v>75</v>
      </c>
      <c r="J113" s="218" t="s">
        <v>76</v>
      </c>
      <c r="K113" s="218" t="s">
        <v>77</v>
      </c>
      <c r="L113" s="218" t="s">
        <v>78</v>
      </c>
      <c r="M113" s="218" t="s">
        <v>79</v>
      </c>
      <c r="N113" s="218" t="s">
        <v>80</v>
      </c>
      <c r="O113" s="218" t="s">
        <v>81</v>
      </c>
      <c r="P113" s="218" t="s">
        <v>82</v>
      </c>
      <c r="Q113" s="218" t="s">
        <v>83</v>
      </c>
      <c r="R113" s="445" t="s">
        <v>186</v>
      </c>
    </row>
    <row r="114" spans="1:18" ht="15">
      <c r="A114" s="6"/>
      <c r="B114" s="219"/>
      <c r="C114" s="220"/>
      <c r="D114" s="220"/>
      <c r="E114" s="221"/>
      <c r="F114" s="222"/>
      <c r="G114" s="223"/>
      <c r="H114" s="224"/>
      <c r="I114" s="224"/>
      <c r="J114" s="224"/>
      <c r="K114" s="224"/>
      <c r="L114" s="224"/>
      <c r="M114" s="224"/>
      <c r="N114" s="224"/>
      <c r="O114" s="224"/>
      <c r="P114" s="224"/>
      <c r="Q114" s="225"/>
      <c r="R114" s="446"/>
    </row>
    <row r="115" spans="1:18" ht="15" customHeight="1">
      <c r="A115" s="549" t="s">
        <v>152</v>
      </c>
      <c r="B115" s="550" t="s">
        <v>332</v>
      </c>
      <c r="C115" s="550"/>
      <c r="D115" s="550"/>
      <c r="E115" s="551" t="s">
        <v>341</v>
      </c>
      <c r="F115" s="553" t="s">
        <v>153</v>
      </c>
      <c r="G115" s="693" t="s">
        <v>154</v>
      </c>
      <c r="H115" s="694">
        <v>7332</v>
      </c>
      <c r="I115" s="694">
        <v>4888</v>
      </c>
      <c r="J115" s="694">
        <v>6519</v>
      </c>
      <c r="K115" s="452"/>
      <c r="L115" s="453"/>
      <c r="M115" s="454"/>
      <c r="N115" s="455"/>
      <c r="O115" s="455"/>
      <c r="P115" s="456"/>
      <c r="Q115" s="456"/>
      <c r="R115" s="457"/>
    </row>
    <row r="116" spans="1:18" ht="264" customHeight="1">
      <c r="A116" s="549"/>
      <c r="B116" s="550"/>
      <c r="C116" s="550"/>
      <c r="D116" s="550"/>
      <c r="E116" s="551"/>
      <c r="F116" s="553"/>
      <c r="G116" s="693" t="s">
        <v>155</v>
      </c>
      <c r="H116" s="694">
        <v>3686</v>
      </c>
      <c r="I116" s="694">
        <v>2610</v>
      </c>
      <c r="J116" s="694">
        <v>4275</v>
      </c>
      <c r="K116" s="452"/>
      <c r="L116" s="450"/>
      <c r="M116" s="454"/>
      <c r="N116" s="455"/>
      <c r="O116" s="455"/>
      <c r="P116" s="456"/>
      <c r="Q116" s="456"/>
      <c r="R116" s="467" t="s">
        <v>358</v>
      </c>
    </row>
    <row r="117" spans="1:18" ht="45" customHeight="1">
      <c r="A117" s="549"/>
      <c r="B117" s="554" t="s">
        <v>333</v>
      </c>
      <c r="C117" s="554"/>
      <c r="D117" s="554"/>
      <c r="E117" s="551" t="s">
        <v>341</v>
      </c>
      <c r="F117" s="553" t="s">
        <v>153</v>
      </c>
      <c r="G117" s="695" t="s">
        <v>154</v>
      </c>
      <c r="H117" s="696">
        <v>0.036</v>
      </c>
      <c r="I117" s="696">
        <v>0.036</v>
      </c>
      <c r="J117" s="696">
        <v>0.036</v>
      </c>
      <c r="K117" s="452"/>
      <c r="L117" s="450"/>
      <c r="M117" s="454"/>
      <c r="N117" s="454"/>
      <c r="O117" s="454"/>
      <c r="P117" s="459"/>
      <c r="Q117" s="459"/>
      <c r="R117" s="448"/>
    </row>
    <row r="118" spans="1:18" ht="354" customHeight="1">
      <c r="A118" s="549"/>
      <c r="B118" s="554"/>
      <c r="C118" s="554"/>
      <c r="D118" s="554"/>
      <c r="E118" s="551"/>
      <c r="F118" s="553"/>
      <c r="G118" s="695" t="s">
        <v>155</v>
      </c>
      <c r="H118" s="697">
        <v>0.1989</v>
      </c>
      <c r="I118" s="697">
        <v>0.0095</v>
      </c>
      <c r="J118" s="696">
        <v>0.072</v>
      </c>
      <c r="K118" s="452"/>
      <c r="L118" s="450"/>
      <c r="M118" s="454"/>
      <c r="N118" s="454"/>
      <c r="O118" s="454"/>
      <c r="P118" s="459"/>
      <c r="Q118" s="459"/>
      <c r="R118" s="698" t="s">
        <v>359</v>
      </c>
    </row>
    <row r="119" spans="1:18" ht="45" customHeight="1">
      <c r="A119" s="549"/>
      <c r="B119" s="552" t="s">
        <v>334</v>
      </c>
      <c r="C119" s="552"/>
      <c r="D119" s="552"/>
      <c r="E119" s="551" t="s">
        <v>342</v>
      </c>
      <c r="F119" s="553" t="s">
        <v>153</v>
      </c>
      <c r="G119" s="693" t="s">
        <v>154</v>
      </c>
      <c r="H119" s="694">
        <v>7332</v>
      </c>
      <c r="I119" s="694">
        <v>4888</v>
      </c>
      <c r="J119" s="694">
        <v>2444</v>
      </c>
      <c r="K119" s="700"/>
      <c r="L119" s="450"/>
      <c r="M119" s="454"/>
      <c r="N119" s="455"/>
      <c r="O119" s="455"/>
      <c r="P119" s="456"/>
      <c r="Q119" s="456"/>
      <c r="R119" s="448"/>
    </row>
    <row r="120" spans="1:18" ht="284.25" customHeight="1">
      <c r="A120" s="549"/>
      <c r="B120" s="552"/>
      <c r="C120" s="552"/>
      <c r="D120" s="552"/>
      <c r="E120" s="551"/>
      <c r="F120" s="553"/>
      <c r="G120" s="693" t="s">
        <v>155</v>
      </c>
      <c r="H120" s="694">
        <v>3686</v>
      </c>
      <c r="I120" s="694">
        <v>2610</v>
      </c>
      <c r="J120" s="694">
        <v>4275</v>
      </c>
      <c r="K120" s="700"/>
      <c r="L120" s="450"/>
      <c r="M120" s="460"/>
      <c r="N120" s="455"/>
      <c r="O120" s="455"/>
      <c r="P120" s="456"/>
      <c r="Q120" s="456"/>
      <c r="R120" s="699" t="s">
        <v>360</v>
      </c>
    </row>
    <row r="121" spans="1:18" ht="36" customHeight="1">
      <c r="A121" s="6"/>
      <c r="B121" s="550" t="s">
        <v>335</v>
      </c>
      <c r="C121" s="550"/>
      <c r="D121" s="550"/>
      <c r="E121" s="551" t="s">
        <v>342</v>
      </c>
      <c r="F121" s="553" t="s">
        <v>153</v>
      </c>
      <c r="G121" s="695" t="s">
        <v>154</v>
      </c>
      <c r="H121" s="701">
        <v>10</v>
      </c>
      <c r="I121" s="694">
        <v>10</v>
      </c>
      <c r="J121" s="694">
        <v>9</v>
      </c>
      <c r="K121" s="700"/>
      <c r="L121" s="450"/>
      <c r="M121" s="454"/>
      <c r="N121" s="455"/>
      <c r="O121" s="455"/>
      <c r="P121" s="459"/>
      <c r="Q121" s="459"/>
      <c r="R121" s="447"/>
    </row>
    <row r="122" spans="1:18" ht="255.75" customHeight="1">
      <c r="A122" s="6"/>
      <c r="B122" s="550"/>
      <c r="C122" s="550"/>
      <c r="D122" s="550"/>
      <c r="E122" s="551"/>
      <c r="F122" s="553"/>
      <c r="G122" s="695" t="s">
        <v>155</v>
      </c>
      <c r="H122" s="701">
        <v>0</v>
      </c>
      <c r="I122" s="694">
        <v>0</v>
      </c>
      <c r="J122" s="694">
        <v>0</v>
      </c>
      <c r="K122" s="700"/>
      <c r="L122" s="450"/>
      <c r="M122" s="460"/>
      <c r="N122" s="455"/>
      <c r="O122" s="455"/>
      <c r="P122" s="459"/>
      <c r="Q122" s="459"/>
      <c r="R122" s="699" t="s">
        <v>361</v>
      </c>
    </row>
    <row r="123" spans="1:18" ht="46.5" customHeight="1">
      <c r="A123" s="6"/>
      <c r="B123" s="554" t="s">
        <v>336</v>
      </c>
      <c r="C123" s="554"/>
      <c r="D123" s="554"/>
      <c r="E123" s="551" t="s">
        <v>342</v>
      </c>
      <c r="F123" s="553" t="s">
        <v>153</v>
      </c>
      <c r="G123" s="695" t="s">
        <v>154</v>
      </c>
      <c r="H123" s="702">
        <v>14</v>
      </c>
      <c r="I123" s="694">
        <v>14</v>
      </c>
      <c r="J123" s="694">
        <v>14</v>
      </c>
      <c r="K123" s="700"/>
      <c r="L123" s="450"/>
      <c r="M123" s="454"/>
      <c r="N123" s="454"/>
      <c r="O123" s="454"/>
      <c r="P123" s="461"/>
      <c r="Q123" s="461"/>
      <c r="R123" s="447"/>
    </row>
    <row r="124" spans="1:18" ht="147.75" customHeight="1">
      <c r="A124" s="6"/>
      <c r="B124" s="554"/>
      <c r="C124" s="554"/>
      <c r="D124" s="554"/>
      <c r="E124" s="551"/>
      <c r="F124" s="553"/>
      <c r="G124" s="695" t="s">
        <v>155</v>
      </c>
      <c r="H124" s="702">
        <v>0</v>
      </c>
      <c r="I124" s="694">
        <v>0</v>
      </c>
      <c r="J124" s="694">
        <v>0</v>
      </c>
      <c r="K124" s="700"/>
      <c r="L124" s="450"/>
      <c r="M124" s="454"/>
      <c r="N124" s="454"/>
      <c r="O124" s="454"/>
      <c r="P124" s="461"/>
      <c r="Q124" s="461"/>
      <c r="R124" s="699" t="s">
        <v>362</v>
      </c>
    </row>
    <row r="125" spans="1:18" ht="32.25" customHeight="1">
      <c r="A125" s="6"/>
      <c r="B125" s="550" t="s">
        <v>337</v>
      </c>
      <c r="C125" s="550"/>
      <c r="D125" s="550"/>
      <c r="E125" s="551">
        <v>2.8</v>
      </c>
      <c r="F125" s="553" t="s">
        <v>153</v>
      </c>
      <c r="G125" s="693" t="s">
        <v>154</v>
      </c>
      <c r="H125" s="702">
        <v>1234</v>
      </c>
      <c r="I125" s="694">
        <v>1172</v>
      </c>
      <c r="J125" s="694">
        <v>1234</v>
      </c>
      <c r="K125" s="700"/>
      <c r="L125" s="450"/>
      <c r="M125" s="454"/>
      <c r="N125" s="455"/>
      <c r="O125" s="455"/>
      <c r="P125" s="456"/>
      <c r="Q125" s="456"/>
      <c r="R125" s="449"/>
    </row>
    <row r="126" spans="1:18" ht="195.75" customHeight="1">
      <c r="A126" s="6"/>
      <c r="B126" s="550"/>
      <c r="C126" s="550"/>
      <c r="D126" s="550"/>
      <c r="E126" s="551"/>
      <c r="F126" s="553"/>
      <c r="G126" s="693" t="s">
        <v>155</v>
      </c>
      <c r="H126" s="702">
        <v>1234</v>
      </c>
      <c r="I126" s="694">
        <v>1238</v>
      </c>
      <c r="J126" s="694">
        <v>1209</v>
      </c>
      <c r="K126" s="700"/>
      <c r="L126" s="450"/>
      <c r="M126" s="460"/>
      <c r="N126" s="455"/>
      <c r="O126" s="455"/>
      <c r="P126" s="456"/>
      <c r="Q126" s="456"/>
      <c r="R126" s="467" t="s">
        <v>363</v>
      </c>
    </row>
    <row r="127" spans="1:18" ht="23.25">
      <c r="A127" s="6"/>
      <c r="B127" s="524" t="s">
        <v>340</v>
      </c>
      <c r="C127" s="525"/>
      <c r="D127" s="525"/>
      <c r="E127" s="525"/>
      <c r="F127" s="525"/>
      <c r="G127" s="525"/>
      <c r="H127" s="525"/>
      <c r="I127" s="525"/>
      <c r="J127" s="525"/>
      <c r="K127" s="525"/>
      <c r="L127" s="525"/>
      <c r="M127" s="525"/>
      <c r="N127" s="525"/>
      <c r="O127" s="525"/>
      <c r="P127" s="525"/>
      <c r="Q127" s="525"/>
      <c r="R127" s="525"/>
    </row>
    <row r="128" spans="1:18" ht="14.25" customHeight="1">
      <c r="A128" s="6"/>
      <c r="B128" s="550" t="s">
        <v>338</v>
      </c>
      <c r="C128" s="550"/>
      <c r="D128" s="550"/>
      <c r="E128" s="551" t="s">
        <v>343</v>
      </c>
      <c r="F128" s="553" t="s">
        <v>153</v>
      </c>
      <c r="G128" s="451" t="s">
        <v>154</v>
      </c>
      <c r="H128" s="450">
        <v>6</v>
      </c>
      <c r="I128" s="450">
        <v>4</v>
      </c>
      <c r="J128" s="450">
        <v>0</v>
      </c>
      <c r="K128" s="452"/>
      <c r="L128" s="450"/>
      <c r="M128" s="454"/>
      <c r="N128" s="454"/>
      <c r="O128" s="454"/>
      <c r="P128" s="456"/>
      <c r="Q128" s="456"/>
      <c r="R128" s="462"/>
    </row>
    <row r="129" spans="1:18" ht="246" customHeight="1">
      <c r="A129" s="6"/>
      <c r="B129" s="550"/>
      <c r="C129" s="550"/>
      <c r="D129" s="550"/>
      <c r="E129" s="551"/>
      <c r="F129" s="553"/>
      <c r="G129" s="451" t="s">
        <v>155</v>
      </c>
      <c r="H129" s="450">
        <v>0</v>
      </c>
      <c r="I129" s="450">
        <v>0</v>
      </c>
      <c r="J129" s="450">
        <v>0</v>
      </c>
      <c r="K129" s="452"/>
      <c r="L129" s="450"/>
      <c r="M129" s="454"/>
      <c r="N129" s="454"/>
      <c r="O129" s="454"/>
      <c r="P129" s="456"/>
      <c r="Q129" s="456"/>
      <c r="R129" s="466" t="s">
        <v>364</v>
      </c>
    </row>
    <row r="130" spans="1:18" ht="14.25" customHeight="1">
      <c r="A130" s="6"/>
      <c r="B130" s="554" t="s">
        <v>339</v>
      </c>
      <c r="C130" s="554"/>
      <c r="D130" s="554"/>
      <c r="E130" s="551" t="s">
        <v>343</v>
      </c>
      <c r="F130" s="553" t="s">
        <v>153</v>
      </c>
      <c r="G130" s="458" t="s">
        <v>154</v>
      </c>
      <c r="H130" s="450">
        <v>0.014</v>
      </c>
      <c r="I130" s="450">
        <v>0.01</v>
      </c>
      <c r="J130" s="450">
        <v>0</v>
      </c>
      <c r="K130" s="452"/>
      <c r="L130" s="450"/>
      <c r="M130" s="454"/>
      <c r="N130" s="455"/>
      <c r="O130" s="455"/>
      <c r="P130" s="461"/>
      <c r="Q130" s="461"/>
      <c r="R130" s="462"/>
    </row>
    <row r="131" spans="1:18" ht="166.5" customHeight="1">
      <c r="A131" s="6"/>
      <c r="B131" s="554"/>
      <c r="C131" s="554"/>
      <c r="D131" s="554"/>
      <c r="E131" s="551"/>
      <c r="F131" s="553"/>
      <c r="G131" s="458" t="s">
        <v>155</v>
      </c>
      <c r="H131" s="450">
        <v>0</v>
      </c>
      <c r="I131" s="450">
        <v>0</v>
      </c>
      <c r="J131" s="450">
        <v>0</v>
      </c>
      <c r="K131" s="452"/>
      <c r="L131" s="450"/>
      <c r="M131" s="460"/>
      <c r="N131" s="455"/>
      <c r="O131" s="455"/>
      <c r="P131" s="461"/>
      <c r="Q131" s="461"/>
      <c r="R131" s="465" t="s">
        <v>365</v>
      </c>
    </row>
    <row r="132" spans="1:17" ht="15">
      <c r="A132" s="6"/>
      <c r="B132" s="204"/>
      <c r="C132" s="6"/>
      <c r="D132" s="6"/>
      <c r="E132" s="6"/>
      <c r="F132" s="6"/>
      <c r="G132" s="145"/>
      <c r="H132" s="6"/>
      <c r="I132" s="6"/>
      <c r="J132" s="6"/>
      <c r="K132" s="6"/>
      <c r="L132" s="6"/>
      <c r="M132" s="6"/>
      <c r="N132" s="6"/>
      <c r="P132" s="5"/>
      <c r="Q132" s="5"/>
    </row>
    <row r="133" spans="1:17" ht="15.75" thickBot="1">
      <c r="A133" s="6"/>
      <c r="B133" s="204"/>
      <c r="C133" s="6"/>
      <c r="D133" s="6"/>
      <c r="E133" s="6"/>
      <c r="F133" s="6"/>
      <c r="G133" s="145"/>
      <c r="H133" s="6"/>
      <c r="I133" s="6"/>
      <c r="J133" s="6"/>
      <c r="K133" s="6"/>
      <c r="L133" s="6"/>
      <c r="M133" s="6"/>
      <c r="N133" s="6"/>
      <c r="P133" s="5"/>
      <c r="Q133" s="5"/>
    </row>
    <row r="134" spans="1:17" ht="25.5">
      <c r="A134" s="6"/>
      <c r="B134" s="226" t="s">
        <v>156</v>
      </c>
      <c r="C134" s="6"/>
      <c r="D134" s="6"/>
      <c r="E134" s="227" t="s">
        <v>150</v>
      </c>
      <c r="F134" s="228" t="s">
        <v>151</v>
      </c>
      <c r="G134" s="217"/>
      <c r="H134" s="218" t="str">
        <f aca="true" t="shared" si="4" ref="H134:N134">C30</f>
        <v>P1</v>
      </c>
      <c r="I134" s="218" t="str">
        <f t="shared" si="4"/>
        <v>P2 (AÑO 2018)</v>
      </c>
      <c r="J134" s="218" t="str">
        <f t="shared" si="4"/>
        <v>P3</v>
      </c>
      <c r="K134" s="218" t="str">
        <f t="shared" si="4"/>
        <v>P4</v>
      </c>
      <c r="L134" s="218" t="str">
        <f t="shared" si="4"/>
        <v>P5</v>
      </c>
      <c r="M134" s="218" t="str">
        <f t="shared" si="4"/>
        <v>P6</v>
      </c>
      <c r="N134" s="218" t="str">
        <f t="shared" si="4"/>
        <v>P7</v>
      </c>
      <c r="O134" s="218" t="str">
        <f>L30</f>
        <v>P10</v>
      </c>
      <c r="P134" s="218" t="str">
        <f>M30</f>
        <v>P11</v>
      </c>
      <c r="Q134" s="218" t="str">
        <f>N30</f>
        <v>P12</v>
      </c>
    </row>
    <row r="135" spans="1:17" ht="14.25" customHeight="1" thickBot="1">
      <c r="A135" s="6"/>
      <c r="B135" s="558" t="str">
        <f>IF(ISBLANK(B115),"",(B115))</f>
        <v>Malaria O-4: Proporción de viviendas que han sido rociadas en los últimos 12 meses. </v>
      </c>
      <c r="C135" s="558"/>
      <c r="D135" s="558"/>
      <c r="E135" s="556" t="str">
        <f>IF(ISBLANK(E115),"",(E115))</f>
        <v>Outcome</v>
      </c>
      <c r="F135" s="557" t="str">
        <f>IF(ISBLANK(F115),"",(F115))</f>
        <v>Yes</v>
      </c>
      <c r="G135" s="229" t="s">
        <v>154</v>
      </c>
      <c r="H135" s="230">
        <f aca="true" t="shared" si="5" ref="H135:H140">H115</f>
        <v>7332</v>
      </c>
      <c r="I135" s="230">
        <f aca="true" t="shared" si="6" ref="I135:I140">+I115</f>
        <v>4888</v>
      </c>
      <c r="J135" s="230">
        <f>J121</f>
        <v>9</v>
      </c>
      <c r="K135" s="230">
        <f aca="true" t="shared" si="7" ref="K135:K140">+K115</f>
        <v>0</v>
      </c>
      <c r="L135" s="230">
        <f>L121</f>
        <v>0</v>
      </c>
      <c r="M135" s="230">
        <f aca="true" t="shared" si="8" ref="M135:M140">+M115</f>
        <v>0</v>
      </c>
      <c r="N135" s="231">
        <f aca="true" t="shared" si="9" ref="N135:N140">N115</f>
        <v>0</v>
      </c>
      <c r="O135" s="231">
        <f aca="true" t="shared" si="10" ref="O135:O140">O115</f>
        <v>0</v>
      </c>
      <c r="P135" s="231">
        <f aca="true" t="shared" si="11" ref="P135:P140">P115</f>
        <v>0</v>
      </c>
      <c r="Q135" s="231">
        <f aca="true" t="shared" si="12" ref="Q135:Q140">Q115</f>
        <v>0</v>
      </c>
    </row>
    <row r="136" spans="1:17" ht="15.75" thickBot="1">
      <c r="A136" s="6"/>
      <c r="B136" s="558"/>
      <c r="C136" s="558"/>
      <c r="D136" s="558"/>
      <c r="E136" s="556"/>
      <c r="F136" s="557"/>
      <c r="G136" s="232" t="s">
        <v>155</v>
      </c>
      <c r="H136" s="230">
        <f t="shared" si="5"/>
        <v>3686</v>
      </c>
      <c r="I136" s="230">
        <f t="shared" si="6"/>
        <v>2610</v>
      </c>
      <c r="J136" s="230">
        <f>J122</f>
        <v>0</v>
      </c>
      <c r="K136" s="230">
        <f t="shared" si="7"/>
        <v>0</v>
      </c>
      <c r="L136" s="230">
        <f>L122</f>
        <v>0</v>
      </c>
      <c r="M136" s="230">
        <f t="shared" si="8"/>
        <v>0</v>
      </c>
      <c r="N136" s="231">
        <f t="shared" si="9"/>
        <v>0</v>
      </c>
      <c r="O136" s="231">
        <f t="shared" si="10"/>
        <v>0</v>
      </c>
      <c r="P136" s="231">
        <f t="shared" si="11"/>
        <v>0</v>
      </c>
      <c r="Q136" s="231">
        <f t="shared" si="12"/>
        <v>0</v>
      </c>
    </row>
    <row r="137" spans="1:17" ht="15.75" thickBot="1">
      <c r="A137" s="6"/>
      <c r="B137" s="559" t="str">
        <f>IF(ISBLANK(B117),"",(B117))</f>
        <v>Malaria O-9: 2. Tasa anual de muestras de sangre (laminas leídas). </v>
      </c>
      <c r="C137" s="559"/>
      <c r="D137" s="559"/>
      <c r="E137" s="560" t="str">
        <f>IF(ISBLANK(E117),"",(E117))</f>
        <v>Outcome</v>
      </c>
      <c r="F137" s="561" t="str">
        <f>IF(ISBLANK(F117),"",(F117))</f>
        <v>Yes</v>
      </c>
      <c r="G137" s="233" t="s">
        <v>154</v>
      </c>
      <c r="H137" s="230">
        <f t="shared" si="5"/>
        <v>0.036</v>
      </c>
      <c r="I137" s="230">
        <f t="shared" si="6"/>
        <v>0.036</v>
      </c>
      <c r="J137" s="230">
        <f>J125</f>
        <v>1234</v>
      </c>
      <c r="K137" s="230">
        <f t="shared" si="7"/>
        <v>0</v>
      </c>
      <c r="L137" s="234">
        <f>L125</f>
        <v>0</v>
      </c>
      <c r="M137" s="230">
        <f t="shared" si="8"/>
        <v>0</v>
      </c>
      <c r="N137" s="235">
        <f t="shared" si="9"/>
        <v>0</v>
      </c>
      <c r="O137" s="235">
        <f t="shared" si="10"/>
        <v>0</v>
      </c>
      <c r="P137" s="235">
        <f t="shared" si="11"/>
        <v>0</v>
      </c>
      <c r="Q137" s="235">
        <f t="shared" si="12"/>
        <v>0</v>
      </c>
    </row>
    <row r="138" spans="1:17" ht="14.25" customHeight="1" thickBot="1">
      <c r="A138" s="6"/>
      <c r="B138" s="559"/>
      <c r="C138" s="559"/>
      <c r="D138" s="559"/>
      <c r="E138" s="560"/>
      <c r="F138" s="561"/>
      <c r="G138" s="233" t="s">
        <v>155</v>
      </c>
      <c r="H138" s="230">
        <f t="shared" si="5"/>
        <v>0.1989</v>
      </c>
      <c r="I138" s="230">
        <f t="shared" si="6"/>
        <v>0.0095</v>
      </c>
      <c r="J138" s="230">
        <f>J126</f>
        <v>1209</v>
      </c>
      <c r="K138" s="230">
        <f t="shared" si="7"/>
        <v>0</v>
      </c>
      <c r="L138" s="234">
        <f>L126</f>
        <v>0</v>
      </c>
      <c r="M138" s="230">
        <f t="shared" si="8"/>
        <v>0</v>
      </c>
      <c r="N138" s="235">
        <f t="shared" si="9"/>
        <v>0</v>
      </c>
      <c r="O138" s="235">
        <f t="shared" si="10"/>
        <v>0</v>
      </c>
      <c r="P138" s="235">
        <f t="shared" si="11"/>
        <v>0</v>
      </c>
      <c r="Q138" s="235">
        <f t="shared" si="12"/>
        <v>0</v>
      </c>
    </row>
    <row r="139" spans="1:17" ht="14.25" customHeight="1" thickBot="1">
      <c r="A139" s="6"/>
      <c r="B139" s="555" t="str">
        <f>IF(ISBLANK(B119),"",(B119))</f>
        <v>VC-5: Proporción de vivienda en las áreas priorizadas que reciben la fumigación intra-domiciliar </v>
      </c>
      <c r="C139" s="555"/>
      <c r="D139" s="555"/>
      <c r="E139" s="556" t="str">
        <f>IF(ISBLANK(E119),"",(E119))</f>
        <v>Resultado</v>
      </c>
      <c r="F139" s="557" t="str">
        <f>IF(ISBLANK(F119),"",(F119))</f>
        <v>Yes</v>
      </c>
      <c r="G139" s="232" t="s">
        <v>154</v>
      </c>
      <c r="H139" s="230">
        <f t="shared" si="5"/>
        <v>7332</v>
      </c>
      <c r="I139" s="230">
        <f t="shared" si="6"/>
        <v>4888</v>
      </c>
      <c r="J139" s="230">
        <f>J123</f>
        <v>14</v>
      </c>
      <c r="K139" s="230">
        <f t="shared" si="7"/>
        <v>0</v>
      </c>
      <c r="L139" s="230">
        <f>L123</f>
        <v>0</v>
      </c>
      <c r="M139" s="230">
        <f t="shared" si="8"/>
        <v>0</v>
      </c>
      <c r="N139" s="231">
        <f t="shared" si="9"/>
        <v>0</v>
      </c>
      <c r="O139" s="231">
        <f t="shared" si="10"/>
        <v>0</v>
      </c>
      <c r="P139" s="231">
        <f t="shared" si="11"/>
        <v>0</v>
      </c>
      <c r="Q139" s="231">
        <f t="shared" si="12"/>
        <v>0</v>
      </c>
    </row>
    <row r="140" spans="1:17" ht="15" customHeight="1" thickBot="1">
      <c r="A140" s="6"/>
      <c r="B140" s="555"/>
      <c r="C140" s="555"/>
      <c r="D140" s="555"/>
      <c r="E140" s="556"/>
      <c r="F140" s="557"/>
      <c r="G140" s="236" t="s">
        <v>155</v>
      </c>
      <c r="H140" s="237">
        <f t="shared" si="5"/>
        <v>3686</v>
      </c>
      <c r="I140" s="230">
        <f t="shared" si="6"/>
        <v>2610</v>
      </c>
      <c r="J140" s="237">
        <f>J124</f>
        <v>0</v>
      </c>
      <c r="K140" s="230">
        <f t="shared" si="7"/>
        <v>0</v>
      </c>
      <c r="L140" s="237">
        <f>L124</f>
        <v>0</v>
      </c>
      <c r="M140" s="230">
        <f t="shared" si="8"/>
        <v>0</v>
      </c>
      <c r="N140" s="231">
        <f t="shared" si="9"/>
        <v>0</v>
      </c>
      <c r="O140" s="231">
        <f t="shared" si="10"/>
        <v>0</v>
      </c>
      <c r="P140" s="231">
        <f t="shared" si="11"/>
        <v>0</v>
      </c>
      <c r="Q140" s="231">
        <f t="shared" si="12"/>
        <v>0</v>
      </c>
    </row>
  </sheetData>
  <sheetProtection selectLockedCells="1" selectUnlockedCells="1"/>
  <mergeCells count="67">
    <mergeCell ref="B139:D140"/>
    <mergeCell ref="E139:E140"/>
    <mergeCell ref="F139:F140"/>
    <mergeCell ref="B135:D136"/>
    <mergeCell ref="E135:E136"/>
    <mergeCell ref="F135:F136"/>
    <mergeCell ref="B137:D138"/>
    <mergeCell ref="E137:E138"/>
    <mergeCell ref="F137:F138"/>
    <mergeCell ref="B128:D129"/>
    <mergeCell ref="E128:E129"/>
    <mergeCell ref="F128:F129"/>
    <mergeCell ref="B130:D131"/>
    <mergeCell ref="E130:E131"/>
    <mergeCell ref="F130:F131"/>
    <mergeCell ref="B123:D124"/>
    <mergeCell ref="E123:E124"/>
    <mergeCell ref="F123:F124"/>
    <mergeCell ref="B125:D126"/>
    <mergeCell ref="E125:E126"/>
    <mergeCell ref="F125:F126"/>
    <mergeCell ref="F115:F116"/>
    <mergeCell ref="B117:D118"/>
    <mergeCell ref="E117:E118"/>
    <mergeCell ref="F117:F118"/>
    <mergeCell ref="F119:F120"/>
    <mergeCell ref="B121:D122"/>
    <mergeCell ref="E121:E122"/>
    <mergeCell ref="F121:F122"/>
    <mergeCell ref="B72:C72"/>
    <mergeCell ref="B107:B108"/>
    <mergeCell ref="B113:D113"/>
    <mergeCell ref="A115:A120"/>
    <mergeCell ref="B115:D116"/>
    <mergeCell ref="E115:E116"/>
    <mergeCell ref="B119:D120"/>
    <mergeCell ref="E119:E120"/>
    <mergeCell ref="B26:C26"/>
    <mergeCell ref="B29:N29"/>
    <mergeCell ref="F46:I46"/>
    <mergeCell ref="B59:D59"/>
    <mergeCell ref="B70:C70"/>
    <mergeCell ref="B71:C71"/>
    <mergeCell ref="B14:J14"/>
    <mergeCell ref="H16:I16"/>
    <mergeCell ref="B18:C18"/>
    <mergeCell ref="D18:F18"/>
    <mergeCell ref="B21:J21"/>
    <mergeCell ref="D24:E24"/>
    <mergeCell ref="G24:H24"/>
    <mergeCell ref="I24:J24"/>
    <mergeCell ref="C10:D10"/>
    <mergeCell ref="E10:F10"/>
    <mergeCell ref="G10:J10"/>
    <mergeCell ref="C12:D12"/>
    <mergeCell ref="E12:F12"/>
    <mergeCell ref="G12:J12"/>
    <mergeCell ref="B127:R127"/>
    <mergeCell ref="B2:J2"/>
    <mergeCell ref="C4:D4"/>
    <mergeCell ref="E4:F4"/>
    <mergeCell ref="G4:J4"/>
    <mergeCell ref="C6:D6"/>
    <mergeCell ref="E6:F6"/>
    <mergeCell ref="I6:J6"/>
    <mergeCell ref="C8:D8"/>
    <mergeCell ref="I8:J8"/>
  </mergeCells>
  <conditionalFormatting sqref="C30:N30 C93:N93">
    <cfRule type="cellIs" priority="5" dxfId="38" operator="equal" stopIfTrue="1">
      <formula>$C$16</formula>
    </cfRule>
  </conditionalFormatting>
  <conditionalFormatting sqref="C12:D12">
    <cfRule type="cellIs" priority="6" dxfId="39" operator="equal" stopIfTrue="1">
      <formula>"C"</formula>
    </cfRule>
    <cfRule type="cellIs" priority="7" dxfId="40" operator="equal" stopIfTrue="1">
      <formula>"B2"</formula>
    </cfRule>
    <cfRule type="cellIs" priority="8" dxfId="41" operator="equal" stopIfTrue="1">
      <formula>"B1"</formula>
    </cfRule>
  </conditionalFormatting>
  <conditionalFormatting sqref="H134:Q134 H113:Q114">
    <cfRule type="cellIs" priority="9" dxfId="42" operator="equal" stopIfTrue="1">
      <formula>$C$16</formula>
    </cfRule>
  </conditionalFormatting>
  <conditionalFormatting sqref="F46:I46">
    <cfRule type="expression" priority="10" dxfId="43" stopIfTrue="1">
      <formula>LEFT($F$46,2)="OK"</formula>
    </cfRule>
  </conditionalFormatting>
  <conditionalFormatting sqref="R113:R114">
    <cfRule type="cellIs" priority="2" dxfId="42" operator="equal" stopIfTrue="1">
      <formula>$C$16</formula>
    </cfRule>
  </conditionalFormatting>
  <dataValidations count="9">
    <dataValidation type="list" allowBlank="1" showErrorMessage="1" sqref="G6 B107">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C107:C108">
      <formula1>Medicaments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scale="36" r:id="rId4"/>
  <headerFooter alignWithMargins="0">
    <oddFooter>&amp;L&amp;F&amp;C&amp;A&amp;R&amp;D</oddFooter>
  </headerFooter>
  <rowBreaks count="1" manualBreakCount="1">
    <brk id="47"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130" zoomScaleNormal="130" zoomScaleSheetLayoutView="100" zoomScalePageLayoutView="0" workbookViewId="0" topLeftCell="A1">
      <selection activeCell="F6" sqref="F6:J6"/>
    </sheetView>
  </sheetViews>
  <sheetFormatPr defaultColWidth="11.421875" defaultRowHeight="15"/>
  <cols>
    <col min="1" max="1" width="21.140625" style="6" customWidth="1"/>
    <col min="2" max="2" width="12.421875" style="6" customWidth="1"/>
    <col min="3" max="3" width="20.421875" style="6" customWidth="1"/>
    <col min="4" max="4" width="15.421875" style="6" customWidth="1"/>
    <col min="5" max="5" width="11.57421875" style="6" customWidth="1"/>
    <col min="6" max="6" width="18.574218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57421875" style="6" customWidth="1"/>
    <col min="14" max="14" width="8.421875" style="6" customWidth="1"/>
    <col min="15" max="15" width="7.140625" style="6" customWidth="1"/>
    <col min="16" max="16384" width="11.421875" style="6" customWidth="1"/>
  </cols>
  <sheetData>
    <row r="1" spans="1:10" ht="21" customHeight="1">
      <c r="A1" s="145"/>
      <c r="B1" s="145"/>
      <c r="C1" s="145"/>
      <c r="D1" s="145"/>
      <c r="E1" s="145"/>
      <c r="F1" s="145"/>
      <c r="G1" s="40"/>
      <c r="H1" s="145"/>
      <c r="I1" s="145"/>
      <c r="J1" s="145"/>
    </row>
    <row r="2" ht="25.5" customHeight="1"/>
    <row r="3" spans="2:20" ht="36">
      <c r="B3" s="562" t="str">
        <f>+"Tablero de mando: "&amp;" "&amp;+'Introducción de datos'!C4&amp;" - "&amp;+'Introducción de datos'!G6</f>
        <v>Tablero de mando:  El Salvador - MALARIA</v>
      </c>
      <c r="C3" s="562"/>
      <c r="D3" s="562"/>
      <c r="E3" s="562"/>
      <c r="F3" s="562"/>
      <c r="G3" s="562"/>
      <c r="H3" s="562"/>
      <c r="I3" s="562"/>
      <c r="J3" s="562"/>
      <c r="K3" s="238"/>
      <c r="L3" s="238"/>
      <c r="M3" s="238"/>
      <c r="N3" s="239"/>
      <c r="O3" s="239"/>
      <c r="P3" s="239"/>
      <c r="Q3" s="239"/>
      <c r="R3" s="239"/>
      <c r="S3" s="239"/>
      <c r="T3" s="239"/>
    </row>
    <row r="4" spans="12:20" ht="15" customHeight="1">
      <c r="L4" s="239"/>
      <c r="M4" s="239"/>
      <c r="N4" s="239"/>
      <c r="O4" s="239"/>
      <c r="P4" s="239"/>
      <c r="Q4" s="239"/>
      <c r="R4" s="239"/>
      <c r="S4" s="239"/>
      <c r="T4" s="239"/>
    </row>
    <row r="5" spans="12:20" ht="15">
      <c r="L5" s="239"/>
      <c r="M5" s="239"/>
      <c r="N5" s="239"/>
      <c r="O5" s="239"/>
      <c r="P5" s="239"/>
      <c r="Q5" s="239"/>
      <c r="R5" s="239"/>
      <c r="S5" s="239"/>
      <c r="T5" s="239"/>
    </row>
    <row r="6" spans="1:21" ht="32.25" customHeight="1">
      <c r="A6" s="240" t="s">
        <v>43</v>
      </c>
      <c r="B6" s="563" t="str">
        <f>+'Introducción de datos'!C4</f>
        <v>El Salvador</v>
      </c>
      <c r="C6" s="563"/>
      <c r="D6" s="564" t="s">
        <v>45</v>
      </c>
      <c r="E6" s="564"/>
      <c r="F6" s="565" t="str">
        <f>+'Introducción de datos'!G4</f>
        <v>Eliminación de la malaria en El Salvador: un esfuerzo de país</v>
      </c>
      <c r="G6" s="565"/>
      <c r="H6" s="565"/>
      <c r="I6" s="565"/>
      <c r="J6" s="565"/>
      <c r="K6" s="241"/>
      <c r="L6" s="242"/>
      <c r="M6" s="241"/>
      <c r="N6" s="241"/>
      <c r="O6" s="241"/>
      <c r="P6" s="243"/>
      <c r="Q6" s="244"/>
      <c r="R6" s="244"/>
      <c r="S6" s="244"/>
      <c r="T6" s="244"/>
      <c r="U6" s="244"/>
    </row>
    <row r="7" spans="2:21" ht="8.25" customHeight="1">
      <c r="B7" s="245"/>
      <c r="C7" s="246"/>
      <c r="D7" s="246"/>
      <c r="E7" s="247"/>
      <c r="F7" s="247"/>
      <c r="G7" s="248"/>
      <c r="H7" s="248"/>
      <c r="K7" s="241"/>
      <c r="L7" s="241"/>
      <c r="M7" s="241"/>
      <c r="N7" s="241"/>
      <c r="O7" s="241"/>
      <c r="P7" s="243"/>
      <c r="Q7" s="244"/>
      <c r="R7" s="244"/>
      <c r="S7" s="244"/>
      <c r="T7" s="244"/>
      <c r="U7" s="244"/>
    </row>
    <row r="8" spans="3:21" ht="3.75" customHeight="1">
      <c r="C8" s="249"/>
      <c r="D8" s="249"/>
      <c r="E8" s="249"/>
      <c r="F8" s="249"/>
      <c r="G8" s="249"/>
      <c r="H8" s="249"/>
      <c r="I8" s="249"/>
      <c r="J8" s="249"/>
      <c r="K8" s="241"/>
      <c r="L8" s="241"/>
      <c r="M8" s="241"/>
      <c r="N8" s="241"/>
      <c r="O8" s="250"/>
      <c r="P8" s="243"/>
      <c r="Q8" s="250"/>
      <c r="R8" s="251"/>
      <c r="S8" s="244"/>
      <c r="T8" s="244"/>
      <c r="U8" s="244"/>
    </row>
    <row r="9" spans="1:24" ht="25.5" customHeight="1">
      <c r="A9" s="252" t="s">
        <v>47</v>
      </c>
      <c r="B9" s="253" t="str">
        <f>+'Introducción de datos'!G6</f>
        <v>MALARIA</v>
      </c>
      <c r="C9" s="254" t="s">
        <v>46</v>
      </c>
      <c r="D9" s="255" t="str">
        <f>+'Introducción de datos'!C6</f>
        <v>1117</v>
      </c>
      <c r="E9" s="566" t="s">
        <v>157</v>
      </c>
      <c r="F9" s="566"/>
      <c r="G9" s="256">
        <f>+'Introducción de datos'!C10</f>
        <v>42736</v>
      </c>
      <c r="H9" s="252" t="s">
        <v>158</v>
      </c>
      <c r="I9" s="567">
        <f>+'Introducción de datos'!I6</f>
        <v>2000000</v>
      </c>
      <c r="J9" s="567"/>
      <c r="K9" s="241"/>
      <c r="L9" s="241"/>
      <c r="M9" s="241"/>
      <c r="N9" s="241"/>
      <c r="O9" s="250"/>
      <c r="P9" s="243"/>
      <c r="Q9" s="250"/>
      <c r="R9" s="251"/>
      <c r="S9" s="244"/>
      <c r="T9" s="257"/>
      <c r="U9" s="257"/>
      <c r="V9" s="249"/>
      <c r="W9" s="249"/>
      <c r="X9" s="249"/>
    </row>
    <row r="10" spans="1:21" ht="25.5" customHeight="1">
      <c r="A10" s="252" t="s">
        <v>159</v>
      </c>
      <c r="B10" s="258">
        <f>IF(ISBLANK('Introducción de datos'!G8),"",'Introducción de datos'!G8)</f>
      </c>
      <c r="C10" s="254" t="s">
        <v>160</v>
      </c>
      <c r="D10" s="259" t="str">
        <f>+'Introducción de datos'!I8</f>
        <v>Fase 1</v>
      </c>
      <c r="E10" s="566" t="s">
        <v>161</v>
      </c>
      <c r="F10" s="566"/>
      <c r="G10" s="568" t="str">
        <f>+'Introducción de datos'!C8</f>
        <v>Ministerio de Salud </v>
      </c>
      <c r="H10" s="568"/>
      <c r="I10" s="568"/>
      <c r="J10" s="568"/>
      <c r="K10" s="261"/>
      <c r="L10" s="261"/>
      <c r="M10" s="241"/>
      <c r="N10" s="261"/>
      <c r="O10" s="250"/>
      <c r="P10" s="243"/>
      <c r="Q10" s="257"/>
      <c r="R10" s="251"/>
      <c r="S10" s="244"/>
      <c r="T10" s="257"/>
      <c r="U10" s="257"/>
    </row>
    <row r="11" spans="1:21" ht="25.5" customHeight="1">
      <c r="A11" s="252" t="s">
        <v>162</v>
      </c>
      <c r="B11" s="260" t="s">
        <v>75</v>
      </c>
      <c r="C11" s="254" t="s">
        <v>163</v>
      </c>
      <c r="D11" s="262">
        <f>+'Introducción de datos'!E16</f>
        <v>43466</v>
      </c>
      <c r="E11" s="566" t="s">
        <v>164</v>
      </c>
      <c r="F11" s="566"/>
      <c r="G11" s="262">
        <f>'Introducción de datos'!G16</f>
        <v>43830</v>
      </c>
      <c r="H11" s="252" t="s">
        <v>165</v>
      </c>
      <c r="I11" s="570" t="str">
        <f>+'Introducción de datos'!C12</f>
        <v>B1</v>
      </c>
      <c r="J11" s="570"/>
      <c r="K11" s="263"/>
      <c r="L11" s="261"/>
      <c r="M11" s="241"/>
      <c r="N11" s="261"/>
      <c r="O11" s="261"/>
      <c r="P11" s="243"/>
      <c r="Q11" s="257"/>
      <c r="R11" s="251"/>
      <c r="S11" s="244"/>
      <c r="T11" s="264"/>
      <c r="U11" s="257"/>
    </row>
    <row r="12" spans="1:24" ht="25.5" customHeight="1">
      <c r="A12" s="252" t="s">
        <v>53</v>
      </c>
      <c r="B12" s="568" t="str">
        <f>+'Introducción de datos'!G10</f>
        <v>JACOBS</v>
      </c>
      <c r="C12" s="568"/>
      <c r="D12" s="568"/>
      <c r="E12" s="566" t="s">
        <v>56</v>
      </c>
      <c r="F12" s="566"/>
      <c r="G12" s="568" t="s">
        <v>357</v>
      </c>
      <c r="H12" s="568"/>
      <c r="I12" s="568"/>
      <c r="J12" s="568"/>
      <c r="K12" s="261"/>
      <c r="L12" s="261"/>
      <c r="M12" s="241"/>
      <c r="N12" s="261"/>
      <c r="O12" s="244"/>
      <c r="P12" s="243"/>
      <c r="Q12" s="257"/>
      <c r="R12" s="251"/>
      <c r="S12" s="244"/>
      <c r="T12" s="257"/>
      <c r="U12" s="265"/>
      <c r="V12" s="257"/>
      <c r="W12" s="264"/>
      <c r="X12" s="257"/>
    </row>
    <row r="13" spans="1:21" ht="25.5" customHeight="1">
      <c r="A13" s="252" t="s">
        <v>63</v>
      </c>
      <c r="B13" s="568" t="str">
        <f>+'Introducción de datos'!D18</f>
        <v>UAFM/UFE/MINSAL.</v>
      </c>
      <c r="C13" s="568"/>
      <c r="D13" s="568"/>
      <c r="E13" s="566" t="s">
        <v>166</v>
      </c>
      <c r="F13" s="566"/>
      <c r="G13" s="569">
        <v>43941</v>
      </c>
      <c r="H13" s="569"/>
      <c r="I13" s="569"/>
      <c r="J13" s="569"/>
      <c r="K13" s="244"/>
      <c r="L13" s="266"/>
      <c r="M13" s="266"/>
      <c r="N13" s="266"/>
      <c r="O13" s="244"/>
      <c r="P13" s="266"/>
      <c r="Q13" s="266"/>
      <c r="R13" s="251"/>
      <c r="S13" s="244"/>
      <c r="T13" s="266"/>
      <c r="U13" s="267"/>
    </row>
  </sheetData>
  <sheetProtection selectLockedCells="1" selectUnlockedCells="1"/>
  <mergeCells count="16">
    <mergeCell ref="E10:F10"/>
    <mergeCell ref="G10:J10"/>
    <mergeCell ref="B13:D13"/>
    <mergeCell ref="E13:F13"/>
    <mergeCell ref="G13:J13"/>
    <mergeCell ref="E11:F11"/>
    <mergeCell ref="I11:J11"/>
    <mergeCell ref="B12:D12"/>
    <mergeCell ref="E12:F12"/>
    <mergeCell ref="G12:J12"/>
    <mergeCell ref="B3:J3"/>
    <mergeCell ref="B6:C6"/>
    <mergeCell ref="D6:E6"/>
    <mergeCell ref="F6:J6"/>
    <mergeCell ref="E9:F9"/>
    <mergeCell ref="I9:J9"/>
  </mergeCells>
  <conditionalFormatting sqref="I11:J11">
    <cfRule type="cellIs" priority="1" dxfId="44" operator="equal" stopIfTrue="1">
      <formula>"C"</formula>
    </cfRule>
    <cfRule type="cellIs" priority="2" dxfId="40" operator="equal" stopIfTrue="1">
      <formula>"B2"</formula>
    </cfRule>
    <cfRule type="cellIs" priority="3" dxfId="41" operator="equal" stopIfTrue="1">
      <formula>"B1"</formula>
    </cfRule>
  </conditionalFormatting>
  <dataValidations count="1">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T33"/>
  <sheetViews>
    <sheetView showGridLines="0" zoomScale="166" zoomScaleNormal="166" zoomScalePageLayoutView="0" workbookViewId="0" topLeftCell="A19">
      <selection activeCell="C23" sqref="C23:F23"/>
    </sheetView>
  </sheetViews>
  <sheetFormatPr defaultColWidth="11.421875" defaultRowHeight="15"/>
  <cols>
    <col min="1" max="1" width="3.421875" style="0" customWidth="1"/>
    <col min="2" max="2" width="11.42187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21.57421875" style="0" customWidth="1"/>
    <col min="12" max="12" width="3.57421875" style="0" customWidth="1"/>
  </cols>
  <sheetData>
    <row r="1" spans="2:11" ht="30.75" customHeight="1">
      <c r="B1" s="6"/>
      <c r="C1" s="6"/>
      <c r="D1" s="6"/>
      <c r="E1" s="6"/>
      <c r="F1" s="6"/>
      <c r="G1" s="6"/>
      <c r="H1" s="6"/>
      <c r="I1" s="6"/>
      <c r="J1" s="6"/>
      <c r="K1" s="6"/>
    </row>
    <row r="2" spans="2:15" ht="27.75" customHeight="1">
      <c r="B2" s="526" t="str">
        <f>+"Cuadro de mando:  "&amp;"  "&amp;+'Introducción de datos'!C4&amp;" - "&amp;'Introducción de datos'!G6</f>
        <v>Cuadro de mando:    El Salvador - MALARIA</v>
      </c>
      <c r="C2" s="526"/>
      <c r="D2" s="526"/>
      <c r="E2" s="526"/>
      <c r="F2" s="526"/>
      <c r="G2" s="526"/>
      <c r="H2" s="526"/>
      <c r="I2" s="526"/>
      <c r="J2" s="526"/>
      <c r="K2" s="526"/>
      <c r="L2" s="268"/>
      <c r="M2" s="268"/>
      <c r="N2" s="268"/>
      <c r="O2" s="268"/>
    </row>
    <row r="3" spans="2:12" ht="15">
      <c r="B3" s="269">
        <f>+'Introducción de datos'!G8</f>
        <v>0</v>
      </c>
      <c r="C3" s="571" t="str">
        <f>+'Introducción de datos'!I8</f>
        <v>Fase 1</v>
      </c>
      <c r="D3" s="571"/>
      <c r="E3" s="572"/>
      <c r="F3" s="572"/>
      <c r="G3" s="572"/>
      <c r="H3" s="572"/>
      <c r="I3" s="573" t="str">
        <f>+'Introducción de datos'!B16</f>
        <v>Periodo:</v>
      </c>
      <c r="J3" s="573"/>
      <c r="K3" s="271" t="str">
        <f>+'Introducción de datos'!C16</f>
        <v>P3</v>
      </c>
      <c r="L3" s="272"/>
    </row>
    <row r="4" spans="2:11" ht="15">
      <c r="B4" s="269" t="str">
        <f>+'Introducción de datos'!B12</f>
        <v>Ultima calificación:</v>
      </c>
      <c r="C4" s="574" t="str">
        <f>+'Introducción de datos'!C12</f>
        <v>B1</v>
      </c>
      <c r="D4" s="574"/>
      <c r="E4" s="572" t="str">
        <f>+'Introducción de datos'!C8</f>
        <v>Ministerio de Salud </v>
      </c>
      <c r="F4" s="572"/>
      <c r="G4" s="572"/>
      <c r="H4" s="572"/>
      <c r="I4" s="573" t="str">
        <f>+'Introducción de datos'!D16</f>
        <v>Desde:</v>
      </c>
      <c r="J4" s="573"/>
      <c r="K4" s="273">
        <f>+'Introducción de datos'!E16</f>
        <v>43466</v>
      </c>
    </row>
    <row r="5" spans="2:11" ht="18.75" customHeight="1">
      <c r="B5" s="269"/>
      <c r="C5" s="269"/>
      <c r="D5" s="575" t="str">
        <f>+'Introducción de datos'!G4</f>
        <v>Eliminación de la malaria en El Salvador: un esfuerzo de país</v>
      </c>
      <c r="E5" s="575"/>
      <c r="F5" s="575"/>
      <c r="G5" s="575"/>
      <c r="H5" s="575"/>
      <c r="I5" s="575"/>
      <c r="J5" s="269" t="str">
        <f>+'Introducción de datos'!F16</f>
        <v>Hasta:</v>
      </c>
      <c r="K5" s="273">
        <f>'Introducción de datos'!G16</f>
        <v>43830</v>
      </c>
    </row>
    <row r="6" spans="2:11" ht="18.75">
      <c r="B6" s="274"/>
      <c r="C6" s="269"/>
      <c r="D6" s="275"/>
      <c r="E6" s="576" t="s">
        <v>167</v>
      </c>
      <c r="F6" s="576"/>
      <c r="G6" s="576"/>
      <c r="H6" s="576"/>
      <c r="I6" s="6"/>
      <c r="J6" s="6"/>
      <c r="K6" s="6"/>
    </row>
    <row r="7" spans="2:11" ht="10.5" customHeight="1">
      <c r="B7" s="276"/>
      <c r="C7" s="270"/>
      <c r="D7" s="275"/>
      <c r="E7" s="277"/>
      <c r="F7" s="277"/>
      <c r="G7" s="278"/>
      <c r="H7" s="278"/>
      <c r="I7" s="279"/>
      <c r="J7" s="279"/>
      <c r="K7" s="280"/>
    </row>
    <row r="8" spans="2:14" ht="15">
      <c r="B8" s="281" t="str">
        <f>+'Introducción de datos'!B27&amp;" - en ("&amp;'Introducción de datos'!D26&amp;")         "&amp;+I3&amp;" "&amp;+K3</f>
        <v>F1: Presupuesto y desembolsos del Fondo Mundial - en ($)         Periodo: P3</v>
      </c>
      <c r="C8" s="282"/>
      <c r="D8" s="145"/>
      <c r="E8" s="145"/>
      <c r="F8" s="145"/>
      <c r="H8" s="281" t="str">
        <f>+'Introducción de datos'!B48&amp;" - en ("&amp;'Introducción de datos'!D26&amp;")         "&amp;+I3&amp;" "&amp;+K3</f>
        <v>F3: Desembolsos y gastos - en ($)         Periodo: P3</v>
      </c>
      <c r="I8" s="6"/>
      <c r="J8" s="6"/>
      <c r="K8" s="6"/>
      <c r="N8" s="281"/>
    </row>
    <row r="9" spans="2:20" ht="81" customHeight="1">
      <c r="B9" s="283" t="s">
        <v>168</v>
      </c>
      <c r="C9" s="577" t="s">
        <v>356</v>
      </c>
      <c r="D9" s="577"/>
      <c r="E9" s="577"/>
      <c r="F9" s="577"/>
      <c r="H9" s="284" t="s">
        <v>168</v>
      </c>
      <c r="I9" s="578" t="s">
        <v>353</v>
      </c>
      <c r="J9" s="579"/>
      <c r="K9" s="579"/>
      <c r="L9" s="579"/>
      <c r="M9" s="580"/>
      <c r="N9" s="463"/>
      <c r="O9" s="582"/>
      <c r="P9" s="582"/>
      <c r="Q9" s="582"/>
      <c r="R9" s="582"/>
      <c r="S9" s="582"/>
      <c r="T9" s="582"/>
    </row>
    <row r="10" spans="2:11" ht="15">
      <c r="B10" s="145"/>
      <c r="C10" s="145"/>
      <c r="D10" s="145"/>
      <c r="E10" s="145"/>
      <c r="F10" s="145"/>
      <c r="G10" s="6"/>
      <c r="H10" s="6"/>
      <c r="I10" s="6"/>
      <c r="J10" s="6"/>
      <c r="K10" s="6"/>
    </row>
    <row r="11" spans="2:11" ht="15">
      <c r="B11" s="145"/>
      <c r="C11" s="145"/>
      <c r="D11" s="145"/>
      <c r="E11" s="145"/>
      <c r="F11" s="145"/>
      <c r="G11" s="6"/>
      <c r="H11" s="6"/>
      <c r="I11" s="6"/>
      <c r="J11" s="6"/>
      <c r="K11" s="6"/>
    </row>
    <row r="12" spans="2:11" ht="15">
      <c r="B12" s="145"/>
      <c r="C12" s="145"/>
      <c r="D12" s="145"/>
      <c r="E12" s="145"/>
      <c r="F12" s="145"/>
      <c r="G12" s="6"/>
      <c r="H12" s="6"/>
      <c r="I12" s="6"/>
      <c r="J12" s="6"/>
      <c r="K12" s="6"/>
    </row>
    <row r="13" spans="2:11" ht="15">
      <c r="B13" s="145"/>
      <c r="C13" s="145"/>
      <c r="D13" s="145"/>
      <c r="E13" s="145"/>
      <c r="F13" s="145"/>
      <c r="G13" s="6"/>
      <c r="H13" s="6"/>
      <c r="I13" s="6"/>
      <c r="J13" s="6"/>
      <c r="K13" s="6"/>
    </row>
    <row r="14" spans="2:11" ht="15">
      <c r="B14" s="145"/>
      <c r="C14" s="145"/>
      <c r="D14" s="145"/>
      <c r="E14" s="145"/>
      <c r="F14" s="145"/>
      <c r="G14" s="6"/>
      <c r="H14" s="6"/>
      <c r="I14" s="6"/>
      <c r="J14" s="6"/>
      <c r="K14" s="6"/>
    </row>
    <row r="15" spans="2:13" ht="15">
      <c r="B15" s="145"/>
      <c r="C15" s="145"/>
      <c r="D15" s="145"/>
      <c r="E15" s="145"/>
      <c r="F15" s="145"/>
      <c r="G15" s="6"/>
      <c r="H15" s="6"/>
      <c r="I15" s="6"/>
      <c r="J15" s="6"/>
      <c r="K15" s="6"/>
      <c r="M15" s="285" t="s">
        <v>169</v>
      </c>
    </row>
    <row r="16" spans="2:13" ht="15">
      <c r="B16" s="145"/>
      <c r="C16" s="145"/>
      <c r="D16" s="145"/>
      <c r="E16" s="145"/>
      <c r="F16" s="145"/>
      <c r="G16" s="6"/>
      <c r="H16" s="6"/>
      <c r="I16" s="6"/>
      <c r="J16" s="6"/>
      <c r="K16" s="6"/>
      <c r="M16" s="285" t="s">
        <v>170</v>
      </c>
    </row>
    <row r="17" spans="2:11" ht="15">
      <c r="B17" s="145"/>
      <c r="C17" s="145"/>
      <c r="D17" s="145"/>
      <c r="E17" s="145"/>
      <c r="F17" s="145"/>
      <c r="G17" s="6"/>
      <c r="H17" s="6"/>
      <c r="I17" s="6"/>
      <c r="J17" s="6"/>
      <c r="K17" s="6"/>
    </row>
    <row r="18" spans="2:11" ht="15">
      <c r="B18" s="145"/>
      <c r="C18" s="145"/>
      <c r="D18" s="145"/>
      <c r="E18" s="145"/>
      <c r="F18" s="145"/>
      <c r="G18" s="6"/>
      <c r="H18" s="6"/>
      <c r="I18" s="6"/>
      <c r="J18" s="6"/>
      <c r="K18" s="6"/>
    </row>
    <row r="19" spans="2:11" ht="15">
      <c r="B19" s="145"/>
      <c r="C19" s="145"/>
      <c r="D19" s="145"/>
      <c r="E19" s="145"/>
      <c r="F19" s="145"/>
      <c r="G19" s="6"/>
      <c r="H19" s="6"/>
      <c r="I19" s="6"/>
      <c r="J19" s="6"/>
      <c r="K19" s="6"/>
    </row>
    <row r="20" spans="2:11" ht="15">
      <c r="B20" s="145"/>
      <c r="C20" s="145"/>
      <c r="D20" s="145"/>
      <c r="E20" s="145"/>
      <c r="F20" s="145"/>
      <c r="G20" s="6"/>
      <c r="H20" s="6"/>
      <c r="I20" s="6"/>
      <c r="J20" s="6"/>
      <c r="K20" s="6"/>
    </row>
    <row r="21" spans="1:11" ht="24" customHeight="1">
      <c r="A21" s="10"/>
      <c r="B21" s="10"/>
      <c r="C21" s="10"/>
      <c r="D21" s="10"/>
      <c r="E21" s="10"/>
      <c r="F21" s="10"/>
      <c r="G21" s="10"/>
      <c r="H21" s="10"/>
      <c r="I21" s="10"/>
      <c r="J21" s="10"/>
      <c r="K21" s="10"/>
    </row>
    <row r="22" spans="2:11" ht="23.25" customHeight="1">
      <c r="B22" s="286" t="str">
        <f>+'Introducción de datos'!B36&amp;" - en ("&amp;'Introducción de datos'!D26&amp;")  "&amp;+I3&amp;" "&amp;+K3</f>
        <v>F2: Presupuesto y gastos reales por modulos de la subvención - en ($)  Periodo: P3</v>
      </c>
      <c r="C22" s="145"/>
      <c r="D22" s="145"/>
      <c r="E22" s="145"/>
      <c r="F22" s="145"/>
      <c r="H22" s="286" t="str">
        <f>+'Introducción de datos'!B57&amp;"   "&amp;+I3&amp;" "&amp;+K3</f>
        <v>F4: Último ciclo de información y desembolso del RP   Periodo: P3</v>
      </c>
      <c r="J22" s="6"/>
      <c r="K22" s="6"/>
    </row>
    <row r="23" spans="2:11" ht="117.75" customHeight="1">
      <c r="B23" s="284" t="s">
        <v>171</v>
      </c>
      <c r="C23" s="584" t="s">
        <v>354</v>
      </c>
      <c r="D23" s="584"/>
      <c r="E23" s="584"/>
      <c r="F23" s="584"/>
      <c r="G23" s="287"/>
      <c r="H23" s="284" t="s">
        <v>168</v>
      </c>
      <c r="I23" s="584" t="s">
        <v>352</v>
      </c>
      <c r="J23" s="584"/>
      <c r="K23" s="584"/>
    </row>
    <row r="24" spans="2:11" ht="15.75" customHeight="1">
      <c r="B24" s="288"/>
      <c r="C24" s="288"/>
      <c r="D24" s="288"/>
      <c r="E24" s="288"/>
      <c r="F24" s="288"/>
      <c r="G24" s="288"/>
      <c r="H24" s="289"/>
      <c r="I24" s="289"/>
      <c r="J24" s="288"/>
      <c r="K24" s="288"/>
    </row>
    <row r="25" spans="2:11" ht="29.25" customHeight="1">
      <c r="B25" s="6"/>
      <c r="C25" s="6"/>
      <c r="D25" s="6"/>
      <c r="E25" s="6"/>
      <c r="F25" s="6"/>
      <c r="G25" s="290"/>
      <c r="H25" s="585" t="s">
        <v>172</v>
      </c>
      <c r="I25" s="585"/>
      <c r="J25" s="585"/>
      <c r="K25" s="585"/>
    </row>
    <row r="26" spans="2:11" ht="24.75">
      <c r="B26" s="6"/>
      <c r="C26" s="6"/>
      <c r="D26" s="6"/>
      <c r="E26" s="6"/>
      <c r="F26" s="6"/>
      <c r="G26" s="44"/>
      <c r="H26" s="586"/>
      <c r="I26" s="586"/>
      <c r="J26" s="291" t="s">
        <v>95</v>
      </c>
      <c r="K26" s="292" t="s">
        <v>96</v>
      </c>
    </row>
    <row r="27" spans="2:11" ht="29.25" customHeight="1">
      <c r="B27" s="6"/>
      <c r="C27" s="6"/>
      <c r="D27" s="6"/>
      <c r="E27" s="6"/>
      <c r="F27" s="6"/>
      <c r="G27" s="293"/>
      <c r="H27" s="581" t="str">
        <f>'Introducción de datos'!B61</f>
        <v>Días tardados en presentar el informe de progreso actualizado y solicitud de desembolso al ALF</v>
      </c>
      <c r="I27" s="581"/>
      <c r="J27" s="294">
        <f>+'Introducción de datos'!C61</f>
        <v>60</v>
      </c>
      <c r="K27" s="295">
        <f>+'Introducción de datos'!D61</f>
        <v>60</v>
      </c>
    </row>
    <row r="28" spans="2:11" ht="21" customHeight="1">
      <c r="B28" s="6"/>
      <c r="C28" s="6"/>
      <c r="D28" s="6"/>
      <c r="E28" s="6"/>
      <c r="F28" s="6"/>
      <c r="G28" s="293"/>
      <c r="H28" s="581" t="str">
        <f>'Introducción de datos'!B62</f>
        <v>Días que el desembolso ha tardado en llegar al RP</v>
      </c>
      <c r="I28" s="581"/>
      <c r="J28" s="294">
        <f>+'Introducción de datos'!C62</f>
        <v>0</v>
      </c>
      <c r="K28" s="296">
        <f>+'Introducción de datos'!D62</f>
        <v>0</v>
      </c>
    </row>
    <row r="29" spans="2:11" ht="21" customHeight="1">
      <c r="B29" s="6"/>
      <c r="C29" s="6"/>
      <c r="D29" s="6"/>
      <c r="E29" s="6"/>
      <c r="F29" s="6"/>
      <c r="G29" s="293"/>
      <c r="H29" s="583">
        <f>'Introducción de datos'!B63</f>
        <v>0</v>
      </c>
      <c r="I29" s="583"/>
      <c r="J29" s="297">
        <f>+'Introducción de datos'!C63</f>
        <v>0</v>
      </c>
      <c r="K29" s="296">
        <f>+'Introducción de datos'!D63</f>
        <v>0</v>
      </c>
    </row>
    <row r="30" spans="2:11" ht="15">
      <c r="B30" s="6"/>
      <c r="C30" s="6"/>
      <c r="D30" s="6"/>
      <c r="E30" s="6"/>
      <c r="F30" s="6"/>
      <c r="G30" s="6"/>
      <c r="H30" s="6"/>
      <c r="I30" s="6"/>
      <c r="J30" s="6"/>
      <c r="K30" s="6"/>
    </row>
    <row r="31" spans="2:11" ht="15">
      <c r="B31" s="6"/>
      <c r="C31" s="92"/>
      <c r="D31" s="298"/>
      <c r="E31" s="6"/>
      <c r="F31" s="6"/>
      <c r="G31" s="6"/>
      <c r="H31" s="6"/>
      <c r="I31" s="6"/>
      <c r="J31" s="6"/>
      <c r="K31" s="6"/>
    </row>
    <row r="32" spans="2:11" ht="15">
      <c r="B32" s="6"/>
      <c r="C32" s="261" t="s">
        <v>86</v>
      </c>
      <c r="D32" s="298"/>
      <c r="E32" s="6"/>
      <c r="F32" s="6"/>
      <c r="G32" s="6"/>
      <c r="H32" s="6"/>
      <c r="I32" s="6"/>
      <c r="J32" s="6"/>
      <c r="K32" s="6"/>
    </row>
    <row r="33" ht="15">
      <c r="C33" s="285" t="s">
        <v>130</v>
      </c>
    </row>
  </sheetData>
  <sheetProtection selectLockedCells="1" selectUnlockedCells="1"/>
  <mergeCells count="19">
    <mergeCell ref="H28:I28"/>
    <mergeCell ref="H29:I29"/>
    <mergeCell ref="C23:F23"/>
    <mergeCell ref="I23:K23"/>
    <mergeCell ref="H25:K25"/>
    <mergeCell ref="H26:I26"/>
    <mergeCell ref="D5:I5"/>
    <mergeCell ref="E6:H6"/>
    <mergeCell ref="C9:F9"/>
    <mergeCell ref="I9:M9"/>
    <mergeCell ref="H27:I27"/>
    <mergeCell ref="O9:T9"/>
    <mergeCell ref="B2:K2"/>
    <mergeCell ref="C3:D3"/>
    <mergeCell ref="E3:H3"/>
    <mergeCell ref="I3:J3"/>
    <mergeCell ref="C4:D4"/>
    <mergeCell ref="E4:H4"/>
    <mergeCell ref="I4:J4"/>
  </mergeCells>
  <conditionalFormatting sqref="K27:K29">
    <cfRule type="cellIs" priority="3" dxfId="45" operator="equal" stopIfTrue="1">
      <formula>0</formula>
    </cfRule>
  </conditionalFormatting>
  <conditionalFormatting sqref="C4:D4">
    <cfRule type="cellIs" priority="4" dxfId="44" operator="equal" stopIfTrue="1">
      <formula>"C"</formula>
    </cfRule>
    <cfRule type="cellIs" priority="5" dxfId="40" operator="equal" stopIfTrue="1">
      <formula>"B2"</formula>
    </cfRule>
    <cfRule type="cellIs" priority="6" dxfId="41"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31"/>
  <sheetViews>
    <sheetView showGridLines="0" zoomScale="115" zoomScaleNormal="115" zoomScalePageLayoutView="0" workbookViewId="0" topLeftCell="A25">
      <selection activeCell="G36" sqref="G36"/>
    </sheetView>
  </sheetViews>
  <sheetFormatPr defaultColWidth="11.421875" defaultRowHeight="15"/>
  <cols>
    <col min="1" max="1" width="3.421875" style="0" customWidth="1"/>
    <col min="2" max="2" width="14.421875" style="0" customWidth="1"/>
    <col min="3" max="3" width="12.421875" style="0" customWidth="1"/>
    <col min="4" max="4" width="13.140625" style="0" customWidth="1"/>
    <col min="5" max="5" width="11.421875" style="0" customWidth="1"/>
    <col min="6" max="6" width="11.8515625" style="0" customWidth="1"/>
    <col min="7" max="7" width="18.57421875" style="0" customWidth="1"/>
    <col min="8" max="8" width="11.421875" style="0" customWidth="1"/>
    <col min="9" max="9" width="14.421875" style="0" customWidth="1"/>
    <col min="10" max="10" width="15.140625" style="0" customWidth="1"/>
    <col min="11" max="11" width="15.421875" style="0" customWidth="1"/>
    <col min="12" max="12" width="20.28125" style="0" customWidth="1"/>
  </cols>
  <sheetData>
    <row r="1" spans="3:5" ht="28.5" customHeight="1">
      <c r="C1" s="299"/>
      <c r="E1" s="299"/>
    </row>
    <row r="2" spans="2:16" ht="27.75" customHeight="1">
      <c r="B2" s="587" t="str">
        <f>+"Cuadro de mando:  "&amp;"  "&amp;+'Introducción de datos'!C4&amp;" - "&amp;'Introducción de datos'!G6</f>
        <v>Cuadro de mando:    El Salvador - MALARIA</v>
      </c>
      <c r="C2" s="587"/>
      <c r="D2" s="587"/>
      <c r="E2" s="587"/>
      <c r="F2" s="587"/>
      <c r="G2" s="587"/>
      <c r="H2" s="587"/>
      <c r="I2" s="587"/>
      <c r="J2" s="587"/>
      <c r="K2" s="587"/>
      <c r="L2" s="587"/>
      <c r="M2" s="300"/>
      <c r="N2" s="300"/>
      <c r="O2" s="300"/>
      <c r="P2" s="300"/>
    </row>
    <row r="3" spans="2:12" ht="15">
      <c r="B3" s="301">
        <f>+'Introducción de datos'!G8</f>
        <v>0</v>
      </c>
      <c r="C3" s="588" t="str">
        <f>+'Introducción de datos'!I8</f>
        <v>Fase 1</v>
      </c>
      <c r="D3" s="588"/>
      <c r="E3" s="589"/>
      <c r="F3" s="589"/>
      <c r="G3" s="589"/>
      <c r="H3" s="589"/>
      <c r="I3" s="589"/>
      <c r="J3" s="590" t="str">
        <f>+'Introducción de datos'!B16</f>
        <v>Periodo:</v>
      </c>
      <c r="K3" s="590"/>
      <c r="L3" s="271" t="str">
        <f>+'Introducción de datos'!C16</f>
        <v>P3</v>
      </c>
    </row>
    <row r="4" spans="2:12" ht="15">
      <c r="B4" s="301" t="str">
        <f>+'Introducción de datos'!B12</f>
        <v>Ultima calificación:</v>
      </c>
      <c r="C4" s="574" t="str">
        <f>+'Introducción de datos'!C12</f>
        <v>B1</v>
      </c>
      <c r="D4" s="574"/>
      <c r="E4" s="589" t="str">
        <f>+'Introducción de datos'!C8</f>
        <v>Ministerio de Salud </v>
      </c>
      <c r="F4" s="589"/>
      <c r="G4" s="589"/>
      <c r="H4" s="589"/>
      <c r="I4" s="589"/>
      <c r="J4" s="590" t="str">
        <f>+'Introducción de datos'!D16</f>
        <v>Desde:</v>
      </c>
      <c r="K4" s="590"/>
      <c r="L4" s="273">
        <f>+'Introducción de datos'!E16</f>
        <v>43466</v>
      </c>
    </row>
    <row r="5" spans="2:12" ht="18.75" customHeight="1">
      <c r="B5" s="301"/>
      <c r="C5" s="301"/>
      <c r="D5" s="589" t="str">
        <f>+'Introducción de datos'!G4</f>
        <v>Eliminación de la malaria en El Salvador: un esfuerzo de país</v>
      </c>
      <c r="E5" s="589"/>
      <c r="F5" s="589"/>
      <c r="G5" s="589"/>
      <c r="H5" s="589"/>
      <c r="I5" s="589"/>
      <c r="J5" s="589"/>
      <c r="K5" s="301" t="str">
        <f>+'Introducción de datos'!F16</f>
        <v>Hasta:</v>
      </c>
      <c r="L5" s="273">
        <f>+'Introducción de datos'!G16</f>
        <v>43830</v>
      </c>
    </row>
    <row r="6" spans="2:9" ht="18.75">
      <c r="B6" s="302"/>
      <c r="C6" s="301"/>
      <c r="D6" s="275"/>
      <c r="E6" s="591" t="s">
        <v>16</v>
      </c>
      <c r="F6" s="591"/>
      <c r="G6" s="591"/>
      <c r="H6" s="591"/>
      <c r="I6" s="591"/>
    </row>
    <row r="7" spans="2:8" ht="15">
      <c r="B7" s="303" t="str">
        <f>+'Introducción de datos'!B68&amp;"     "&amp;+J3&amp;" "&amp;+L3</f>
        <v>M1: Estado de las condiciones precedentes y acciones con fecha límite     Periodo: P3</v>
      </c>
      <c r="C7" s="304"/>
      <c r="H7" s="303" t="str">
        <f>+'Introducción de datos'!B75&amp;"         "&amp;+J3&amp;"  "&amp;+L3</f>
        <v>M2: Estado de los principales puestos directivos del RP         Periodo:  P3</v>
      </c>
    </row>
    <row r="8" spans="2:12" ht="14.25" customHeight="1">
      <c r="B8" s="305" t="s">
        <v>168</v>
      </c>
      <c r="C8" s="592"/>
      <c r="D8" s="592"/>
      <c r="E8" s="592"/>
      <c r="F8" s="592"/>
      <c r="G8" s="306"/>
      <c r="H8" s="305" t="s">
        <v>168</v>
      </c>
      <c r="I8" s="593"/>
      <c r="J8" s="593"/>
      <c r="K8" s="593"/>
      <c r="L8" s="593"/>
    </row>
    <row r="9" spans="2:8" ht="15">
      <c r="B9" s="10"/>
      <c r="C9" s="10"/>
      <c r="D9" s="10"/>
      <c r="E9" s="10"/>
      <c r="F9" s="10"/>
      <c r="G9" s="10"/>
      <c r="H9" s="10"/>
    </row>
    <row r="10" spans="1:16" ht="15">
      <c r="A10" s="307"/>
      <c r="B10" s="10"/>
      <c r="C10" s="10"/>
      <c r="D10" s="594"/>
      <c r="E10" s="502"/>
      <c r="F10" s="502"/>
      <c r="G10" s="12"/>
      <c r="H10" s="10"/>
      <c r="N10" s="309"/>
      <c r="O10" s="309"/>
      <c r="P10" s="310"/>
    </row>
    <row r="11" spans="2:15" ht="15">
      <c r="B11" s="10"/>
      <c r="C11" s="308"/>
      <c r="D11" s="594"/>
      <c r="E11" s="308"/>
      <c r="F11" s="308"/>
      <c r="G11" s="308"/>
      <c r="H11" s="308"/>
      <c r="N11" s="10"/>
      <c r="O11" s="10"/>
    </row>
    <row r="12" spans="2:8" ht="15">
      <c r="B12" s="308"/>
      <c r="C12" s="311"/>
      <c r="D12" s="312"/>
      <c r="E12" s="312"/>
      <c r="F12" s="312"/>
      <c r="G12" s="312"/>
      <c r="H12" s="313"/>
    </row>
    <row r="13" spans="2:8" ht="15">
      <c r="B13" s="308"/>
      <c r="C13" s="311"/>
      <c r="D13" s="312"/>
      <c r="E13" s="312"/>
      <c r="F13" s="312"/>
      <c r="G13" s="312"/>
      <c r="H13" s="313"/>
    </row>
    <row r="15" spans="2:8" ht="27.75" customHeight="1">
      <c r="B15" s="303" t="str">
        <f>+'Introducción de datos'!B80&amp;"            "&amp;+J3&amp;" "&amp;+L3</f>
        <v>M3: Acuerdos contractuales (N/A)            Periodo: P3</v>
      </c>
      <c r="H15" s="303" t="str">
        <f>+'Introducción de datos'!B85&amp;"                "&amp;+J3&amp;" "&amp;+L3</f>
        <v>M4: Número de informes completos recibidos a tiempo (N/A)                Periodo: P3</v>
      </c>
    </row>
    <row r="16" spans="2:12" ht="29.25" customHeight="1">
      <c r="B16" s="305" t="s">
        <v>168</v>
      </c>
      <c r="C16" s="593" t="s">
        <v>173</v>
      </c>
      <c r="D16" s="593"/>
      <c r="E16" s="593"/>
      <c r="F16" s="593"/>
      <c r="G16" s="306"/>
      <c r="H16" s="305" t="s">
        <v>168</v>
      </c>
      <c r="I16" s="593" t="s">
        <v>173</v>
      </c>
      <c r="J16" s="593"/>
      <c r="K16" s="593"/>
      <c r="L16" s="593"/>
    </row>
    <row r="17" spans="2:8" ht="15">
      <c r="B17" s="314"/>
      <c r="H17" s="315"/>
    </row>
    <row r="18" ht="15">
      <c r="M18" s="272"/>
    </row>
    <row r="25" ht="22.5" customHeight="1"/>
    <row r="26" spans="2:8" ht="15">
      <c r="B26" s="303" t="str">
        <f>+'Introducción de datos'!B91</f>
        <v>M5: Presupuesto y compra de productos y equipo sanitario, medicamentos y productos farmacéuticos</v>
      </c>
      <c r="H26" s="303" t="str">
        <f>+'Introducción de datos'!B104&amp;"    "&amp;+J3&amp;"  "&amp;+L3</f>
        <v>M6: Diferencia entre existencias actuales y existencias de seguridad    Periodo:  P3</v>
      </c>
    </row>
    <row r="27" spans="2:13" ht="99" customHeight="1">
      <c r="B27" s="305" t="s">
        <v>168</v>
      </c>
      <c r="C27" s="597" t="s">
        <v>355</v>
      </c>
      <c r="D27" s="597"/>
      <c r="E27" s="597"/>
      <c r="F27" s="597"/>
      <c r="G27" s="306"/>
      <c r="H27" s="305" t="s">
        <v>168</v>
      </c>
      <c r="I27" s="598"/>
      <c r="J27" s="598"/>
      <c r="K27" s="598"/>
      <c r="L27" s="598"/>
      <c r="M27" s="316"/>
    </row>
    <row r="29" spans="6:12" ht="75" customHeight="1">
      <c r="F29" s="317"/>
      <c r="G29" s="317"/>
      <c r="H29" s="318" t="s">
        <v>132</v>
      </c>
      <c r="I29" s="319" t="s">
        <v>133</v>
      </c>
      <c r="J29" s="320" t="s">
        <v>174</v>
      </c>
      <c r="K29" s="321" t="s">
        <v>175</v>
      </c>
      <c r="L29" s="322" t="s">
        <v>176</v>
      </c>
    </row>
    <row r="30" spans="6:12" ht="14.25" customHeight="1">
      <c r="F30" s="317"/>
      <c r="G30" s="317"/>
      <c r="H30" s="595" t="str">
        <f>+'Introducción de datos'!B107</f>
        <v>MALARIA</v>
      </c>
      <c r="I30" s="323">
        <f>+'Introducción de datos'!C107</f>
        <v>0</v>
      </c>
      <c r="J30" s="324">
        <f>+'Introducción de datos'!I107</f>
      </c>
      <c r="K30" s="323">
        <f>+'Introducción de datos'!J107</f>
        <v>0</v>
      </c>
      <c r="L30" s="325">
        <f>+'Introducción de datos'!K107</f>
      </c>
    </row>
    <row r="31" spans="2:12" ht="30" customHeight="1" thickBot="1">
      <c r="B31" s="596" t="str">
        <f>+'Introducción de datos'!B101</f>
        <v>* Incluye sólo insumos y equipos de laboratorio y entomología </v>
      </c>
      <c r="C31" s="596"/>
      <c r="D31" s="596"/>
      <c r="E31" s="596"/>
      <c r="F31" s="10"/>
      <c r="G31" s="10"/>
      <c r="H31" s="595"/>
      <c r="I31" s="323">
        <f>+'Introducción de datos'!C108</f>
        <v>0</v>
      </c>
      <c r="J31" s="324">
        <f>+'Introducción de datos'!I108</f>
      </c>
      <c r="K31" s="323">
        <f>+'Introducción de datos'!J108</f>
        <v>0</v>
      </c>
      <c r="L31" s="326">
        <f>+'Introducción de datos'!K108</f>
      </c>
    </row>
  </sheetData>
  <sheetProtection selectLockedCells="1" selectUnlockedCells="1"/>
  <mergeCells count="19">
    <mergeCell ref="H30:H31"/>
    <mergeCell ref="B31:E31"/>
    <mergeCell ref="C16:F16"/>
    <mergeCell ref="I16:L16"/>
    <mergeCell ref="C27:F27"/>
    <mergeCell ref="I27:L27"/>
    <mergeCell ref="D5:J5"/>
    <mergeCell ref="E6:I6"/>
    <mergeCell ref="C8:F8"/>
    <mergeCell ref="I8:L8"/>
    <mergeCell ref="D10:D11"/>
    <mergeCell ref="E10:F10"/>
    <mergeCell ref="B2:L2"/>
    <mergeCell ref="C3:D3"/>
    <mergeCell ref="E3:I3"/>
    <mergeCell ref="J3:K3"/>
    <mergeCell ref="C4:D4"/>
    <mergeCell ref="E4:I4"/>
    <mergeCell ref="J4:K4"/>
  </mergeCells>
  <conditionalFormatting sqref="D12:D13">
    <cfRule type="cellIs" priority="4" dxfId="43" operator="greaterThan" stopIfTrue="1">
      <formula>0</formula>
    </cfRule>
  </conditionalFormatting>
  <conditionalFormatting sqref="E12:E13">
    <cfRule type="cellIs" priority="5" dxfId="46" operator="greaterThan" stopIfTrue="1">
      <formula>0</formula>
    </cfRule>
  </conditionalFormatting>
  <conditionalFormatting sqref="F12:G13">
    <cfRule type="cellIs" priority="6" dxfId="44" operator="greaterThan" stopIfTrue="1">
      <formula>0</formula>
    </cfRule>
  </conditionalFormatting>
  <conditionalFormatting sqref="C4:D4">
    <cfRule type="cellIs" priority="7" dxfId="44" operator="equal" stopIfTrue="1">
      <formula>"C"</formula>
    </cfRule>
    <cfRule type="cellIs" priority="8" dxfId="40" operator="equal" stopIfTrue="1">
      <formula>"B2"</formula>
    </cfRule>
    <cfRule type="cellIs" priority="9" dxfId="41" operator="equal" stopIfTrue="1">
      <formula>"B1"</formula>
    </cfRule>
  </conditionalFormatting>
  <conditionalFormatting sqref="L30">
    <cfRule type="cellIs" priority="10" dxfId="47" operator="lessThan" stopIfTrue="1">
      <formula>1</formula>
    </cfRule>
    <cfRule type="cellIs" priority="11" dxfId="48" operator="between" stopIfTrue="1">
      <formula>3</formula>
      <formula>17</formula>
    </cfRule>
    <cfRule type="cellIs" priority="12" dxfId="49" operator="between" stopIfTrue="1">
      <formula>1</formula>
      <formula>3</formula>
    </cfRule>
  </conditionalFormatting>
  <conditionalFormatting sqref="L31">
    <cfRule type="cellIs" priority="13" dxfId="47" operator="lessThan" stopIfTrue="1">
      <formula>1</formula>
    </cfRule>
    <cfRule type="cellIs" priority="14" dxfId="48" operator="between" stopIfTrue="1">
      <formula>3</formula>
      <formula>100</formula>
    </cfRule>
    <cfRule type="cellIs" priority="15" dxfId="49"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r:id="rId2"/>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H28"/>
  <sheetViews>
    <sheetView showGridLines="0" zoomScale="110" zoomScaleNormal="110" zoomScalePageLayoutView="0" workbookViewId="0" topLeftCell="B25">
      <selection activeCell="L9" sqref="L9"/>
    </sheetView>
  </sheetViews>
  <sheetFormatPr defaultColWidth="11.421875" defaultRowHeight="15"/>
  <cols>
    <col min="1" max="1" width="0.42578125" style="0" customWidth="1"/>
    <col min="2" max="2" width="17.8515625" style="0" customWidth="1"/>
    <col min="3" max="3" width="16.140625" style="0" customWidth="1"/>
    <col min="4" max="4" width="20.28125" style="0" customWidth="1"/>
    <col min="5" max="5" width="10.8515625" style="0" customWidth="1"/>
    <col min="6" max="6" width="12.28125" style="0" customWidth="1"/>
    <col min="7" max="7" width="8.421875" style="0" customWidth="1"/>
    <col min="8" max="8" width="6.421875" style="0" customWidth="1"/>
    <col min="9" max="9" width="6.00390625" style="0" customWidth="1"/>
    <col min="10" max="10" width="6.140625" style="0" customWidth="1"/>
    <col min="11" max="11" width="11.421875" style="0" customWidth="1"/>
    <col min="12" max="12" width="14.00390625" style="0" customWidth="1"/>
    <col min="13" max="13" width="11.57421875" style="0" customWidth="1"/>
    <col min="14" max="14" width="9.421875" style="0" customWidth="1"/>
    <col min="15" max="15" width="7.421875" style="0" customWidth="1"/>
    <col min="16" max="16" width="15.57421875" style="0" customWidth="1"/>
    <col min="17" max="17" width="14.421875" style="0" customWidth="1"/>
  </cols>
  <sheetData>
    <row r="1" spans="1:16" ht="26.25" customHeight="1">
      <c r="A1" s="6"/>
      <c r="B1" s="6"/>
      <c r="C1" s="6"/>
      <c r="D1" s="6"/>
      <c r="E1" s="6"/>
      <c r="F1" s="6"/>
      <c r="G1" s="6"/>
      <c r="H1" s="6"/>
      <c r="I1" s="6"/>
      <c r="J1" s="6"/>
      <c r="K1" s="6"/>
      <c r="L1" s="6"/>
      <c r="M1" s="6"/>
      <c r="N1" s="6"/>
      <c r="O1" s="6"/>
      <c r="P1" s="6"/>
    </row>
    <row r="2" spans="1:17" ht="21.75" customHeight="1">
      <c r="A2" s="6"/>
      <c r="B2" s="612" t="str">
        <f>+"Cuadro de mando:  "&amp;"  "&amp;+'Introducción de datos'!C4&amp;" - "&amp;'Introducción de datos'!G6</f>
        <v>Cuadro de mando:    El Salvador - MALARIA</v>
      </c>
      <c r="C2" s="612"/>
      <c r="D2" s="612"/>
      <c r="E2" s="612"/>
      <c r="F2" s="612"/>
      <c r="G2" s="612"/>
      <c r="H2" s="612"/>
      <c r="I2" s="612"/>
      <c r="J2" s="612"/>
      <c r="K2" s="612"/>
      <c r="L2" s="612"/>
      <c r="M2" s="612"/>
      <c r="N2" s="612"/>
      <c r="O2" s="612"/>
      <c r="P2" s="612"/>
      <c r="Q2" s="612"/>
    </row>
    <row r="3" spans="1:17" ht="15">
      <c r="A3" s="6"/>
      <c r="B3" s="269">
        <f>+'Introducción de datos'!G8</f>
        <v>0</v>
      </c>
      <c r="C3" s="571" t="str">
        <f>+'Introducción de datos'!I8</f>
        <v>Fase 1</v>
      </c>
      <c r="D3" s="571"/>
      <c r="E3" s="572"/>
      <c r="F3" s="572"/>
      <c r="G3" s="572"/>
      <c r="H3" s="572"/>
      <c r="I3" s="572"/>
      <c r="J3" s="572"/>
      <c r="K3" s="572"/>
      <c r="L3" s="6"/>
      <c r="M3" s="6"/>
      <c r="O3" s="573" t="str">
        <f>+'Introducción de datos'!B16</f>
        <v>Periodo:</v>
      </c>
      <c r="P3" s="573"/>
      <c r="Q3" s="327" t="str">
        <f>+'Introducción de datos'!C16</f>
        <v>P3</v>
      </c>
    </row>
    <row r="4" spans="1:28" ht="12" customHeight="1">
      <c r="A4" s="6"/>
      <c r="B4" s="269" t="str">
        <f>+'Introducción de datos'!B12</f>
        <v>Ultima calificación:</v>
      </c>
      <c r="C4" s="613" t="str">
        <f>+'Introducción de datos'!C12</f>
        <v>B1</v>
      </c>
      <c r="D4" s="613"/>
      <c r="E4" s="572" t="str">
        <f>+'Introducción de datos'!C8</f>
        <v>Ministerio de Salud </v>
      </c>
      <c r="F4" s="572"/>
      <c r="G4" s="572"/>
      <c r="H4" s="572"/>
      <c r="I4" s="572"/>
      <c r="J4" s="572"/>
      <c r="K4" s="572"/>
      <c r="L4" s="572"/>
      <c r="M4" s="6"/>
      <c r="O4" s="328"/>
      <c r="P4" s="269" t="str">
        <f>+'Introducción de datos'!D16</f>
        <v>Desde:</v>
      </c>
      <c r="Q4" s="329">
        <f>+'Introducción de datos'!E16</f>
        <v>43466</v>
      </c>
      <c r="X4" s="285"/>
      <c r="Y4" s="285"/>
      <c r="Z4" s="285"/>
      <c r="AA4" s="285"/>
      <c r="AB4" s="285"/>
    </row>
    <row r="5" spans="1:34" ht="20.25" customHeight="1">
      <c r="A5" s="6"/>
      <c r="B5" s="269"/>
      <c r="C5" s="269"/>
      <c r="D5" s="572" t="str">
        <f>+'Introducción de datos'!G4</f>
        <v>Eliminación de la malaria en El Salvador: un esfuerzo de país</v>
      </c>
      <c r="E5" s="572"/>
      <c r="F5" s="572"/>
      <c r="G5" s="572"/>
      <c r="H5" s="572"/>
      <c r="I5" s="572"/>
      <c r="J5" s="572"/>
      <c r="K5" s="572"/>
      <c r="L5" s="572"/>
      <c r="M5" s="572"/>
      <c r="N5" s="572"/>
      <c r="P5" s="269" t="str">
        <f>+'Introducción de datos'!F16</f>
        <v>Hasta:</v>
      </c>
      <c r="Q5" s="329">
        <f>+'Introducción de datos'!G16</f>
        <v>43830</v>
      </c>
      <c r="R5" s="330"/>
      <c r="S5" s="330"/>
      <c r="T5" s="330"/>
      <c r="U5" s="330"/>
      <c r="V5" s="330"/>
      <c r="W5" s="330"/>
      <c r="X5" s="285"/>
      <c r="Y5" s="285"/>
      <c r="Z5" s="285" t="s">
        <v>177</v>
      </c>
      <c r="AA5" s="285"/>
      <c r="AB5" s="331" t="s">
        <v>178</v>
      </c>
      <c r="AC5" s="330"/>
      <c r="AD5" s="330"/>
      <c r="AE5" s="330"/>
      <c r="AF5" s="330"/>
      <c r="AG5" s="330"/>
      <c r="AH5" s="330"/>
    </row>
    <row r="6" spans="1:34" ht="63.75" customHeight="1">
      <c r="A6" s="6"/>
      <c r="B6" s="269"/>
      <c r="C6" s="269"/>
      <c r="D6" s="332"/>
      <c r="E6" s="332"/>
      <c r="F6" s="614" t="s">
        <v>179</v>
      </c>
      <c r="G6" s="614"/>
      <c r="H6" s="614"/>
      <c r="I6" s="614"/>
      <c r="J6" s="614"/>
      <c r="K6" s="614"/>
      <c r="L6" s="332"/>
      <c r="M6" s="6"/>
      <c r="N6" s="6"/>
      <c r="O6" s="333"/>
      <c r="P6" s="334"/>
      <c r="R6" s="330"/>
      <c r="S6" s="330"/>
      <c r="T6" s="330"/>
      <c r="U6" s="330"/>
      <c r="V6" s="330"/>
      <c r="W6" s="330"/>
      <c r="X6" s="285"/>
      <c r="Y6" s="285"/>
      <c r="Z6" s="285"/>
      <c r="AA6" s="285"/>
      <c r="AB6" s="285"/>
      <c r="AC6" s="330"/>
      <c r="AD6" s="330"/>
      <c r="AE6" s="330"/>
      <c r="AF6" s="330"/>
      <c r="AG6" s="330"/>
      <c r="AH6" s="330"/>
    </row>
    <row r="7" spans="1:34" ht="3" customHeight="1">
      <c r="A7" s="6"/>
      <c r="B7" s="269"/>
      <c r="C7" s="269"/>
      <c r="D7" s="332"/>
      <c r="E7" s="332"/>
      <c r="F7" s="332"/>
      <c r="G7" s="332"/>
      <c r="H7" s="332"/>
      <c r="I7" s="332"/>
      <c r="J7" s="332"/>
      <c r="K7" s="332"/>
      <c r="L7" s="332"/>
      <c r="M7" s="6"/>
      <c r="N7" s="6"/>
      <c r="O7" s="333"/>
      <c r="P7" s="273"/>
      <c r="Q7" s="273"/>
      <c r="R7" s="330"/>
      <c r="S7" s="330"/>
      <c r="T7" s="330"/>
      <c r="U7" s="330"/>
      <c r="V7" s="330"/>
      <c r="W7" s="330"/>
      <c r="X7" s="285"/>
      <c r="Y7" s="285"/>
      <c r="Z7" s="285"/>
      <c r="AA7" s="285"/>
      <c r="AB7" s="285"/>
      <c r="AC7" s="330"/>
      <c r="AD7" s="330"/>
      <c r="AE7" s="330"/>
      <c r="AF7" s="330"/>
      <c r="AG7" s="330"/>
      <c r="AH7" s="330"/>
    </row>
    <row r="8" spans="1:34" ht="36.75" customHeight="1">
      <c r="A8" s="6"/>
      <c r="B8" s="615" t="str">
        <f>+'Introducción de datos'!B115</f>
        <v>Malaria O-4: Proporción de viviendas que han sido rociadas en los últimos 12 meses. </v>
      </c>
      <c r="C8" s="615"/>
      <c r="D8" s="615"/>
      <c r="E8" s="615"/>
      <c r="F8" s="615" t="str">
        <f>+'Introducción de datos'!B117</f>
        <v>Malaria O-9: 2. Tasa anual de muestras de sangre (laminas leídas). </v>
      </c>
      <c r="G8" s="615"/>
      <c r="H8" s="615"/>
      <c r="I8" s="615"/>
      <c r="J8" s="615"/>
      <c r="K8" s="615"/>
      <c r="L8" s="615" t="str">
        <f>+'Introducción de datos'!B119</f>
        <v>VC-5: Proporción de vivienda en las áreas priorizadas que reciben la fumigación intra-domiciliar </v>
      </c>
      <c r="M8" s="615"/>
      <c r="N8" s="615"/>
      <c r="O8" s="615"/>
      <c r="P8" s="615"/>
      <c r="Q8" s="615"/>
      <c r="R8" s="330"/>
      <c r="S8" s="330"/>
      <c r="T8" s="330"/>
      <c r="U8" s="330"/>
      <c r="V8" s="330"/>
      <c r="W8" s="330"/>
      <c r="X8" s="285"/>
      <c r="Y8" s="285"/>
      <c r="Z8" s="285"/>
      <c r="AA8" s="285"/>
      <c r="AB8" s="285"/>
      <c r="AC8" s="330"/>
      <c r="AD8" s="330"/>
      <c r="AE8" s="330"/>
      <c r="AF8" s="330"/>
      <c r="AG8" s="330"/>
      <c r="AH8" s="330"/>
    </row>
    <row r="9" spans="1:34" ht="137.25" customHeight="1">
      <c r="A9" s="6"/>
      <c r="B9" s="335" t="s">
        <v>180</v>
      </c>
      <c r="C9" s="616" t="str">
        <f>L20</f>
        <v>Para el periodo reportado no existen casos autóctonos, por lo que según la clasificación de focos según el Marco para la Eliminación de la Malaria (OMS), no se reportan focos activos.  La meta para el año 2019 era 6,519 viviendas habiéndose realizado RRI en 4,275 viviendas, logrando un porcentaje de 93.4%,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v>
      </c>
      <c r="D9" s="617"/>
      <c r="E9" s="618"/>
      <c r="F9" s="335" t="s">
        <v>180</v>
      </c>
      <c r="G9" s="616" t="str">
        <f>L21</f>
        <v>En 2015 la Tasa anual de exámenes de sangre se calculó en base a la población residentes en los focos activos y residuales no activos, estableciéndose como meta 3.6% para los focos activos. Para el 2019, no se han reportado casos autóctonos, por consiguiente no existieron focos activos, por lo que el resultado reportado pudo ser cero, pero debido al accionar preventivo bajo la modalidad búsqueda activa y pasiva con toma de gota gruesa. Se realizó vigilancia  y se ha tomado como población en riesgo aquella que viven en áreas receptibles y vulnerables que para e laño 2019, era de 1,243,080 perosnals y se tomaron el tota l de 89,839 gotas gruesas, obteniendo un incremento enel indicador esperado el cual era de 3.6% siendo lo alcanzado un 7.2%. 
Fuente: Sistema Estadístico de Producción de Servicios (SEPS).
</v>
      </c>
      <c r="H9" s="619"/>
      <c r="I9" s="619"/>
      <c r="J9" s="619"/>
      <c r="K9" s="620"/>
      <c r="L9" s="335" t="s">
        <v>180</v>
      </c>
      <c r="M9" s="621" t="str">
        <f>'Introducción de datos'!R120</f>
        <v>En 2019 no existen focos activos debido a que los casos reportados fueron importados. Por lo que no hubo rociado a focos activos; sin embargo, el país realizo la accion de rociado en focos residuales no activos que cumpliean criterio para RRI, en 4,275 viviendas y ubicadas en areas con vulnerabilidad y receptividad para malaria, por lo que se sobrepaso de la meta, logrando el 174.92%. Fuente: Informe de acciones para Malaria 2019.</v>
      </c>
      <c r="N9" s="622"/>
      <c r="O9" s="622"/>
      <c r="P9" s="622"/>
      <c r="Q9" s="620"/>
      <c r="R9" s="330"/>
      <c r="S9" s="330"/>
      <c r="T9" s="330"/>
      <c r="U9" s="330"/>
      <c r="V9" s="330"/>
      <c r="W9" s="330"/>
      <c r="X9" s="330"/>
      <c r="Y9" s="330"/>
      <c r="Z9" s="330"/>
      <c r="AA9" s="330"/>
      <c r="AB9" s="330"/>
      <c r="AC9" s="330"/>
      <c r="AD9" s="330"/>
      <c r="AE9" s="330"/>
      <c r="AF9" s="330"/>
      <c r="AG9" s="330"/>
      <c r="AH9" s="330"/>
    </row>
    <row r="10" spans="1:34" ht="9" customHeight="1">
      <c r="A10" s="6"/>
      <c r="B10" s="269"/>
      <c r="C10" s="269"/>
      <c r="D10" s="332"/>
      <c r="E10" s="332"/>
      <c r="F10" s="332"/>
      <c r="G10" s="332"/>
      <c r="H10" s="332"/>
      <c r="I10" s="332"/>
      <c r="J10" s="332"/>
      <c r="K10" s="332"/>
      <c r="L10" s="332"/>
      <c r="M10" s="6"/>
      <c r="N10" s="6"/>
      <c r="O10" s="333"/>
      <c r="P10" s="273"/>
      <c r="R10" s="330"/>
      <c r="S10" s="330"/>
      <c r="T10" s="330"/>
      <c r="U10" s="330"/>
      <c r="V10" s="330"/>
      <c r="W10" s="330"/>
      <c r="X10" s="330"/>
      <c r="Y10" s="330"/>
      <c r="Z10" s="330"/>
      <c r="AA10" s="330"/>
      <c r="AB10" s="330"/>
      <c r="AC10" s="330"/>
      <c r="AD10" s="330"/>
      <c r="AE10" s="330"/>
      <c r="AF10" s="330"/>
      <c r="AG10" s="330"/>
      <c r="AH10" s="330"/>
    </row>
    <row r="11" spans="1:34" ht="7.5" customHeight="1">
      <c r="A11" s="6"/>
      <c r="B11" s="269"/>
      <c r="C11" s="269"/>
      <c r="D11" s="332"/>
      <c r="E11" s="332"/>
      <c r="F11" s="332"/>
      <c r="G11" s="332"/>
      <c r="H11" s="332"/>
      <c r="I11" s="332"/>
      <c r="J11" s="332"/>
      <c r="K11" s="332"/>
      <c r="L11" s="332"/>
      <c r="M11" s="6"/>
      <c r="N11" s="6"/>
      <c r="O11" s="333"/>
      <c r="P11" s="273"/>
      <c r="R11" s="330"/>
      <c r="S11" s="330"/>
      <c r="T11" s="330"/>
      <c r="U11" s="330"/>
      <c r="V11" s="330"/>
      <c r="W11" s="330"/>
      <c r="X11" s="330"/>
      <c r="Y11" s="330"/>
      <c r="Z11" s="330"/>
      <c r="AA11" s="330"/>
      <c r="AB11" s="330"/>
      <c r="AC11" s="330"/>
      <c r="AD11" s="330"/>
      <c r="AE11" s="330"/>
      <c r="AF11" s="330"/>
      <c r="AG11" s="330"/>
      <c r="AH11" s="330"/>
    </row>
    <row r="12" spans="1:34" ht="18.75" customHeight="1">
      <c r="A12" s="6"/>
      <c r="B12" s="269"/>
      <c r="C12" s="269"/>
      <c r="D12" s="332"/>
      <c r="E12" s="332"/>
      <c r="F12" s="332"/>
      <c r="G12" s="332"/>
      <c r="H12" s="332"/>
      <c r="I12" s="332"/>
      <c r="J12" s="332"/>
      <c r="K12" s="332"/>
      <c r="L12" s="332"/>
      <c r="M12" s="6"/>
      <c r="N12" s="6"/>
      <c r="O12" s="333"/>
      <c r="P12" s="273"/>
      <c r="R12" s="330"/>
      <c r="S12" s="330"/>
      <c r="T12" s="330"/>
      <c r="U12" s="330"/>
      <c r="V12" s="330"/>
      <c r="W12" s="330"/>
      <c r="X12" s="330"/>
      <c r="Y12" s="330"/>
      <c r="Z12" s="330"/>
      <c r="AA12" s="330"/>
      <c r="AB12" s="330"/>
      <c r="AC12" s="330"/>
      <c r="AD12" s="330"/>
      <c r="AE12" s="330"/>
      <c r="AF12" s="330"/>
      <c r="AG12" s="330"/>
      <c r="AH12" s="330"/>
    </row>
    <row r="13" spans="1:34" ht="18.75" customHeight="1">
      <c r="A13" s="6"/>
      <c r="B13" s="269"/>
      <c r="C13" s="269"/>
      <c r="D13" s="332"/>
      <c r="E13" s="332"/>
      <c r="F13" s="332"/>
      <c r="G13" s="332"/>
      <c r="H13" s="332"/>
      <c r="I13" s="332"/>
      <c r="J13" s="332"/>
      <c r="K13" s="332"/>
      <c r="L13" s="332"/>
      <c r="M13" s="6"/>
      <c r="N13" s="6"/>
      <c r="O13" s="333"/>
      <c r="P13" s="273"/>
      <c r="R13" s="330"/>
      <c r="S13" s="330"/>
      <c r="T13" s="330"/>
      <c r="U13" s="330"/>
      <c r="V13" s="330"/>
      <c r="W13" s="330"/>
      <c r="X13" s="330"/>
      <c r="Y13" s="330"/>
      <c r="Z13" s="330"/>
      <c r="AA13" s="330"/>
      <c r="AB13" s="330"/>
      <c r="AC13" s="330"/>
      <c r="AD13" s="330"/>
      <c r="AE13" s="330"/>
      <c r="AF13" s="330"/>
      <c r="AG13" s="330"/>
      <c r="AH13" s="330"/>
    </row>
    <row r="14" spans="1:34" ht="18.75" customHeight="1">
      <c r="A14" s="6"/>
      <c r="B14" s="269"/>
      <c r="C14" s="269"/>
      <c r="D14" s="332"/>
      <c r="E14" s="332"/>
      <c r="F14" s="332"/>
      <c r="G14" s="332"/>
      <c r="H14" s="332"/>
      <c r="I14" s="332"/>
      <c r="J14" s="332"/>
      <c r="K14" s="332"/>
      <c r="L14" s="332"/>
      <c r="M14" s="6"/>
      <c r="N14" s="6"/>
      <c r="O14" s="333"/>
      <c r="P14" s="273"/>
      <c r="R14" s="330"/>
      <c r="S14" s="330"/>
      <c r="T14" s="330"/>
      <c r="U14" s="330"/>
      <c r="V14" s="330"/>
      <c r="W14" s="330"/>
      <c r="X14" s="330"/>
      <c r="Y14" s="330"/>
      <c r="Z14" s="330"/>
      <c r="AA14" s="330"/>
      <c r="AB14" s="330"/>
      <c r="AC14" s="330"/>
      <c r="AD14" s="330"/>
      <c r="AE14" s="330"/>
      <c r="AF14" s="330"/>
      <c r="AG14" s="330"/>
      <c r="AH14" s="330"/>
    </row>
    <row r="15" spans="1:34" ht="21" customHeight="1">
      <c r="A15" s="6"/>
      <c r="B15" s="269"/>
      <c r="C15" s="269"/>
      <c r="D15" s="332"/>
      <c r="E15" s="332"/>
      <c r="F15" s="332"/>
      <c r="G15" s="332"/>
      <c r="H15" s="332"/>
      <c r="I15" s="332"/>
      <c r="J15" s="332"/>
      <c r="K15" s="332"/>
      <c r="L15" s="332"/>
      <c r="M15" s="6"/>
      <c r="N15" s="6"/>
      <c r="O15" s="333"/>
      <c r="P15" s="273"/>
      <c r="R15" s="330"/>
      <c r="S15" s="330"/>
      <c r="T15" s="330"/>
      <c r="U15" s="330"/>
      <c r="V15" s="330"/>
      <c r="W15" s="330"/>
      <c r="X15" s="330"/>
      <c r="Y15" s="330"/>
      <c r="Z15" s="330"/>
      <c r="AA15" s="330"/>
      <c r="AB15" s="330"/>
      <c r="AC15" s="330"/>
      <c r="AD15" s="330"/>
      <c r="AE15" s="330"/>
      <c r="AF15" s="330"/>
      <c r="AG15" s="330"/>
      <c r="AH15" s="330"/>
    </row>
    <row r="16" spans="1:34" ht="18" customHeight="1">
      <c r="A16" s="6"/>
      <c r="B16" s="269"/>
      <c r="C16" s="269"/>
      <c r="D16" s="332"/>
      <c r="E16" s="332"/>
      <c r="F16" s="332"/>
      <c r="G16" s="332"/>
      <c r="H16" s="332"/>
      <c r="I16" s="332"/>
      <c r="J16" s="332"/>
      <c r="K16" s="332"/>
      <c r="L16" s="332"/>
      <c r="M16" s="6"/>
      <c r="N16" s="6"/>
      <c r="O16" s="333"/>
      <c r="P16" s="273"/>
      <c r="R16" s="330"/>
      <c r="S16" s="330"/>
      <c r="T16" s="330"/>
      <c r="U16" s="330"/>
      <c r="V16" s="330"/>
      <c r="W16" s="330"/>
      <c r="X16" s="330"/>
      <c r="Y16" s="330"/>
      <c r="Z16" s="330"/>
      <c r="AA16" s="330"/>
      <c r="AB16" s="330"/>
      <c r="AC16" s="330"/>
      <c r="AD16" s="330"/>
      <c r="AE16" s="330"/>
      <c r="AF16" s="330"/>
      <c r="AG16" s="330"/>
      <c r="AH16" s="330"/>
    </row>
    <row r="17" spans="1:34" ht="18" customHeight="1">
      <c r="A17" s="6"/>
      <c r="B17" s="269"/>
      <c r="C17" s="269"/>
      <c r="D17" s="332"/>
      <c r="E17" s="332"/>
      <c r="F17" s="332"/>
      <c r="G17" s="332"/>
      <c r="H17" s="332"/>
      <c r="I17" s="332"/>
      <c r="J17" s="332"/>
      <c r="K17" s="332"/>
      <c r="L17" s="332"/>
      <c r="M17" s="6"/>
      <c r="N17" s="6"/>
      <c r="O17" s="333"/>
      <c r="P17" s="273"/>
      <c r="R17" s="330"/>
      <c r="S17" s="330"/>
      <c r="T17" s="330"/>
      <c r="U17" s="330"/>
      <c r="V17" s="330"/>
      <c r="W17" s="330"/>
      <c r="X17" s="330"/>
      <c r="Y17" s="330"/>
      <c r="Z17" s="330"/>
      <c r="AA17" s="330"/>
      <c r="AB17" s="330"/>
      <c r="AC17" s="330"/>
      <c r="AD17" s="330"/>
      <c r="AE17" s="330"/>
      <c r="AF17" s="330"/>
      <c r="AG17" s="330"/>
      <c r="AH17" s="330"/>
    </row>
    <row r="18" spans="1:34" ht="18.75" customHeight="1">
      <c r="A18" s="6"/>
      <c r="B18" s="274"/>
      <c r="C18" s="269"/>
      <c r="D18" s="275"/>
      <c r="E18" s="623"/>
      <c r="F18" s="623"/>
      <c r="G18" s="623"/>
      <c r="H18" s="623"/>
      <c r="I18" s="623"/>
      <c r="J18" s="623"/>
      <c r="K18" s="623"/>
      <c r="L18" s="6"/>
      <c r="M18" s="6"/>
      <c r="N18" s="6"/>
      <c r="O18" s="6"/>
      <c r="P18" s="6"/>
      <c r="R18" s="330"/>
      <c r="S18" s="330"/>
      <c r="T18" s="330"/>
      <c r="U18" s="330"/>
      <c r="V18" s="330"/>
      <c r="W18" s="330"/>
      <c r="X18" s="330"/>
      <c r="Y18" s="330"/>
      <c r="Z18" s="330"/>
      <c r="AA18" s="330"/>
      <c r="AB18" s="330"/>
      <c r="AC18" s="330"/>
      <c r="AD18" s="330"/>
      <c r="AE18" s="330"/>
      <c r="AF18" s="330"/>
      <c r="AG18" s="330"/>
      <c r="AH18" s="330"/>
    </row>
    <row r="19" spans="1:34" ht="24" customHeight="1">
      <c r="A19" s="6"/>
      <c r="B19" s="624" t="s">
        <v>181</v>
      </c>
      <c r="C19" s="624"/>
      <c r="D19" s="624"/>
      <c r="E19" s="336" t="s">
        <v>154</v>
      </c>
      <c r="F19" s="336" t="s">
        <v>182</v>
      </c>
      <c r="G19" s="625" t="s">
        <v>183</v>
      </c>
      <c r="H19" s="625"/>
      <c r="I19" s="626" t="s">
        <v>184</v>
      </c>
      <c r="J19" s="626"/>
      <c r="K19" s="464" t="s">
        <v>185</v>
      </c>
      <c r="L19" s="627" t="s">
        <v>186</v>
      </c>
      <c r="M19" s="627"/>
      <c r="N19" s="627"/>
      <c r="O19" s="627"/>
      <c r="P19" s="627"/>
      <c r="Q19" s="627"/>
      <c r="R19" s="337" t="s">
        <v>187</v>
      </c>
      <c r="S19" s="338">
        <v>0</v>
      </c>
      <c r="T19" s="339">
        <v>0.3</v>
      </c>
      <c r="U19" s="339">
        <v>0.6</v>
      </c>
      <c r="V19" s="339">
        <v>0.9</v>
      </c>
      <c r="W19" s="339">
        <v>1</v>
      </c>
      <c r="X19" s="285"/>
      <c r="Y19" s="285"/>
      <c r="Z19" s="340" t="s">
        <v>188</v>
      </c>
      <c r="AA19" s="338">
        <v>0</v>
      </c>
      <c r="AB19" s="339">
        <v>0.2</v>
      </c>
      <c r="AC19" s="339">
        <v>0.4</v>
      </c>
      <c r="AD19" s="339">
        <v>0.6</v>
      </c>
      <c r="AE19" s="339">
        <v>0.8</v>
      </c>
      <c r="AF19" s="285"/>
      <c r="AG19" s="285"/>
      <c r="AH19" s="285"/>
    </row>
    <row r="20" spans="1:34" ht="125.25" customHeight="1">
      <c r="A20" s="6"/>
      <c r="B20" s="628" t="str">
        <f>+'Introducción de datos'!B115</f>
        <v>Malaria O-4: Proporción de viviendas que han sido rociadas en los últimos 12 meses. </v>
      </c>
      <c r="C20" s="628"/>
      <c r="D20" s="628"/>
      <c r="E20" s="341">
        <f ca="1">OFFSET('Introducción de datos'!$G$114,1,RIGHT('Introducción de datos'!$C$16,LEN('Introducción de datos'!$C$16)-1),1,1)</f>
        <v>6519</v>
      </c>
      <c r="F20" s="341">
        <f ca="1">OFFSET('Introducción de datos'!$G$114,2,RIGHT('Introducción de datos'!$C$16,LEN('Introducción de datos'!$C$16)-1),1,1)</f>
        <v>4275</v>
      </c>
      <c r="G20" s="603">
        <f aca="true" t="shared" si="0" ref="G20:G25">+IF(ISERROR(F20/E20),0,F20/E20)</f>
        <v>0.6557754256787851</v>
      </c>
      <c r="H20" s="603"/>
      <c r="I20" s="603"/>
      <c r="J20" s="603"/>
      <c r="K20" s="603"/>
      <c r="L20" s="606" t="str">
        <f>'Introducción de datos'!R116</f>
        <v>Para el periodo reportado no existen casos autóctonos, por lo que según la clasificación de focos según el Marco para la Eliminación de la Malaria (OMS), no se reportan focos activos.  La meta para el año 2019 era 6,519 viviendas habiéndose realizado RRI en 4,275 viviendas, logrando un porcentaje de 93.4%,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v>
      </c>
      <c r="M20" s="606"/>
      <c r="N20" s="606"/>
      <c r="O20" s="606"/>
      <c r="P20" s="606"/>
      <c r="Q20" s="606"/>
      <c r="R20" s="337" t="s">
        <v>189</v>
      </c>
      <c r="S20" s="342">
        <v>0.3</v>
      </c>
      <c r="T20" s="339">
        <v>0.6</v>
      </c>
      <c r="U20" s="339">
        <v>0.9</v>
      </c>
      <c r="V20" s="339">
        <v>1</v>
      </c>
      <c r="W20" s="339">
        <v>2</v>
      </c>
      <c r="X20" s="285"/>
      <c r="Y20" s="285"/>
      <c r="Z20" s="340" t="s">
        <v>190</v>
      </c>
      <c r="AA20" s="342">
        <v>0.2</v>
      </c>
      <c r="AB20" s="339">
        <v>0.4</v>
      </c>
      <c r="AC20" s="339">
        <v>0.6</v>
      </c>
      <c r="AD20" s="339">
        <v>0.8</v>
      </c>
      <c r="AE20" s="339">
        <v>1</v>
      </c>
      <c r="AF20" s="285"/>
      <c r="AG20" s="285"/>
      <c r="AH20" s="285"/>
    </row>
    <row r="21" spans="1:34" ht="110.25" customHeight="1">
      <c r="A21" s="6"/>
      <c r="B21" s="629" t="str">
        <f>+'Introducción de datos'!B117</f>
        <v>Malaria O-9: 2. Tasa anual de muestras de sangre (laminas leídas). </v>
      </c>
      <c r="C21" s="629"/>
      <c r="D21" s="629"/>
      <c r="E21" s="442">
        <f ca="1">OFFSET('Introducción de datos'!$G$114,3,RIGHT('Introducción de datos'!$C$16,LEN('Introducción de datos'!$C$16)-1),1,1)</f>
        <v>0.036</v>
      </c>
      <c r="F21" s="343">
        <f ca="1">OFFSET('Introducción de datos'!$G$114,4,RIGHT('Introducción de datos'!$C$16,LEN('Introducción de datos'!$C$16)-1),1,1)</f>
        <v>0.072</v>
      </c>
      <c r="G21" s="603">
        <f t="shared" si="0"/>
        <v>2</v>
      </c>
      <c r="H21" s="603"/>
      <c r="I21" s="603"/>
      <c r="J21" s="603"/>
      <c r="K21" s="603"/>
      <c r="L21" s="606" t="str">
        <f>'Introducción de datos'!R118</f>
        <v>En 2015 la Tasa anual de exámenes de sangre se calculó en base a la población residentes en los focos activos y residuales no activos, estableciéndose como meta 3.6% para los focos activos. Para el 2019, no se han reportado casos autóctonos, por consiguiente no existieron focos activos, por lo que el resultado reportado pudo ser cero, pero debido al accionar preventivo bajo la modalidad búsqueda activa y pasiva con toma de gota gruesa. Se realizó vigilancia  y se ha tomado como población en riesgo aquella que viven en áreas receptibles y vulnerables que para e laño 2019, era de 1,243,080 perosnals y se tomaron el tota l de 89,839 gotas gruesas, obteniendo un incremento enel indicador esperado el cual era de 3.6% siendo lo alcanzado un 7.2%. 
Fuente: Sistema Estadístico de Producción de Servicios (SEPS).
</v>
      </c>
      <c r="M21" s="606"/>
      <c r="N21" s="606"/>
      <c r="O21" s="606"/>
      <c r="P21" s="606"/>
      <c r="Q21" s="606"/>
      <c r="R21" s="344"/>
      <c r="S21" s="345" t="str">
        <f>"de "&amp;S19&amp;" a "&amp;S20</f>
        <v>de 0 a 0.3</v>
      </c>
      <c r="T21" s="345"/>
      <c r="U21" s="345" t="str">
        <f>"de "&amp;U19&amp;" a "&amp;U20</f>
        <v>de 0.6 a 0.9</v>
      </c>
      <c r="V21" s="345" t="str">
        <f>"de "&amp;V19&amp;" a "&amp;V20</f>
        <v>de 0.9 a 1</v>
      </c>
      <c r="W21" s="345" t="str">
        <f>"de "&amp;W19&amp;" a "&amp;W20</f>
        <v>de 1 a 2</v>
      </c>
      <c r="X21" s="285"/>
      <c r="Y21" s="346" t="s">
        <v>191</v>
      </c>
      <c r="Z21" s="347" t="s">
        <v>192</v>
      </c>
      <c r="AA21" s="345" t="str">
        <f>"de "&amp;AA19&amp;" a "&amp;AA20</f>
        <v>de 0 a 0.2</v>
      </c>
      <c r="AB21" s="345" t="str">
        <f>"de "&amp;AB19&amp;" a "&amp;AB20</f>
        <v>de 0.2 a 0.4</v>
      </c>
      <c r="AC21" s="345" t="str">
        <f>"de "&amp;AC19&amp;" a "&amp;AC20</f>
        <v>de 0.4 a 0.6</v>
      </c>
      <c r="AD21" s="345" t="str">
        <f>"de "&amp;AD19&amp;" a "&amp;AD20</f>
        <v>de 0.6 a 0.8</v>
      </c>
      <c r="AE21" s="345" t="str">
        <f>"de "&amp;AE19&amp;" a "&amp;AE20</f>
        <v>de 0.8 a 1</v>
      </c>
      <c r="AF21" s="285"/>
      <c r="AG21" s="285"/>
      <c r="AH21" s="285"/>
    </row>
    <row r="22" spans="1:34" ht="96.75" customHeight="1">
      <c r="A22" s="6"/>
      <c r="B22" s="610" t="str">
        <f>+'Introducción de datos'!B119</f>
        <v>VC-5: Proporción de vivienda en las áreas priorizadas que reciben la fumigación intra-domiciliar </v>
      </c>
      <c r="C22" s="610"/>
      <c r="D22" s="610"/>
      <c r="E22" s="443">
        <f ca="1">OFFSET('Introducción de datos'!$G$114,5,RIGHT('Introducción de datos'!$C$16,LEN('Introducción de datos'!$C$16)-1),1,1)</f>
        <v>2444</v>
      </c>
      <c r="F22" s="443">
        <f ca="1">OFFSET('Introducción de datos'!$G$114,6,RIGHT('Introducción de datos'!$C$16,LEN('Introducción de datos'!$C$16)-1),1,1)</f>
        <v>4275</v>
      </c>
      <c r="G22" s="603">
        <f t="shared" si="0"/>
        <v>1.7491816693944353</v>
      </c>
      <c r="H22" s="603"/>
      <c r="I22" s="603"/>
      <c r="J22" s="603"/>
      <c r="K22" s="603"/>
      <c r="L22" s="606" t="str">
        <f>'Introducción de datos'!R120</f>
        <v>En 2019 no existen focos activos debido a que los casos reportados fueron importados. Por lo que no hubo rociado a focos activos; sin embargo, el país realizo la accion de rociado en focos residuales no activos que cumpliean criterio para RRI, en 4,275 viviendas y ubicadas en areas con vulnerabilidad y receptividad para malaria, por lo que se sobrepaso de la meta, logrando el 174.92%. Fuente: Informe de acciones para Malaria 2019.</v>
      </c>
      <c r="M22" s="606"/>
      <c r="N22" s="606"/>
      <c r="O22" s="606"/>
      <c r="P22" s="606"/>
      <c r="Q22" s="606"/>
      <c r="R22" s="344"/>
      <c r="S22" s="339" t="e">
        <f aca="true" t="shared" si="1" ref="S22:V23">IF($K20&gt;S$19,IF($K20&lt;=S$20,$K20,NA()),NA())</f>
        <v>#N/A</v>
      </c>
      <c r="T22" s="339" t="e">
        <f t="shared" si="1"/>
        <v>#N/A</v>
      </c>
      <c r="U22" s="339" t="e">
        <f t="shared" si="1"/>
        <v>#N/A</v>
      </c>
      <c r="V22" s="339" t="e">
        <f t="shared" si="1"/>
        <v>#N/A</v>
      </c>
      <c r="W22" s="339" t="e">
        <f>IF($K20&gt;W$19,IF($K20&lt;=W$20,1,NA()),NA())</f>
        <v>#N/A</v>
      </c>
      <c r="X22" s="285"/>
      <c r="Y22" s="348" t="e">
        <f>+'Información de la subvención'!#REF!</f>
        <v>#REF!</v>
      </c>
      <c r="Z22" s="339" t="e">
        <f>+IF(Y22="A1",1,IF(Y22="A2",0.8,IF(Y22="B1",0.6,IF(Y22="B2",0.4,0.2))))</f>
        <v>#REF!</v>
      </c>
      <c r="AA22" s="339" t="e">
        <f aca="true" t="shared" si="2" ref="AA22:AE23">IF($Z22&gt;AA$19,IF($Z22&lt;=AA$20,$Z22,NA()),NA())</f>
        <v>#REF!</v>
      </c>
      <c r="AB22" s="339" t="e">
        <f t="shared" si="2"/>
        <v>#REF!</v>
      </c>
      <c r="AC22" s="339" t="e">
        <f t="shared" si="2"/>
        <v>#REF!</v>
      </c>
      <c r="AD22" s="339" t="e">
        <f t="shared" si="2"/>
        <v>#REF!</v>
      </c>
      <c r="AE22" s="339" t="e">
        <f t="shared" si="2"/>
        <v>#REF!</v>
      </c>
      <c r="AF22" s="285"/>
      <c r="AG22" s="285"/>
      <c r="AH22" s="285"/>
    </row>
    <row r="23" spans="1:34" ht="86.25" customHeight="1">
      <c r="A23" s="6"/>
      <c r="B23" s="600" t="str">
        <f>+'Introducción de datos'!B121</f>
        <v>CM-5: Porcentaje de casos confirmados, de todos los casos investigados. </v>
      </c>
      <c r="C23" s="601"/>
      <c r="D23" s="602"/>
      <c r="E23" s="443">
        <f ca="1">OFFSET('Introducción de datos'!$G$114,7,RIGHT('Introducción de datos'!$C$16,LEN('Introducción de datos'!$C$16)-1),1,1)</f>
        <v>9</v>
      </c>
      <c r="F23" s="443">
        <f ca="1">OFFSET('Introducción de datos'!$G$114,8,RIGHT('Introducción de datos'!$C$16,LEN('Introducción de datos'!$C$16)-1),1,1)</f>
        <v>0</v>
      </c>
      <c r="G23" s="603">
        <f t="shared" si="0"/>
        <v>0</v>
      </c>
      <c r="H23" s="604"/>
      <c r="I23" s="604"/>
      <c r="J23" s="604"/>
      <c r="K23" s="605"/>
      <c r="L23" s="611" t="str">
        <f>'Introducción de datos'!R122</f>
        <v>Para el año 2019, se esperaban que fueran 9 casos de malaria autóctona para investigar, se confirmaron tres casos importados de Mexico (1) y Africa (2), ubicados en los municipios de Sensuntepeque del departamento de Cabañas, Olocuilta del departamento de La Paz y Cojutepeque del departamento de Cuscatlan, los cuales se confirmaron, investigaron y clasificaron completamente, logrando una meta de 100%.
Fuente: Formulario de investigación de caso de malaria</v>
      </c>
      <c r="M23" s="611"/>
      <c r="N23" s="611"/>
      <c r="O23" s="611"/>
      <c r="P23" s="611"/>
      <c r="Q23" s="611"/>
      <c r="R23" s="344"/>
      <c r="S23" s="339" t="e">
        <f t="shared" si="1"/>
        <v>#N/A</v>
      </c>
      <c r="T23" s="339" t="e">
        <f t="shared" si="1"/>
        <v>#N/A</v>
      </c>
      <c r="U23" s="339" t="e">
        <f t="shared" si="1"/>
        <v>#N/A</v>
      </c>
      <c r="V23" s="339" t="e">
        <f t="shared" si="1"/>
        <v>#N/A</v>
      </c>
      <c r="W23" s="339" t="e">
        <f>IF($K21&gt;W$19,IF($K21&lt;=W$20,1,1),NA())</f>
        <v>#N/A</v>
      </c>
      <c r="X23" s="285"/>
      <c r="Y23" s="348" t="e">
        <f>+'Información de la subvención'!#REF!</f>
        <v>#REF!</v>
      </c>
      <c r="Z23" s="339" t="e">
        <f>+IF(Y23="A1",1,IF(Y23="A2",0.8,IF(Y23="B1",0.6,IF(Y23="B2",0.4,0.2))))</f>
        <v>#REF!</v>
      </c>
      <c r="AA23" s="339" t="e">
        <f t="shared" si="2"/>
        <v>#REF!</v>
      </c>
      <c r="AB23" s="339" t="e">
        <f t="shared" si="2"/>
        <v>#REF!</v>
      </c>
      <c r="AC23" s="339" t="e">
        <f t="shared" si="2"/>
        <v>#REF!</v>
      </c>
      <c r="AD23" s="339" t="e">
        <f t="shared" si="2"/>
        <v>#REF!</v>
      </c>
      <c r="AE23" s="339" t="e">
        <f t="shared" si="2"/>
        <v>#REF!</v>
      </c>
      <c r="AF23" s="285"/>
      <c r="AG23" s="285"/>
      <c r="AH23" s="285"/>
    </row>
    <row r="24" spans="2:17" ht="48" customHeight="1">
      <c r="B24" s="610" t="str">
        <f>+'Introducción de datos'!B123</f>
        <v>CM-6: 2. Porcentaje de focos del total investigados </v>
      </c>
      <c r="C24" s="610"/>
      <c r="D24" s="610"/>
      <c r="E24" s="443">
        <f ca="1">OFFSET('Introducción de datos'!$G$114,9,RIGHT('Introducción de datos'!$C$16,LEN('Introducción de datos'!$C$16)-1),1,1)</f>
        <v>14</v>
      </c>
      <c r="F24" s="443">
        <f ca="1">OFFSET('Introducción de datos'!$G$114,10,RIGHT('Introducción de datos'!$C$16,LEN('Introducción de datos'!$C$16)-1),1,1)</f>
        <v>0</v>
      </c>
      <c r="G24" s="603">
        <f t="shared" si="0"/>
        <v>0</v>
      </c>
      <c r="H24" s="604"/>
      <c r="I24" s="604"/>
      <c r="J24" s="604"/>
      <c r="K24" s="605"/>
      <c r="L24" s="611" t="s">
        <v>345</v>
      </c>
      <c r="M24" s="611"/>
      <c r="N24" s="611"/>
      <c r="O24" s="611"/>
      <c r="P24" s="611"/>
      <c r="Q24" s="611"/>
    </row>
    <row r="25" spans="2:17" ht="93" customHeight="1">
      <c r="B25" s="610" t="str">
        <f>+'Introducción de datos'!B125</f>
        <v>M&amp;E-2: Proporción de establecimientos de salud públicos y privados que reportan al sistema de vigilancia. </v>
      </c>
      <c r="C25" s="610"/>
      <c r="D25" s="610"/>
      <c r="E25" s="443">
        <f ca="1">OFFSET('Introducción de datos'!$G$114,11,RIGHT('Introducción de datos'!$C$16,LEN('Introducción de datos'!$C$16)-1),1,1)</f>
        <v>1234</v>
      </c>
      <c r="F25" s="443">
        <f ca="1">OFFSET('Introducción de datos'!$G$114,12,RIGHT('Introducción de datos'!$C$16,LEN('Introducción de datos'!$C$16)-1),1,1)</f>
        <v>1209</v>
      </c>
      <c r="G25" s="603">
        <f t="shared" si="0"/>
        <v>0.979740680713128</v>
      </c>
      <c r="H25" s="604"/>
      <c r="I25" s="604"/>
      <c r="J25" s="604"/>
      <c r="K25" s="605"/>
      <c r="L25" s="606" t="str">
        <f>'Introducción de datos'!R126</f>
        <v>El 98% de las Unidades Notificadoras reportó en el VIGEPES al menos una vez.
Fuente de datos: Documentos administrativos:reporte del VIGEPES sobre unidades notificadoras que reportaron de manera oportuna y completa al sistema.</v>
      </c>
      <c r="M25" s="606"/>
      <c r="N25" s="606"/>
      <c r="O25" s="606"/>
      <c r="P25" s="606"/>
      <c r="Q25" s="606"/>
    </row>
    <row r="26" spans="2:17" ht="30" customHeight="1">
      <c r="B26" s="607" t="str">
        <f>+'Introducción de datos'!B127</f>
        <v>INDICADORES DE IMPACTO</v>
      </c>
      <c r="C26" s="608"/>
      <c r="D26" s="608"/>
      <c r="E26" s="608"/>
      <c r="F26" s="608"/>
      <c r="G26" s="608"/>
      <c r="H26" s="608"/>
      <c r="I26" s="608"/>
      <c r="J26" s="608"/>
      <c r="K26" s="608"/>
      <c r="L26" s="608"/>
      <c r="M26" s="608"/>
      <c r="N26" s="608"/>
      <c r="O26" s="608"/>
      <c r="P26" s="608"/>
      <c r="Q26" s="609"/>
    </row>
    <row r="27" spans="2:17" ht="67.5" customHeight="1">
      <c r="B27" s="600" t="str">
        <f>+'Introducción de datos'!B128</f>
        <v>Malaria 1-9: Numero de Focos activos. (IMPACTO)</v>
      </c>
      <c r="C27" s="601"/>
      <c r="D27" s="602"/>
      <c r="E27" s="443">
        <f ca="1">OFFSET('Introducción de datos'!$G$114,14,RIGHT('Introducción de datos'!$C$16,LEN('Introducción de datos'!$C$16)-1),1,1)</f>
        <v>0</v>
      </c>
      <c r="F27" s="443">
        <f ca="1">OFFSET('Introducción de datos'!$G$114,15,RIGHT('Introducción de datos'!$C$16,LEN('Introducción de datos'!$C$16)-1),1,1)</f>
        <v>0</v>
      </c>
      <c r="G27" s="603">
        <f>+IF(ISERROR(F27/E27),0,F27/E27)</f>
        <v>0</v>
      </c>
      <c r="H27" s="604"/>
      <c r="I27" s="604"/>
      <c r="J27" s="604"/>
      <c r="K27" s="605"/>
      <c r="L27" s="599" t="str">
        <f>'Introducción de datos'!R129</f>
        <v>Casos notificados en 2019 son clasificados como importados, no se reportan focos activos, lo anterior ha sido verificado mediante las acciones de busqueda de casos, como parte de la estricta vigilancia epidemiologica. Fuente: VIGEPES</v>
      </c>
      <c r="M27" s="599"/>
      <c r="N27" s="599"/>
      <c r="O27" s="599"/>
      <c r="P27" s="599"/>
      <c r="Q27" s="599"/>
    </row>
    <row r="28" spans="2:17" ht="67.5" customHeight="1">
      <c r="B28" s="600" t="str">
        <f>+'Introducción de datos'!B130</f>
        <v>Malaria 1-10: Incidencia parasitaria anual (número y tasa por mil) (IMPACTO)</v>
      </c>
      <c r="C28" s="601"/>
      <c r="D28" s="602"/>
      <c r="E28" s="444">
        <f ca="1">OFFSET('Introducción de datos'!$G$114,16,RIGHT('Introducción de datos'!$C$16,LEN('Introducción de datos'!$C$16)-1),1,1)</f>
        <v>0</v>
      </c>
      <c r="F28" s="443">
        <f ca="1">OFFSET('Introducción de datos'!$G$114,17,RIGHT('Introducción de datos'!$C$16,LEN('Introducción de datos'!$C$16)-1),1,1)</f>
        <v>0</v>
      </c>
      <c r="G28" s="603">
        <f>+IF(ISERROR(F28/E28),0,F28/E28)</f>
        <v>0</v>
      </c>
      <c r="H28" s="604"/>
      <c r="I28" s="604"/>
      <c r="J28" s="604"/>
      <c r="K28" s="605"/>
      <c r="L28" s="599" t="str">
        <f>'Introducción de datos'!R131</f>
        <v>En 2019, la Incidencia Parasitaria Anual (IPA) es de 0 (cero), ya que no se registraton casos autóctonos para el periodo reportado. Fuente: VIGEPES-LAB</v>
      </c>
      <c r="M28" s="599"/>
      <c r="N28" s="599"/>
      <c r="O28" s="599"/>
      <c r="P28" s="599"/>
      <c r="Q28" s="599"/>
    </row>
  </sheetData>
  <sheetProtection selectLockedCells="1" selectUnlockedCells="1"/>
  <mergeCells count="44">
    <mergeCell ref="B23:D23"/>
    <mergeCell ref="G23:K23"/>
    <mergeCell ref="L23:Q23"/>
    <mergeCell ref="B21:D21"/>
    <mergeCell ref="G21:K21"/>
    <mergeCell ref="L21:Q21"/>
    <mergeCell ref="B22:D22"/>
    <mergeCell ref="G22:K22"/>
    <mergeCell ref="L22:Q22"/>
    <mergeCell ref="E18:K18"/>
    <mergeCell ref="B19:D19"/>
    <mergeCell ref="G19:H19"/>
    <mergeCell ref="I19:J19"/>
    <mergeCell ref="L19:Q19"/>
    <mergeCell ref="B20:D20"/>
    <mergeCell ref="G20:K20"/>
    <mergeCell ref="L20:Q20"/>
    <mergeCell ref="F6:K6"/>
    <mergeCell ref="B8:E8"/>
    <mergeCell ref="F8:K8"/>
    <mergeCell ref="L8:Q8"/>
    <mergeCell ref="C9:E9"/>
    <mergeCell ref="G9:K9"/>
    <mergeCell ref="M9:Q9"/>
    <mergeCell ref="G24:K24"/>
    <mergeCell ref="L24:Q24"/>
    <mergeCell ref="B24:D24"/>
    <mergeCell ref="B2:Q2"/>
    <mergeCell ref="C3:D3"/>
    <mergeCell ref="E3:K3"/>
    <mergeCell ref="O3:P3"/>
    <mergeCell ref="C4:D4"/>
    <mergeCell ref="E4:L4"/>
    <mergeCell ref="D5:N5"/>
    <mergeCell ref="L28:Q28"/>
    <mergeCell ref="B28:D28"/>
    <mergeCell ref="G27:K27"/>
    <mergeCell ref="G28:K28"/>
    <mergeCell ref="G25:K25"/>
    <mergeCell ref="L25:Q25"/>
    <mergeCell ref="L27:Q27"/>
    <mergeCell ref="B26:Q26"/>
    <mergeCell ref="B27:D27"/>
    <mergeCell ref="B25:D25"/>
  </mergeCells>
  <conditionalFormatting sqref="C4:D4">
    <cfRule type="cellIs" priority="4" dxfId="44" operator="equal" stopIfTrue="1">
      <formula>"C"</formula>
    </cfRule>
    <cfRule type="cellIs" priority="5" dxfId="40" operator="equal" stopIfTrue="1">
      <formula>"B2"</formula>
    </cfRule>
    <cfRule type="cellIs" priority="6" dxfId="41" operator="equal" stopIfTrue="1">
      <formula>"B1"</formula>
    </cfRule>
  </conditionalFormatting>
  <conditionalFormatting sqref="G20:G25 G27:G28">
    <cfRule type="cellIs" priority="7" dxfId="50" operator="between" stopIfTrue="1">
      <formula>0</formula>
      <formula>0.599</formula>
    </cfRule>
    <cfRule type="cellIs" priority="8" dxfId="51" operator="between" stopIfTrue="1">
      <formula>0.6</formula>
      <formula>0.899</formula>
    </cfRule>
    <cfRule type="cellIs" priority="9" dxfId="52"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115" zoomScaleNormal="115" zoomScalePageLayoutView="0" workbookViewId="0" topLeftCell="A22">
      <selection activeCell="D31" sqref="D31:G35"/>
    </sheetView>
  </sheetViews>
  <sheetFormatPr defaultColWidth="11.421875" defaultRowHeight="15"/>
  <cols>
    <col min="1" max="1" width="1.1484375" style="349" customWidth="1"/>
    <col min="2" max="2" width="19.421875" style="349" customWidth="1"/>
    <col min="3" max="3" width="1.1484375" style="349" customWidth="1"/>
    <col min="4" max="4" width="17.140625" style="349" customWidth="1"/>
    <col min="5" max="5" width="17.421875" style="349" customWidth="1"/>
    <col min="6" max="6" width="9.57421875" style="349" customWidth="1"/>
    <col min="7" max="7" width="13.00390625" style="349" customWidth="1"/>
    <col min="8" max="8" width="4.421875" style="349" customWidth="1"/>
    <col min="9" max="9" width="15.8515625" style="349" customWidth="1"/>
    <col min="10" max="10" width="3.421875" style="349" customWidth="1"/>
    <col min="11" max="11" width="7.421875" style="350" customWidth="1"/>
    <col min="12" max="12" width="22.00390625" style="349" customWidth="1"/>
    <col min="13" max="13" width="12.00390625" style="349" customWidth="1"/>
    <col min="14" max="14" width="5.421875" style="349" customWidth="1"/>
    <col min="15" max="15" width="2.421875" style="349" customWidth="1"/>
    <col min="16" max="16384" width="11.421875" style="349" customWidth="1"/>
  </cols>
  <sheetData>
    <row r="1" spans="1:14" ht="38.25" customHeight="1">
      <c r="A1" s="351"/>
      <c r="B1" s="351"/>
      <c r="C1" s="351"/>
      <c r="D1" s="351"/>
      <c r="E1" s="351"/>
      <c r="F1" s="351"/>
      <c r="G1" s="351"/>
      <c r="H1" s="351"/>
      <c r="I1" s="351"/>
      <c r="J1" s="351"/>
      <c r="K1" s="352"/>
      <c r="L1" s="351"/>
      <c r="M1" s="351"/>
      <c r="N1" s="351"/>
    </row>
    <row r="2" spans="1:256" ht="27.75" customHeight="1">
      <c r="A2" s="6"/>
      <c r="B2" s="612" t="str">
        <f>+"Cuadro de mando:  "&amp;"  "&amp;+'Introducción de datos'!C4&amp;" - "&amp;'Introducción de datos'!G6</f>
        <v>Cuadro de mando:    El Salvador - MALARIA</v>
      </c>
      <c r="C2" s="612"/>
      <c r="D2" s="612"/>
      <c r="E2" s="612"/>
      <c r="F2" s="612"/>
      <c r="G2" s="612"/>
      <c r="H2" s="612"/>
      <c r="I2" s="612"/>
      <c r="J2" s="612"/>
      <c r="K2" s="612"/>
      <c r="L2" s="612"/>
      <c r="M2" s="612"/>
      <c r="N2" s="612"/>
      <c r="O2" s="353"/>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6"/>
      <c r="B3" s="269">
        <f>+'Introducción de datos'!G8</f>
        <v>0</v>
      </c>
      <c r="C3" s="571" t="str">
        <f>+'Introducción de datos'!I8</f>
        <v>Fase 1</v>
      </c>
      <c r="D3" s="571"/>
      <c r="E3" s="630"/>
      <c r="F3" s="630"/>
      <c r="G3" s="630"/>
      <c r="H3" s="630"/>
      <c r="I3" s="630"/>
      <c r="J3" s="630"/>
      <c r="K3" s="630"/>
      <c r="L3" s="269" t="str">
        <f>+'Introducción de datos'!B16</f>
        <v>Periodo:</v>
      </c>
      <c r="M3" s="327" t="str">
        <f>+'Introducción de datos'!C16</f>
        <v>P3</v>
      </c>
      <c r="N3" s="327"/>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6"/>
      <c r="B4" s="269" t="str">
        <f>+'Introducción de datos'!B12</f>
        <v>Ultima calificación:</v>
      </c>
      <c r="C4" s="613" t="str">
        <f>+'Introducción de datos'!C12</f>
        <v>B1</v>
      </c>
      <c r="D4" s="613"/>
      <c r="E4" s="572" t="str">
        <f>+'Introducción de datos'!C8</f>
        <v>Ministerio de Salud </v>
      </c>
      <c r="F4" s="572"/>
      <c r="G4" s="572"/>
      <c r="H4" s="572"/>
      <c r="I4" s="572"/>
      <c r="J4" s="572"/>
      <c r="K4" s="572"/>
      <c r="L4" s="269" t="str">
        <f>+'Introducción de datos'!D16</f>
        <v>Desde:</v>
      </c>
      <c r="M4" s="273">
        <f>+'Introducción de datos'!E16</f>
        <v>43466</v>
      </c>
      <c r="N4" s="27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69"/>
      <c r="C5" s="269"/>
      <c r="D5" s="275"/>
      <c r="E5" s="572" t="str">
        <f>+'Introducción de datos'!G4</f>
        <v>Eliminación de la malaria en El Salvador: un esfuerzo de país</v>
      </c>
      <c r="F5" s="572"/>
      <c r="G5" s="572"/>
      <c r="H5" s="572"/>
      <c r="I5" s="572"/>
      <c r="J5" s="572"/>
      <c r="K5" s="572"/>
      <c r="L5" s="269" t="str">
        <f>+'Introducción de datos'!F16</f>
        <v>Hasta:</v>
      </c>
      <c r="M5" s="273">
        <f>+'Introducción de datos'!G16</f>
        <v>43830</v>
      </c>
      <c r="N5" s="27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276"/>
      <c r="C6" s="270"/>
      <c r="D6" s="275"/>
      <c r="E6" s="631" t="s">
        <v>190</v>
      </c>
      <c r="F6" s="631"/>
      <c r="G6" s="631"/>
      <c r="H6" s="631"/>
      <c r="I6" s="631"/>
      <c r="J6" s="631"/>
      <c r="K6" s="631"/>
      <c r="L6" s="145"/>
      <c r="M6" s="145"/>
      <c r="N6" s="14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58" customFormat="1" ht="4.5" customHeight="1">
      <c r="A7" s="354"/>
      <c r="B7" s="355"/>
      <c r="C7" s="355"/>
      <c r="D7" s="355"/>
      <c r="E7" s="355"/>
      <c r="F7" s="355"/>
      <c r="G7" s="355"/>
      <c r="H7" s="355"/>
      <c r="I7" s="355"/>
      <c r="J7" s="355"/>
      <c r="K7" s="355"/>
      <c r="L7" s="356"/>
      <c r="M7" s="356"/>
      <c r="N7" s="357"/>
    </row>
    <row r="8" spans="1:14" s="358" customFormat="1" ht="21" customHeight="1">
      <c r="A8" s="354"/>
      <c r="B8" s="632" t="s">
        <v>193</v>
      </c>
      <c r="C8" s="632"/>
      <c r="D8" s="632"/>
      <c r="E8" s="632"/>
      <c r="F8" s="632"/>
      <c r="G8" s="632"/>
      <c r="H8" s="632"/>
      <c r="I8" s="632"/>
      <c r="J8" s="632"/>
      <c r="K8" s="632"/>
      <c r="L8" s="632"/>
      <c r="M8" s="632"/>
      <c r="N8" s="632"/>
    </row>
    <row r="9" spans="1:14" s="358" customFormat="1" ht="3.75" customHeight="1">
      <c r="A9" s="354"/>
      <c r="B9" s="355"/>
      <c r="C9" s="355"/>
      <c r="D9" s="355"/>
      <c r="E9" s="355"/>
      <c r="F9" s="355"/>
      <c r="G9" s="355"/>
      <c r="H9" s="355"/>
      <c r="I9" s="355"/>
      <c r="J9" s="355"/>
      <c r="K9" s="355"/>
      <c r="L9" s="356"/>
      <c r="M9" s="356"/>
      <c r="N9" s="357"/>
    </row>
    <row r="10" spans="1:14" s="361" customFormat="1" ht="25.5" customHeight="1">
      <c r="A10" s="359"/>
      <c r="B10" s="633" t="s">
        <v>194</v>
      </c>
      <c r="C10" s="633"/>
      <c r="D10" s="634" t="s">
        <v>189</v>
      </c>
      <c r="E10" s="634"/>
      <c r="F10" s="634"/>
      <c r="G10" s="634"/>
      <c r="H10" s="360"/>
      <c r="I10" s="634" t="s">
        <v>190</v>
      </c>
      <c r="J10" s="634"/>
      <c r="K10" s="634"/>
      <c r="L10" s="634"/>
      <c r="M10" s="634"/>
      <c r="N10" s="634"/>
    </row>
    <row r="11" spans="1:14" s="361" customFormat="1" ht="28.5" customHeight="1">
      <c r="A11" s="359"/>
      <c r="B11" s="362" t="s">
        <v>195</v>
      </c>
      <c r="C11" s="363"/>
      <c r="D11" s="635" t="str">
        <f>IF(ISBLANK(Financiamiento!C9),"",(Financiamiento!C9))</f>
        <v>Durante el periodo de 2017 al 2019 nos desembolso FM la cantidad de $1,794,011.28, el cual  representa el 90% del presupuesto aprobado para la subvención.
En relación al presupuesto aprobado para el año 2019  por el monto de $ 850,970.00 solo nos desembolsaron en el año el monto de $217,471.28. en vista que contabamos con  saldo de caja para los gastos del periodo. </v>
      </c>
      <c r="E11" s="635"/>
      <c r="F11" s="635"/>
      <c r="G11" s="635"/>
      <c r="H11" s="364"/>
      <c r="I11" s="636"/>
      <c r="J11" s="636"/>
      <c r="K11" s="636"/>
      <c r="L11" s="636"/>
      <c r="M11" s="636"/>
      <c r="N11" s="636"/>
    </row>
    <row r="12" spans="1:14" s="361" customFormat="1" ht="27.75" customHeight="1">
      <c r="A12" s="359"/>
      <c r="B12" s="365" t="s">
        <v>196</v>
      </c>
      <c r="C12" s="366"/>
      <c r="D12" s="635" t="str">
        <f>IF(ISBLANK(Financiamiento!C23),"",(Financiamiento!C23))</f>
        <v>Durante el periodo del 2017-2019 el proyecto reporto una ejecución del 85.5% en relación al presupuesto modificado de $ 1,744,000.00; la ejecución estuvo concentrada en un 100% para el módulo relacionado a los col.vol.; asi tambien el módulo de control del vector alcanzo una ejecución acumulada de $ 441,720.50 que corresponde a un 93% del presupuesto aprobado por el FM para dicho módulo.
De la categoria del gasto de insumos de laboratorio se ejecuto el 74%, dichos insumos de laboratorio son distribuidos para  la detección de los casos a nivel comunitario con apoyo de los colaboradores voluntarios y a nivel de las fronteras con las oficinas sanitarias internacionales que no fue posible las entregas durante el periodo de ejecución del proyecto.</v>
      </c>
      <c r="E12" s="635"/>
      <c r="F12" s="635"/>
      <c r="G12" s="635"/>
      <c r="H12" s="364"/>
      <c r="I12" s="637"/>
      <c r="J12" s="637"/>
      <c r="K12" s="637"/>
      <c r="L12" s="637"/>
      <c r="M12" s="637"/>
      <c r="N12" s="637"/>
    </row>
    <row r="13" spans="1:14" s="361" customFormat="1" ht="26.25" customHeight="1">
      <c r="A13" s="359"/>
      <c r="B13" s="365" t="s">
        <v>197</v>
      </c>
      <c r="C13" s="366"/>
      <c r="D13" s="635" t="str">
        <f>IF(ISBLANK(Financiamiento!I9),"",(Financiamiento!I9))</f>
        <v>Durante el año 2019  se recibieron desembolsos por $ 217,471.28; asi tambien se alcanzo una ejecución financiera del 72.7% en relación al presupuesto acumulado de los años 2017-2019 ; ademas existen compromisos por el monto de $2,000.00 los cuales corresponden a pagos pendientes por servicios de auditoria.
Al 31 de diciembre de 2019 se tenia en cuentas bancarias la cantidad de $334,499.06, de los cuales se estima ejecutar en el año 2020 el pago de la auditoria por $ 2,000.00  
</v>
      </c>
      <c r="E13" s="635"/>
      <c r="F13" s="635"/>
      <c r="G13" s="635"/>
      <c r="H13" s="364"/>
      <c r="I13" s="638"/>
      <c r="J13" s="638"/>
      <c r="K13" s="638"/>
      <c r="L13" s="638"/>
      <c r="M13" s="638"/>
      <c r="N13" s="638"/>
    </row>
    <row r="14" spans="1:14" s="361" customFormat="1" ht="28.5" customHeight="1">
      <c r="A14" s="359"/>
      <c r="B14" s="367" t="s">
        <v>198</v>
      </c>
      <c r="C14" s="368"/>
      <c r="D14" s="639" t="str">
        <f>IF(ISBLANK(Financiamiento!I23),"",(Financiamiento!I23))</f>
        <v>El reporte fue entregado el 28 de febrero de 2020</v>
      </c>
      <c r="E14" s="639"/>
      <c r="F14" s="639"/>
      <c r="G14" s="639"/>
      <c r="H14" s="364"/>
      <c r="I14" s="640"/>
      <c r="J14" s="640"/>
      <c r="K14" s="640"/>
      <c r="L14" s="640"/>
      <c r="M14" s="640"/>
      <c r="N14" s="640"/>
    </row>
    <row r="15" spans="1:15" s="361" customFormat="1" ht="4.5" customHeight="1">
      <c r="A15" s="359"/>
      <c r="B15" s="369"/>
      <c r="C15" s="370"/>
      <c r="D15" s="371"/>
      <c r="E15" s="371"/>
      <c r="F15" s="371"/>
      <c r="G15" s="371"/>
      <c r="H15" s="364"/>
      <c r="I15" s="372"/>
      <c r="J15" s="372"/>
      <c r="K15" s="372"/>
      <c r="L15" s="372"/>
      <c r="M15" s="372"/>
      <c r="N15" s="372"/>
      <c r="O15" s="373"/>
    </row>
    <row r="16" spans="1:14" s="358" customFormat="1" ht="21" customHeight="1">
      <c r="A16" s="354"/>
      <c r="B16" s="632" t="s">
        <v>199</v>
      </c>
      <c r="C16" s="632"/>
      <c r="D16" s="632"/>
      <c r="E16" s="632"/>
      <c r="F16" s="632"/>
      <c r="G16" s="632"/>
      <c r="H16" s="632"/>
      <c r="I16" s="632"/>
      <c r="J16" s="632"/>
      <c r="K16" s="632"/>
      <c r="L16" s="632"/>
      <c r="M16" s="632"/>
      <c r="N16" s="632"/>
    </row>
    <row r="17" spans="1:14" s="361" customFormat="1" ht="3.75" customHeight="1">
      <c r="A17" s="359"/>
      <c r="B17" s="374"/>
      <c r="C17" s="375"/>
      <c r="D17" s="376"/>
      <c r="E17" s="377"/>
      <c r="F17" s="378"/>
      <c r="G17" s="378"/>
      <c r="H17" s="379"/>
      <c r="I17" s="380"/>
      <c r="J17" s="381"/>
      <c r="K17" s="382"/>
      <c r="L17" s="383"/>
      <c r="M17" s="384"/>
      <c r="N17" s="385"/>
    </row>
    <row r="18" spans="1:14" s="361" customFormat="1" ht="22.5" customHeight="1">
      <c r="A18" s="359"/>
      <c r="B18" s="641" t="s">
        <v>188</v>
      </c>
      <c r="C18" s="641"/>
      <c r="D18" s="642" t="s">
        <v>189</v>
      </c>
      <c r="E18" s="642"/>
      <c r="F18" s="642"/>
      <c r="G18" s="642"/>
      <c r="H18" s="360"/>
      <c r="I18" s="643" t="s">
        <v>190</v>
      </c>
      <c r="J18" s="643"/>
      <c r="K18" s="643"/>
      <c r="L18" s="643"/>
      <c r="M18" s="643"/>
      <c r="N18" s="643"/>
    </row>
    <row r="19" spans="1:14" s="361" customFormat="1" ht="21.75" customHeight="1">
      <c r="A19" s="359"/>
      <c r="B19" s="386" t="s">
        <v>191</v>
      </c>
      <c r="C19" s="387"/>
      <c r="D19" s="644">
        <f>IF(ISBLANK(Gestión!C8),"",(Gestión!C8))</f>
      </c>
      <c r="E19" s="644"/>
      <c r="F19" s="644"/>
      <c r="G19" s="644"/>
      <c r="H19" s="388"/>
      <c r="I19" s="645"/>
      <c r="J19" s="645"/>
      <c r="K19" s="645"/>
      <c r="L19" s="645"/>
      <c r="M19" s="645"/>
      <c r="N19" s="645"/>
    </row>
    <row r="20" spans="1:15" ht="24.75" customHeight="1">
      <c r="A20" s="351"/>
      <c r="B20" s="389" t="s">
        <v>192</v>
      </c>
      <c r="C20" s="390"/>
      <c r="D20" s="646">
        <f>IF(ISBLANK(Gestión!I8),"",(Gestión!I8))</f>
      </c>
      <c r="E20" s="646" t="e">
        <f>+'Introducción de datos'!D72/'Introducción de datos'!G72</f>
        <v>#DIV/0!</v>
      </c>
      <c r="F20" s="646" t="e">
        <f>+('Introducción de datos'!E72+'Introducción de datos'!F72)/'Introducción de datos'!G72</f>
        <v>#DIV/0!</v>
      </c>
      <c r="G20" s="646"/>
      <c r="H20" s="388"/>
      <c r="I20" s="647"/>
      <c r="J20" s="647"/>
      <c r="K20" s="647"/>
      <c r="L20" s="647"/>
      <c r="M20" s="647"/>
      <c r="N20" s="647"/>
      <c r="O20" s="391"/>
    </row>
    <row r="21" spans="1:15" ht="29.25" customHeight="1">
      <c r="A21" s="351"/>
      <c r="B21" s="392" t="s">
        <v>200</v>
      </c>
      <c r="C21" s="390"/>
      <c r="D21" s="646" t="str">
        <f>IF(ISBLANK(Gestión!C16),"",(Gestión!C16))</f>
        <v>No hay sub receptores</v>
      </c>
      <c r="E21" s="646"/>
      <c r="F21" s="646"/>
      <c r="G21" s="646"/>
      <c r="H21" s="388"/>
      <c r="I21" s="647"/>
      <c r="J21" s="647"/>
      <c r="K21" s="647"/>
      <c r="L21" s="647"/>
      <c r="M21" s="647"/>
      <c r="N21" s="647"/>
      <c r="O21" s="391"/>
    </row>
    <row r="22" spans="1:15" ht="26.25" customHeight="1">
      <c r="A22" s="351"/>
      <c r="B22" s="392" t="s">
        <v>201</v>
      </c>
      <c r="C22" s="390"/>
      <c r="D22" s="646" t="str">
        <f>IF(ISBLANK(Gestión!I16),"",(Gestión!I16))</f>
        <v>No hay sub receptores</v>
      </c>
      <c r="E22" s="646"/>
      <c r="F22" s="646"/>
      <c r="G22" s="646"/>
      <c r="H22" s="388"/>
      <c r="I22" s="647"/>
      <c r="J22" s="647"/>
      <c r="K22" s="647"/>
      <c r="L22" s="647"/>
      <c r="M22" s="647"/>
      <c r="N22" s="647"/>
      <c r="O22" s="391"/>
    </row>
    <row r="23" spans="1:15" ht="24.75" customHeight="1">
      <c r="A23" s="351"/>
      <c r="B23" s="392" t="s">
        <v>202</v>
      </c>
      <c r="C23" s="390"/>
      <c r="D23" s="646" t="str">
        <f>IF(ISBLANK(Gestión!C27),"",(Gestión!C27))</f>
        <v>De la categoria del gasto de insumos de laboratorio se ejecuto el 74%, dichos insumos de laboratorio son distribuidos para  la detección de los casos a nivel comunitario con apoyo de los colaboradores voluntarios y a nivel de las fronteras con las oficinas sanitarias internacionales que no fue posible las entregas durante el periodo de ejecución del proyecto.</v>
      </c>
      <c r="E23" s="646"/>
      <c r="F23" s="646"/>
      <c r="G23" s="646"/>
      <c r="H23" s="388"/>
      <c r="I23" s="647"/>
      <c r="J23" s="647"/>
      <c r="K23" s="647"/>
      <c r="L23" s="647"/>
      <c r="M23" s="647"/>
      <c r="N23" s="647"/>
      <c r="O23" s="391"/>
    </row>
    <row r="24" spans="1:15" ht="27" customHeight="1">
      <c r="A24" s="351"/>
      <c r="B24" s="393" t="s">
        <v>203</v>
      </c>
      <c r="C24" s="394"/>
      <c r="D24" s="648">
        <f>IF(ISBLANK(Gestión!I27),"",(Gestión!I27))</f>
      </c>
      <c r="E24" s="648"/>
      <c r="F24" s="648"/>
      <c r="G24" s="648"/>
      <c r="H24" s="388"/>
      <c r="I24" s="649"/>
      <c r="J24" s="649"/>
      <c r="K24" s="649"/>
      <c r="L24" s="649"/>
      <c r="M24" s="649"/>
      <c r="N24" s="649"/>
      <c r="O24" s="391"/>
    </row>
    <row r="25" spans="1:15" ht="4.5" customHeight="1">
      <c r="A25" s="354"/>
      <c r="B25" s="395"/>
      <c r="C25" s="396"/>
      <c r="D25" s="397"/>
      <c r="E25" s="398"/>
      <c r="F25" s="399"/>
      <c r="G25" s="399"/>
      <c r="H25" s="360"/>
      <c r="I25" s="398"/>
      <c r="J25" s="400"/>
      <c r="K25" s="382"/>
      <c r="L25" s="383"/>
      <c r="M25" s="384"/>
      <c r="N25" s="385"/>
      <c r="O25" s="391"/>
    </row>
    <row r="26" spans="1:14" s="358" customFormat="1" ht="21" customHeight="1">
      <c r="A26" s="354"/>
      <c r="B26" s="632" t="s">
        <v>204</v>
      </c>
      <c r="C26" s="632"/>
      <c r="D26" s="632"/>
      <c r="E26" s="632"/>
      <c r="F26" s="632"/>
      <c r="G26" s="632"/>
      <c r="H26" s="632"/>
      <c r="I26" s="632"/>
      <c r="J26" s="632"/>
      <c r="K26" s="632"/>
      <c r="L26" s="632"/>
      <c r="M26" s="632"/>
      <c r="N26" s="632"/>
    </row>
    <row r="27" spans="1:15" ht="3.75" customHeight="1">
      <c r="A27" s="354"/>
      <c r="B27" s="395"/>
      <c r="C27" s="396"/>
      <c r="D27" s="397"/>
      <c r="E27" s="398"/>
      <c r="F27" s="399"/>
      <c r="G27" s="399"/>
      <c r="H27" s="360"/>
      <c r="I27" s="398"/>
      <c r="J27" s="400"/>
      <c r="K27" s="382"/>
      <c r="L27" s="383"/>
      <c r="M27" s="384"/>
      <c r="N27" s="385"/>
      <c r="O27" s="391"/>
    </row>
    <row r="28" spans="1:15" ht="21.75" customHeight="1">
      <c r="A28" s="351"/>
      <c r="B28" s="650" t="s">
        <v>205</v>
      </c>
      <c r="C28" s="650"/>
      <c r="D28" s="651" t="s">
        <v>189</v>
      </c>
      <c r="E28" s="651"/>
      <c r="F28" s="651"/>
      <c r="G28" s="651"/>
      <c r="H28" s="360"/>
      <c r="I28" s="651" t="s">
        <v>190</v>
      </c>
      <c r="J28" s="651"/>
      <c r="K28" s="651"/>
      <c r="L28" s="651"/>
      <c r="M28" s="651"/>
      <c r="N28" s="651"/>
      <c r="O28" s="391"/>
    </row>
    <row r="29" spans="1:15" ht="29.25" customHeight="1">
      <c r="A29" s="351"/>
      <c r="B29" s="401" t="s">
        <v>206</v>
      </c>
      <c r="C29" s="402"/>
      <c r="D29" s="652" t="str">
        <f>IF(ISBLANK(Programatico!C9),"",(Programatico!C9))</f>
        <v>Para el periodo reportado no existen casos autóctonos, por lo que según la clasificación de focos según el Marco para la Eliminación de la Malaria (OMS), no se reportan focos activos.  La meta para el año 2019 era 6,519 viviendas habiéndose realizado RRI en 4,275 viviendas, logrando un porcentaje de 93.4%,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v>
      </c>
      <c r="E29" s="652"/>
      <c r="F29" s="652"/>
      <c r="G29" s="652"/>
      <c r="H29" s="388"/>
      <c r="I29" s="653"/>
      <c r="J29" s="653"/>
      <c r="K29" s="653"/>
      <c r="L29" s="653"/>
      <c r="M29" s="653"/>
      <c r="N29" s="653"/>
      <c r="O29" s="391"/>
    </row>
    <row r="30" spans="1:15" ht="21.75" customHeight="1">
      <c r="A30" s="351"/>
      <c r="B30" s="403" t="s">
        <v>207</v>
      </c>
      <c r="C30" s="404"/>
      <c r="D30" s="654" t="str">
        <f>IF(ISBLANK(Programatico!G9),"",(Programatico!G9))</f>
        <v>En 2015 la Tasa anual de exámenes de sangre se calculó en base a la población residentes en los focos activos y residuales no activos, estableciéndose como meta 3.6% para los focos activos. Para el 2019, no se han reportado casos autóctonos, por consiguiente no existieron focos activos, por lo que el resultado reportado pudo ser cero, pero debido al accionar preventivo bajo la modalidad búsqueda activa y pasiva con toma de gota gruesa. Se realizó vigilancia  y se ha tomado como población en riesgo aquella que viven en áreas receptibles y vulnerables que para e laño 2019, era de 1,243,080 perosnals y se tomaron el tota l de 89,839 gotas gruesas, obteniendo un incremento enel indicador esperado el cual era de 3.6% siendo lo alcanzado un 7.2%. 
Fuente: Sistema Estadístico de Producción de Servicios (SEPS).
</v>
      </c>
      <c r="E30" s="654"/>
      <c r="F30" s="654"/>
      <c r="G30" s="654"/>
      <c r="H30" s="388"/>
      <c r="I30" s="655"/>
      <c r="J30" s="655"/>
      <c r="K30" s="655"/>
      <c r="L30" s="655"/>
      <c r="M30" s="655"/>
      <c r="N30" s="655"/>
      <c r="O30" s="391"/>
    </row>
    <row r="31" spans="1:15" ht="21.75" customHeight="1">
      <c r="A31" s="351"/>
      <c r="B31" s="403" t="s">
        <v>208</v>
      </c>
      <c r="C31" s="404"/>
      <c r="D31" s="654" t="str">
        <f>IF(ISBLANK(Programatico!M9),"",(Programatico!M9))</f>
        <v>En 2019 no existen focos activos debido a que los casos reportados fueron importados. Por lo que no hubo rociado a focos activos; sin embargo, el país realizo la accion de rociado en focos residuales no activos que cumpliean criterio para RRI, en 4,275 viviendas y ubicadas en areas con vulnerabilidad y receptividad para malaria, por lo que se sobrepaso de la meta, logrando el 174.92%. Fuente: Informe de acciones para Malaria 2019.</v>
      </c>
      <c r="E31" s="654"/>
      <c r="F31" s="654"/>
      <c r="G31" s="654"/>
      <c r="H31" s="388"/>
      <c r="I31" s="655"/>
      <c r="J31" s="655"/>
      <c r="K31" s="655"/>
      <c r="L31" s="655"/>
      <c r="M31" s="655"/>
      <c r="N31" s="655"/>
      <c r="O31" s="391"/>
    </row>
    <row r="32" spans="1:15" ht="21.75" customHeight="1">
      <c r="A32" s="351"/>
      <c r="B32" s="405" t="s">
        <v>59</v>
      </c>
      <c r="C32" s="404"/>
      <c r="D32" s="656" t="str">
        <f>IF(ISBLANK(Programatico!L20),"",(Programatico!L20))</f>
        <v>Para el periodo reportado no existen casos autóctonos, por lo que según la clasificación de focos según el Marco para la Eliminación de la Malaria (OMS), no se reportan focos activos.  La meta para el año 2019 era 6,519 viviendas habiéndose realizado RRI en 4,275 viviendas, logrando un porcentaje de 93.4%,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v>
      </c>
      <c r="E32" s="656"/>
      <c r="F32" s="656"/>
      <c r="G32" s="656"/>
      <c r="H32" s="388"/>
      <c r="I32" s="655"/>
      <c r="J32" s="655"/>
      <c r="K32" s="655"/>
      <c r="L32" s="655"/>
      <c r="M32" s="655"/>
      <c r="N32" s="655"/>
      <c r="O32" s="391"/>
    </row>
    <row r="33" spans="1:15" ht="27" customHeight="1">
      <c r="A33" s="351"/>
      <c r="B33" s="405" t="s">
        <v>75</v>
      </c>
      <c r="C33" s="404"/>
      <c r="D33" s="656" t="str">
        <f>IF(ISBLANK(Programatico!L21),"",(Programatico!L21))</f>
        <v>En 2015 la Tasa anual de exámenes de sangre se calculó en base a la población residentes en los focos activos y residuales no activos, estableciéndose como meta 3.6% para los focos activos. Para el 2019, no se han reportado casos autóctonos, por consiguiente no existieron focos activos, por lo que el resultado reportado pudo ser cero, pero debido al accionar preventivo bajo la modalidad búsqueda activa y pasiva con toma de gota gruesa. Se realizó vigilancia  y se ha tomado como población en riesgo aquella que viven en áreas receptibles y vulnerables que para e laño 2019, era de 1,243,080 perosnals y se tomaron el tota l de 89,839 gotas gruesas, obteniendo un incremento enel indicador esperado el cual era de 3.6% siendo lo alcanzado un 7.2%. 
Fuente: Sistema Estadístico de Producción de Servicios (SEPS).
</v>
      </c>
      <c r="E33" s="656"/>
      <c r="F33" s="656"/>
      <c r="G33" s="656"/>
      <c r="H33" s="388"/>
      <c r="I33" s="655"/>
      <c r="J33" s="655"/>
      <c r="K33" s="655"/>
      <c r="L33" s="655"/>
      <c r="M33" s="655"/>
      <c r="N33" s="655"/>
      <c r="O33" s="391"/>
    </row>
    <row r="34" spans="1:15" ht="21.75" customHeight="1">
      <c r="A34" s="351"/>
      <c r="B34" s="405" t="s">
        <v>76</v>
      </c>
      <c r="C34" s="404"/>
      <c r="D34" s="656" t="str">
        <f>IF(ISBLANK(Programatico!L22),"",(Programatico!L22))</f>
        <v>En 2019 no existen focos activos debido a que los casos reportados fueron importados. Por lo que no hubo rociado a focos activos; sin embargo, el país realizo la accion de rociado en focos residuales no activos que cumpliean criterio para RRI, en 4,275 viviendas y ubicadas en areas con vulnerabilidad y receptividad para malaria, por lo que se sobrepaso de la meta, logrando el 174.92%. Fuente: Informe de acciones para Malaria 2019.</v>
      </c>
      <c r="E34" s="656"/>
      <c r="F34" s="656"/>
      <c r="G34" s="656"/>
      <c r="H34" s="388"/>
      <c r="I34" s="655"/>
      <c r="J34" s="655"/>
      <c r="K34" s="655"/>
      <c r="L34" s="655"/>
      <c r="M34" s="655"/>
      <c r="N34" s="655"/>
      <c r="O34" s="391"/>
    </row>
    <row r="35" spans="1:15" ht="21.75" customHeight="1">
      <c r="A35" s="351"/>
      <c r="B35" s="405" t="s">
        <v>77</v>
      </c>
      <c r="C35" s="406"/>
      <c r="D35" s="656" t="str">
        <f>IF(ISBLANK(Programatico!L23),"",(Programatico!L23))</f>
        <v>Para el año 2019, se esperaban que fueran 9 casos de malaria autóctona para investigar, se confirmaron tres casos importados de Mexico (1) y Africa (2), ubicados en los municipios de Sensuntepeque del departamento de Cabañas, Olocuilta del departamento de La Paz y Cojutepeque del departamento de Cuscatlan, los cuales se confirmaron, investigaron y clasificaron completamente, logrando una meta de 100%.
Fuente: Formulario de investigación de caso de malaria</v>
      </c>
      <c r="E35" s="656"/>
      <c r="F35" s="656"/>
      <c r="G35" s="656"/>
      <c r="H35" s="388"/>
      <c r="I35" s="655"/>
      <c r="J35" s="655"/>
      <c r="K35" s="655"/>
      <c r="L35" s="655"/>
      <c r="M35" s="655"/>
      <c r="N35" s="655"/>
      <c r="O35" s="391"/>
    </row>
    <row r="36" spans="1:15" ht="21.75" customHeight="1">
      <c r="A36" s="351"/>
      <c r="B36" s="405" t="s">
        <v>78</v>
      </c>
      <c r="C36" s="406"/>
      <c r="D36" s="656" t="e">
        <f>IF(ISBLANK(Programatico!#REF!),"",(Programatico!#REF!))</f>
        <v>#REF!</v>
      </c>
      <c r="E36" s="656"/>
      <c r="F36" s="656"/>
      <c r="G36" s="656"/>
      <c r="H36" s="388"/>
      <c r="I36" s="655"/>
      <c r="J36" s="655"/>
      <c r="K36" s="655"/>
      <c r="L36" s="655"/>
      <c r="M36" s="655"/>
      <c r="N36" s="655"/>
      <c r="O36" s="391"/>
    </row>
    <row r="37" spans="1:15" ht="21.75" customHeight="1">
      <c r="A37" s="351"/>
      <c r="B37" s="405" t="s">
        <v>79</v>
      </c>
      <c r="C37" s="406"/>
      <c r="D37" s="656" t="e">
        <f>IF(ISBLANK(Programatico!#REF!),"",(Programatico!#REF!))</f>
        <v>#REF!</v>
      </c>
      <c r="E37" s="656"/>
      <c r="F37" s="656"/>
      <c r="G37" s="656"/>
      <c r="H37" s="388"/>
      <c r="I37" s="655"/>
      <c r="J37" s="655"/>
      <c r="K37" s="655"/>
      <c r="L37" s="655"/>
      <c r="M37" s="655"/>
      <c r="N37" s="655"/>
      <c r="O37" s="391"/>
    </row>
    <row r="38" spans="1:15" ht="21.75" customHeight="1">
      <c r="A38" s="351"/>
      <c r="B38" s="405" t="s">
        <v>80</v>
      </c>
      <c r="C38" s="406"/>
      <c r="D38" s="656" t="e">
        <f>IF(ISBLANK(Programatico!#REF!),"",(Programatico!#REF!))</f>
        <v>#REF!</v>
      </c>
      <c r="E38" s="656"/>
      <c r="F38" s="656"/>
      <c r="G38" s="656"/>
      <c r="H38" s="388"/>
      <c r="I38" s="655"/>
      <c r="J38" s="655"/>
      <c r="K38" s="655"/>
      <c r="L38" s="655"/>
      <c r="M38" s="655"/>
      <c r="N38" s="655"/>
      <c r="O38" s="391"/>
    </row>
    <row r="39" spans="1:15" ht="21.75" customHeight="1">
      <c r="A39" s="351"/>
      <c r="B39" s="405" t="s">
        <v>81</v>
      </c>
      <c r="C39" s="406"/>
      <c r="D39" s="656" t="e">
        <f>IF(ISBLANK(Programatico!#REF!),"",(Programatico!#REF!))</f>
        <v>#REF!</v>
      </c>
      <c r="E39" s="656"/>
      <c r="F39" s="656"/>
      <c r="G39" s="656"/>
      <c r="H39" s="388"/>
      <c r="I39" s="655"/>
      <c r="J39" s="655"/>
      <c r="K39" s="655"/>
      <c r="L39" s="655"/>
      <c r="M39" s="655"/>
      <c r="N39" s="655"/>
      <c r="O39" s="391"/>
    </row>
    <row r="40" spans="1:15" ht="21.75" customHeight="1">
      <c r="A40" s="351"/>
      <c r="B40" s="405" t="s">
        <v>82</v>
      </c>
      <c r="C40" s="406"/>
      <c r="D40" s="656" t="e">
        <f>IF(ISBLANK(Programatico!#REF!),"",(Programatico!#REF!))</f>
        <v>#REF!</v>
      </c>
      <c r="E40" s="656"/>
      <c r="F40" s="656"/>
      <c r="G40" s="656"/>
      <c r="H40" s="388"/>
      <c r="I40" s="655"/>
      <c r="J40" s="655"/>
      <c r="K40" s="655"/>
      <c r="L40" s="655"/>
      <c r="M40" s="655"/>
      <c r="N40" s="655"/>
      <c r="O40" s="391"/>
    </row>
    <row r="41" spans="1:15" ht="21.75" customHeight="1">
      <c r="A41" s="351"/>
      <c r="B41" s="405" t="s">
        <v>83</v>
      </c>
      <c r="C41" s="407"/>
      <c r="D41" s="656" t="e">
        <f>IF(ISBLANK(Programatico!#REF!),"",(Programatico!#REF!))</f>
        <v>#REF!</v>
      </c>
      <c r="E41" s="656"/>
      <c r="F41" s="656"/>
      <c r="G41" s="656"/>
      <c r="H41" s="388"/>
      <c r="I41" s="657"/>
      <c r="J41" s="657"/>
      <c r="K41" s="657"/>
      <c r="L41" s="657"/>
      <c r="M41" s="657"/>
      <c r="N41" s="657"/>
      <c r="O41" s="391"/>
    </row>
  </sheetData>
  <sheetProtection password="CFC9" sheet="1" objects="1" scenarios="1"/>
  <mergeCells count="65">
    <mergeCell ref="D38:G38"/>
    <mergeCell ref="I38:N38"/>
    <mergeCell ref="D41:G41"/>
    <mergeCell ref="I41:N41"/>
    <mergeCell ref="D39:G39"/>
    <mergeCell ref="I39:N39"/>
    <mergeCell ref="D40:G40"/>
    <mergeCell ref="I40:N40"/>
    <mergeCell ref="D35:G35"/>
    <mergeCell ref="I35:N35"/>
    <mergeCell ref="D36:G36"/>
    <mergeCell ref="I36:N36"/>
    <mergeCell ref="D37:G37"/>
    <mergeCell ref="I37:N37"/>
    <mergeCell ref="D32:G32"/>
    <mergeCell ref="I32:N32"/>
    <mergeCell ref="D33:G33"/>
    <mergeCell ref="I33:N33"/>
    <mergeCell ref="D34:G34"/>
    <mergeCell ref="I34:N34"/>
    <mergeCell ref="D29:G29"/>
    <mergeCell ref="I29:N29"/>
    <mergeCell ref="D30:G30"/>
    <mergeCell ref="I30:N30"/>
    <mergeCell ref="D31:G31"/>
    <mergeCell ref="I31:N31"/>
    <mergeCell ref="D23:G23"/>
    <mergeCell ref="I23:N23"/>
    <mergeCell ref="D24:G24"/>
    <mergeCell ref="I24:N24"/>
    <mergeCell ref="B26:N26"/>
    <mergeCell ref="B28:C28"/>
    <mergeCell ref="D28:G28"/>
    <mergeCell ref="I28:N28"/>
    <mergeCell ref="D20:G20"/>
    <mergeCell ref="I20:N20"/>
    <mergeCell ref="D21:G21"/>
    <mergeCell ref="I21:N21"/>
    <mergeCell ref="D22:G22"/>
    <mergeCell ref="I22:N22"/>
    <mergeCell ref="B16:N16"/>
    <mergeCell ref="B18:C18"/>
    <mergeCell ref="D18:G18"/>
    <mergeCell ref="I18:N18"/>
    <mergeCell ref="D19:G19"/>
    <mergeCell ref="I19:N19"/>
    <mergeCell ref="D12:G12"/>
    <mergeCell ref="I12:N12"/>
    <mergeCell ref="D13:G13"/>
    <mergeCell ref="I13:N13"/>
    <mergeCell ref="D14:G14"/>
    <mergeCell ref="I14:N14"/>
    <mergeCell ref="E6:K6"/>
    <mergeCell ref="B8:N8"/>
    <mergeCell ref="B10:C10"/>
    <mergeCell ref="D10:G10"/>
    <mergeCell ref="I10:N10"/>
    <mergeCell ref="D11:G11"/>
    <mergeCell ref="I11:N11"/>
    <mergeCell ref="B2:N2"/>
    <mergeCell ref="C3:D3"/>
    <mergeCell ref="E3:K3"/>
    <mergeCell ref="C4:D4"/>
    <mergeCell ref="E4:K4"/>
    <mergeCell ref="E5:K5"/>
  </mergeCells>
  <conditionalFormatting sqref="C4:D4">
    <cfRule type="cellIs" priority="1" dxfId="44" operator="equal" stopIfTrue="1">
      <formula>"C"</formula>
    </cfRule>
    <cfRule type="cellIs" priority="2" dxfId="40" operator="equal" stopIfTrue="1">
      <formula>"B2"</formula>
    </cfRule>
    <cfRule type="cellIs" priority="3" dxfId="41"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37">
      <selection activeCell="Q34" sqref="Q34"/>
    </sheetView>
  </sheetViews>
  <sheetFormatPr defaultColWidth="11.421875" defaultRowHeight="15"/>
  <cols>
    <col min="1" max="1" width="4.140625" style="0" customWidth="1"/>
    <col min="2" max="2" width="14.421875" style="0" customWidth="1"/>
    <col min="3" max="3" width="12.421875" style="0" customWidth="1"/>
    <col min="4" max="4" width="11.421875" style="0" customWidth="1"/>
    <col min="5" max="5" width="19.00390625" style="0" customWidth="1"/>
    <col min="6" max="6" width="1.421875" style="0" customWidth="1"/>
    <col min="7" max="7" width="11.421875" style="0" customWidth="1"/>
    <col min="8" max="8" width="9.421875" style="0" customWidth="1"/>
    <col min="9" max="9" width="11.421875" style="0" customWidth="1"/>
    <col min="10" max="10" width="12.421875" style="0" customWidth="1"/>
    <col min="11" max="11" width="10.421875" style="0" customWidth="1"/>
    <col min="12" max="12" width="13.421875" style="0" customWidth="1"/>
  </cols>
  <sheetData>
    <row r="1" ht="30.75" customHeight="1"/>
    <row r="2" spans="2:12" ht="27.75" customHeight="1">
      <c r="B2" s="587" t="str">
        <f>+"Cuadro de mando:  "&amp;"  "&amp;+'Introducción de datos'!C4&amp;" - "&amp;'Introducción de datos'!G6</f>
        <v>Cuadro de mando:    El Salvador - MALARIA</v>
      </c>
      <c r="C2" s="587"/>
      <c r="D2" s="587"/>
      <c r="E2" s="587"/>
      <c r="F2" s="587"/>
      <c r="G2" s="587"/>
      <c r="H2" s="587"/>
      <c r="I2" s="587"/>
      <c r="J2" s="587"/>
      <c r="K2" s="587"/>
      <c r="L2" s="587"/>
    </row>
    <row r="3" spans="2:13" ht="15">
      <c r="B3" s="301">
        <f>+'Introducción de datos'!G8</f>
        <v>0</v>
      </c>
      <c r="C3" s="588" t="str">
        <f>+'Introducción de datos'!I8</f>
        <v>Fase 1</v>
      </c>
      <c r="D3" s="588"/>
      <c r="E3" s="589"/>
      <c r="F3" s="589"/>
      <c r="G3" s="589"/>
      <c r="H3" s="589"/>
      <c r="I3" s="589"/>
      <c r="J3" s="590" t="str">
        <f>+'Introducción de datos'!B16</f>
        <v>Periodo:</v>
      </c>
      <c r="K3" s="590"/>
      <c r="L3" s="327" t="str">
        <f>+'Introducción de datos'!C16</f>
        <v>P3</v>
      </c>
      <c r="M3" s="408"/>
    </row>
    <row r="4" spans="2:12" ht="15">
      <c r="B4" s="301" t="str">
        <f>+'Introducción de datos'!B12</f>
        <v>Ultima calificación:</v>
      </c>
      <c r="C4" s="658" t="str">
        <f>+'Introducción de datos'!C12</f>
        <v>B1</v>
      </c>
      <c r="D4" s="658"/>
      <c r="E4" s="589" t="str">
        <f>+'Introducción de datos'!C8</f>
        <v>Ministerio de Salud </v>
      </c>
      <c r="F4" s="589"/>
      <c r="G4" s="589"/>
      <c r="H4" s="589"/>
      <c r="I4" s="589"/>
      <c r="J4" s="590" t="str">
        <f>+'Introducción de datos'!D16</f>
        <v>Desde:</v>
      </c>
      <c r="K4" s="590"/>
      <c r="L4" s="273">
        <f>+'Introducción de datos'!E16</f>
        <v>43466</v>
      </c>
    </row>
    <row r="5" spans="2:12" ht="18.75" customHeight="1">
      <c r="B5" s="301"/>
      <c r="C5" s="301"/>
      <c r="D5" s="589" t="str">
        <f>+'Introducción de datos'!G4</f>
        <v>Eliminación de la malaria en El Salvador: un esfuerzo de país</v>
      </c>
      <c r="E5" s="589"/>
      <c r="F5" s="589"/>
      <c r="G5" s="589"/>
      <c r="H5" s="589"/>
      <c r="I5" s="589"/>
      <c r="J5" s="589"/>
      <c r="K5" s="301" t="str">
        <f>+'Introducción de datos'!F16</f>
        <v>Hasta:</v>
      </c>
      <c r="L5" s="273">
        <f>+'Introducción de datos'!G16</f>
        <v>43830</v>
      </c>
    </row>
    <row r="6" spans="2:9" ht="18.75">
      <c r="B6" s="302"/>
      <c r="C6" s="301"/>
      <c r="D6" s="275"/>
      <c r="E6" s="591" t="s">
        <v>209</v>
      </c>
      <c r="F6" s="591"/>
      <c r="G6" s="591"/>
      <c r="H6" s="591"/>
      <c r="I6" s="591"/>
    </row>
    <row r="7" spans="5:9" ht="18.75">
      <c r="E7" s="409"/>
      <c r="F7" s="409"/>
      <c r="G7" s="409"/>
      <c r="H7" s="409"/>
      <c r="I7" s="409"/>
    </row>
    <row r="8" spans="2:12" s="358" customFormat="1" ht="21" customHeight="1">
      <c r="B8" s="410" t="s">
        <v>210</v>
      </c>
      <c r="C8" s="411"/>
      <c r="D8" s="411"/>
      <c r="E8" s="411"/>
      <c r="F8" s="411"/>
      <c r="G8" s="411"/>
      <c r="H8" s="411"/>
      <c r="I8" s="411"/>
      <c r="J8" s="411"/>
      <c r="K8" s="411"/>
      <c r="L8" s="411"/>
    </row>
    <row r="9" ht="6" customHeight="1">
      <c r="B9" s="412"/>
    </row>
    <row r="10" spans="2:12" ht="15">
      <c r="B10" s="659"/>
      <c r="C10" s="659"/>
      <c r="D10" s="659"/>
      <c r="E10" s="659"/>
      <c r="F10" s="659"/>
      <c r="G10" s="659"/>
      <c r="H10" s="659"/>
      <c r="I10" s="659"/>
      <c r="J10" s="659"/>
      <c r="K10" s="659"/>
      <c r="L10" s="659"/>
    </row>
    <row r="11" spans="2:12" ht="15">
      <c r="B11" s="659"/>
      <c r="C11" s="659"/>
      <c r="D11" s="659"/>
      <c r="E11" s="659"/>
      <c r="F11" s="659"/>
      <c r="G11" s="659"/>
      <c r="H11" s="659"/>
      <c r="I11" s="659"/>
      <c r="J11" s="659"/>
      <c r="K11" s="659"/>
      <c r="L11" s="659"/>
    </row>
    <row r="13" spans="1:12" ht="42" customHeight="1">
      <c r="A13" s="413"/>
      <c r="B13" s="660" t="s">
        <v>211</v>
      </c>
      <c r="C13" s="660"/>
      <c r="D13" s="660"/>
      <c r="E13" s="660"/>
      <c r="F13" s="414"/>
      <c r="G13" s="661" t="s">
        <v>212</v>
      </c>
      <c r="H13" s="661"/>
      <c r="I13" s="661"/>
      <c r="J13" s="415" t="s">
        <v>213</v>
      </c>
      <c r="K13" s="662" t="s">
        <v>214</v>
      </c>
      <c r="L13" s="662"/>
    </row>
    <row r="14" spans="1:12" ht="29.25" customHeight="1">
      <c r="A14" s="663" t="s">
        <v>92</v>
      </c>
      <c r="B14" s="664"/>
      <c r="C14" s="664"/>
      <c r="D14" s="664"/>
      <c r="E14" s="664"/>
      <c r="F14" s="85"/>
      <c r="G14" s="665"/>
      <c r="H14" s="665"/>
      <c r="I14" s="665"/>
      <c r="J14" s="666"/>
      <c r="K14" s="671"/>
      <c r="L14" s="671"/>
    </row>
    <row r="15" spans="1:12" ht="2.25" customHeight="1">
      <c r="A15" s="663"/>
      <c r="B15" s="204"/>
      <c r="C15" s="204"/>
      <c r="D15" s="204"/>
      <c r="E15" s="204"/>
      <c r="F15" s="85"/>
      <c r="G15" s="665"/>
      <c r="H15" s="665"/>
      <c r="I15" s="665"/>
      <c r="J15" s="666"/>
      <c r="K15" s="671"/>
      <c r="L15" s="671"/>
    </row>
    <row r="16" spans="1:12" ht="25.5" customHeight="1">
      <c r="A16" s="663"/>
      <c r="B16" s="667"/>
      <c r="C16" s="667"/>
      <c r="D16" s="667"/>
      <c r="E16" s="667"/>
      <c r="F16" s="85"/>
      <c r="G16" s="672"/>
      <c r="H16" s="672"/>
      <c r="I16" s="672"/>
      <c r="J16" s="673"/>
      <c r="K16" s="674"/>
      <c r="L16" s="674"/>
    </row>
    <row r="17" spans="1:12" ht="4.5" customHeight="1">
      <c r="A17" s="663"/>
      <c r="B17" s="667"/>
      <c r="C17" s="667"/>
      <c r="D17" s="667"/>
      <c r="E17" s="667"/>
      <c r="F17" s="85"/>
      <c r="G17" s="672"/>
      <c r="H17" s="672"/>
      <c r="I17" s="672"/>
      <c r="J17" s="673"/>
      <c r="K17" s="674"/>
      <c r="L17" s="674"/>
    </row>
    <row r="18" spans="1:12" ht="15">
      <c r="A18" s="663"/>
      <c r="B18" s="667"/>
      <c r="C18" s="667"/>
      <c r="D18" s="667"/>
      <c r="E18" s="667"/>
      <c r="F18" s="85"/>
      <c r="G18" s="668"/>
      <c r="H18" s="668"/>
      <c r="I18" s="668"/>
      <c r="J18" s="669"/>
      <c r="K18" s="674"/>
      <c r="L18" s="674"/>
    </row>
    <row r="19" spans="1:12" ht="21" customHeight="1">
      <c r="A19" s="663"/>
      <c r="B19" s="667"/>
      <c r="C19" s="667"/>
      <c r="D19" s="667"/>
      <c r="E19" s="667"/>
      <c r="F19" s="85"/>
      <c r="G19" s="668"/>
      <c r="H19" s="668"/>
      <c r="I19" s="668"/>
      <c r="J19" s="669"/>
      <c r="K19" s="669"/>
      <c r="L19" s="674"/>
    </row>
    <row r="20" spans="1:12" ht="15">
      <c r="A20" s="663"/>
      <c r="B20" s="667"/>
      <c r="C20" s="667"/>
      <c r="D20" s="667"/>
      <c r="E20" s="667"/>
      <c r="F20" s="85"/>
      <c r="G20" s="670"/>
      <c r="H20" s="670"/>
      <c r="I20" s="670"/>
      <c r="J20" s="669"/>
      <c r="K20" s="674"/>
      <c r="L20" s="674"/>
    </row>
    <row r="21" spans="1:12" ht="15">
      <c r="A21" s="663"/>
      <c r="B21" s="667"/>
      <c r="C21" s="667"/>
      <c r="D21" s="667"/>
      <c r="E21" s="667"/>
      <c r="F21" s="85"/>
      <c r="G21" s="670"/>
      <c r="H21" s="670"/>
      <c r="I21" s="670"/>
      <c r="J21" s="669"/>
      <c r="K21" s="669"/>
      <c r="L21" s="674"/>
    </row>
    <row r="22" spans="1:12" ht="15">
      <c r="A22" s="663"/>
      <c r="B22" s="667"/>
      <c r="C22" s="667"/>
      <c r="D22" s="667"/>
      <c r="E22" s="667"/>
      <c r="F22" s="85"/>
      <c r="G22" s="670"/>
      <c r="H22" s="670"/>
      <c r="I22" s="670"/>
      <c r="J22" s="669"/>
      <c r="K22" s="674"/>
      <c r="L22" s="674"/>
    </row>
    <row r="23" spans="1:12" ht="15">
      <c r="A23" s="663"/>
      <c r="B23" s="667"/>
      <c r="C23" s="667"/>
      <c r="D23" s="667"/>
      <c r="E23" s="667"/>
      <c r="F23" s="85"/>
      <c r="G23" s="670"/>
      <c r="H23" s="670"/>
      <c r="I23" s="670"/>
      <c r="J23" s="669"/>
      <c r="K23" s="669"/>
      <c r="L23" s="674"/>
    </row>
    <row r="24" spans="1:12" ht="15">
      <c r="A24" s="663"/>
      <c r="B24" s="675"/>
      <c r="C24" s="675"/>
      <c r="D24" s="675"/>
      <c r="E24" s="675"/>
      <c r="F24" s="85"/>
      <c r="G24" s="676"/>
      <c r="H24" s="676"/>
      <c r="I24" s="676"/>
      <c r="J24" s="677"/>
      <c r="K24" s="678"/>
      <c r="L24" s="678"/>
    </row>
    <row r="25" spans="1:12" ht="15">
      <c r="A25" s="663"/>
      <c r="B25" s="675"/>
      <c r="C25" s="675"/>
      <c r="D25" s="675"/>
      <c r="E25" s="675"/>
      <c r="F25" s="85"/>
      <c r="G25" s="676"/>
      <c r="H25" s="676"/>
      <c r="I25" s="676"/>
      <c r="J25" s="677"/>
      <c r="K25" s="677"/>
      <c r="L25" s="678"/>
    </row>
    <row r="26" spans="1:12" ht="15">
      <c r="A26" s="413"/>
      <c r="B26" s="413"/>
      <c r="C26" s="413"/>
      <c r="D26" s="413"/>
      <c r="E26" s="413"/>
      <c r="F26" s="413"/>
      <c r="G26" s="413"/>
      <c r="H26" s="413"/>
      <c r="I26" s="413"/>
      <c r="J26" s="413"/>
      <c r="K26" s="413"/>
      <c r="L26" s="413"/>
    </row>
    <row r="27" spans="1:12" ht="18.75">
      <c r="A27" s="413"/>
      <c r="B27" s="413"/>
      <c r="C27" s="413"/>
      <c r="D27" s="413"/>
      <c r="E27" s="416" t="s">
        <v>215</v>
      </c>
      <c r="F27" s="417"/>
      <c r="G27" s="417"/>
      <c r="H27" s="417"/>
      <c r="I27" s="417"/>
      <c r="J27" s="413"/>
      <c r="K27" s="413"/>
      <c r="L27" s="413"/>
    </row>
    <row r="28" spans="1:12" ht="6" customHeight="1">
      <c r="A28" s="413"/>
      <c r="B28" s="413"/>
      <c r="C28" s="413"/>
      <c r="D28" s="413"/>
      <c r="E28" s="418"/>
      <c r="F28" s="418"/>
      <c r="G28" s="418"/>
      <c r="H28" s="418"/>
      <c r="I28" s="418"/>
      <c r="J28" s="413"/>
      <c r="K28" s="413"/>
      <c r="L28" s="413"/>
    </row>
    <row r="29" spans="1:12" s="358" customFormat="1" ht="21" customHeight="1">
      <c r="A29" s="419"/>
      <c r="B29" s="410" t="s">
        <v>216</v>
      </c>
      <c r="C29" s="420"/>
      <c r="D29" s="420"/>
      <c r="E29" s="420"/>
      <c r="F29" s="420"/>
      <c r="G29" s="420"/>
      <c r="H29" s="420"/>
      <c r="I29" s="420"/>
      <c r="J29" s="420"/>
      <c r="K29" s="420"/>
      <c r="L29" s="420"/>
    </row>
    <row r="30" spans="1:12" ht="6" customHeight="1">
      <c r="A30" s="413"/>
      <c r="B30" s="421"/>
      <c r="C30" s="413"/>
      <c r="D30" s="413"/>
      <c r="E30" s="413"/>
      <c r="F30" s="413"/>
      <c r="G30" s="413"/>
      <c r="H30" s="413"/>
      <c r="I30" s="413"/>
      <c r="J30" s="413"/>
      <c r="K30" s="413"/>
      <c r="L30" s="413"/>
    </row>
    <row r="31" spans="1:12" ht="45" customHeight="1">
      <c r="A31" s="413"/>
      <c r="B31" s="660" t="s">
        <v>212</v>
      </c>
      <c r="C31" s="660"/>
      <c r="D31" s="660"/>
      <c r="E31" s="660"/>
      <c r="F31" s="414"/>
      <c r="G31" s="661" t="s">
        <v>217</v>
      </c>
      <c r="H31" s="661"/>
      <c r="I31" s="661"/>
      <c r="J31" s="415" t="s">
        <v>213</v>
      </c>
      <c r="K31" s="662" t="s">
        <v>214</v>
      </c>
      <c r="L31" s="662"/>
    </row>
    <row r="32" spans="1:12" ht="18.75" customHeight="1">
      <c r="A32" s="663" t="s">
        <v>218</v>
      </c>
      <c r="B32" s="679"/>
      <c r="C32" s="679"/>
      <c r="D32" s="679"/>
      <c r="E32" s="679"/>
      <c r="F32" s="85"/>
      <c r="G32" s="680"/>
      <c r="H32" s="680"/>
      <c r="I32" s="680"/>
      <c r="J32" s="681"/>
      <c r="K32" s="682"/>
      <c r="L32" s="682"/>
    </row>
    <row r="33" spans="1:12" ht="18.75" customHeight="1">
      <c r="A33" s="663"/>
      <c r="B33" s="679"/>
      <c r="C33" s="679"/>
      <c r="D33" s="679"/>
      <c r="E33" s="679"/>
      <c r="F33" s="85"/>
      <c r="G33" s="680"/>
      <c r="H33" s="680"/>
      <c r="I33" s="680"/>
      <c r="J33" s="681"/>
      <c r="K33" s="681"/>
      <c r="L33" s="682"/>
    </row>
    <row r="34" spans="1:12" ht="18.75" customHeight="1">
      <c r="A34" s="663"/>
      <c r="B34" s="683">
        <f>IF(Recomendaciones!I43="","",Recomendaciones!I43)</f>
      </c>
      <c r="C34" s="683"/>
      <c r="D34" s="683"/>
      <c r="E34" s="683"/>
      <c r="F34" s="85"/>
      <c r="G34" s="684"/>
      <c r="H34" s="684"/>
      <c r="I34" s="684"/>
      <c r="J34" s="685"/>
      <c r="K34" s="686"/>
      <c r="L34" s="686"/>
    </row>
    <row r="35" spans="1:12" ht="18.75" customHeight="1">
      <c r="A35" s="663"/>
      <c r="B35" s="683"/>
      <c r="C35" s="683"/>
      <c r="D35" s="683"/>
      <c r="E35" s="683"/>
      <c r="F35" s="85"/>
      <c r="G35" s="684"/>
      <c r="H35" s="684"/>
      <c r="I35" s="684"/>
      <c r="J35" s="685"/>
      <c r="K35" s="685"/>
      <c r="L35" s="686"/>
    </row>
    <row r="36" spans="1:12" ht="18.75" customHeight="1">
      <c r="A36" s="663"/>
      <c r="B36" s="683">
        <f>+IF(Recomendaciones!I53="","",Recomendaciones!I53)</f>
      </c>
      <c r="C36" s="683"/>
      <c r="D36" s="683"/>
      <c r="E36" s="683"/>
      <c r="F36" s="85"/>
      <c r="G36" s="684"/>
      <c r="H36" s="684"/>
      <c r="I36" s="684"/>
      <c r="J36" s="685"/>
      <c r="K36" s="686"/>
      <c r="L36" s="686"/>
    </row>
    <row r="37" spans="1:12" ht="18.75" customHeight="1">
      <c r="A37" s="663"/>
      <c r="B37" s="683"/>
      <c r="C37" s="683"/>
      <c r="D37" s="683"/>
      <c r="E37" s="683"/>
      <c r="F37" s="85"/>
      <c r="G37" s="684"/>
      <c r="H37" s="684"/>
      <c r="I37" s="684"/>
      <c r="J37" s="685"/>
      <c r="K37" s="685"/>
      <c r="L37" s="686"/>
    </row>
    <row r="38" spans="1:12" ht="18.75" customHeight="1">
      <c r="A38" s="663"/>
      <c r="B38" s="683"/>
      <c r="C38" s="683"/>
      <c r="D38" s="683"/>
      <c r="E38" s="683"/>
      <c r="F38" s="85"/>
      <c r="G38" s="684"/>
      <c r="H38" s="684"/>
      <c r="I38" s="684"/>
      <c r="J38" s="685"/>
      <c r="K38" s="686"/>
      <c r="L38" s="686"/>
    </row>
    <row r="39" spans="1:12" ht="18.75" customHeight="1">
      <c r="A39" s="663"/>
      <c r="B39" s="683"/>
      <c r="C39" s="683"/>
      <c r="D39" s="683"/>
      <c r="E39" s="683"/>
      <c r="F39" s="85"/>
      <c r="G39" s="684"/>
      <c r="H39" s="684"/>
      <c r="I39" s="684"/>
      <c r="J39" s="685"/>
      <c r="K39" s="685"/>
      <c r="L39" s="686"/>
    </row>
    <row r="40" spans="1:12" ht="18.75" customHeight="1">
      <c r="A40" s="663"/>
      <c r="B40" s="683"/>
      <c r="C40" s="683"/>
      <c r="D40" s="683"/>
      <c r="E40" s="683"/>
      <c r="F40" s="85"/>
      <c r="G40" s="684"/>
      <c r="H40" s="684"/>
      <c r="I40" s="684"/>
      <c r="J40" s="685"/>
      <c r="K40" s="686"/>
      <c r="L40" s="686"/>
    </row>
    <row r="41" spans="1:12" ht="18.75" customHeight="1">
      <c r="A41" s="663"/>
      <c r="B41" s="683"/>
      <c r="C41" s="683"/>
      <c r="D41" s="683"/>
      <c r="E41" s="683"/>
      <c r="F41" s="85"/>
      <c r="G41" s="684"/>
      <c r="H41" s="684"/>
      <c r="I41" s="684"/>
      <c r="J41" s="685"/>
      <c r="K41" s="685"/>
      <c r="L41" s="686"/>
    </row>
    <row r="42" spans="1:12" ht="18.75" customHeight="1">
      <c r="A42" s="663"/>
      <c r="B42" s="687"/>
      <c r="C42" s="687"/>
      <c r="D42" s="687"/>
      <c r="E42" s="687"/>
      <c r="F42" s="85"/>
      <c r="G42" s="688"/>
      <c r="H42" s="688"/>
      <c r="I42" s="688"/>
      <c r="J42" s="689"/>
      <c r="K42" s="690"/>
      <c r="L42" s="690"/>
    </row>
    <row r="43" spans="1:12" ht="18.75" customHeight="1">
      <c r="A43" s="663"/>
      <c r="B43" s="687"/>
      <c r="C43" s="687"/>
      <c r="D43" s="687"/>
      <c r="E43" s="687"/>
      <c r="F43" s="85"/>
      <c r="G43" s="688"/>
      <c r="H43" s="688"/>
      <c r="I43" s="688"/>
      <c r="J43" s="689"/>
      <c r="K43" s="689"/>
      <c r="L43" s="690"/>
    </row>
  </sheetData>
  <sheetProtection selectLockedCells="1" selectUnlockedCells="1"/>
  <mergeCells count="66">
    <mergeCell ref="B42:E43"/>
    <mergeCell ref="G42:I43"/>
    <mergeCell ref="J42:J43"/>
    <mergeCell ref="K42:L43"/>
    <mergeCell ref="B38:E39"/>
    <mergeCell ref="G38:I39"/>
    <mergeCell ref="J38:J39"/>
    <mergeCell ref="K38:L39"/>
    <mergeCell ref="B40:E41"/>
    <mergeCell ref="G40:I41"/>
    <mergeCell ref="J40:J41"/>
    <mergeCell ref="K40:L41"/>
    <mergeCell ref="J34:J35"/>
    <mergeCell ref="K34:L35"/>
    <mergeCell ref="B36:E37"/>
    <mergeCell ref="G36:I37"/>
    <mergeCell ref="J36:J37"/>
    <mergeCell ref="K36:L37"/>
    <mergeCell ref="B31:E31"/>
    <mergeCell ref="G31:I31"/>
    <mergeCell ref="K31:L31"/>
    <mergeCell ref="A32:A43"/>
    <mergeCell ref="B32:E33"/>
    <mergeCell ref="G32:I33"/>
    <mergeCell ref="J32:J33"/>
    <mergeCell ref="K32:L33"/>
    <mergeCell ref="B34:E35"/>
    <mergeCell ref="G34:I35"/>
    <mergeCell ref="B20:E21"/>
    <mergeCell ref="G20:I21"/>
    <mergeCell ref="J20:J21"/>
    <mergeCell ref="K20:L21"/>
    <mergeCell ref="K22:L23"/>
    <mergeCell ref="B24:E25"/>
    <mergeCell ref="G24:I25"/>
    <mergeCell ref="J24:J25"/>
    <mergeCell ref="K24:L25"/>
    <mergeCell ref="K14:L15"/>
    <mergeCell ref="B16:E17"/>
    <mergeCell ref="G16:I17"/>
    <mergeCell ref="J16:J17"/>
    <mergeCell ref="K16:L17"/>
    <mergeCell ref="K18:L19"/>
    <mergeCell ref="A14:A25"/>
    <mergeCell ref="B14:E14"/>
    <mergeCell ref="G14:I15"/>
    <mergeCell ref="J14:J15"/>
    <mergeCell ref="B18:E19"/>
    <mergeCell ref="G18:I19"/>
    <mergeCell ref="J18:J19"/>
    <mergeCell ref="B22:E23"/>
    <mergeCell ref="G22:I23"/>
    <mergeCell ref="J22:J23"/>
    <mergeCell ref="D5:J5"/>
    <mergeCell ref="E6:I6"/>
    <mergeCell ref="B10:L11"/>
    <mergeCell ref="B13:E13"/>
    <mergeCell ref="G13:I13"/>
    <mergeCell ref="K13:L13"/>
    <mergeCell ref="B2:L2"/>
    <mergeCell ref="C3:D3"/>
    <mergeCell ref="E3:I3"/>
    <mergeCell ref="J3:K3"/>
    <mergeCell ref="C4:D4"/>
    <mergeCell ref="E4:I4"/>
    <mergeCell ref="J4:K4"/>
  </mergeCells>
  <conditionalFormatting sqref="C4:D4">
    <cfRule type="cellIs" priority="1" dxfId="44" operator="equal" stopIfTrue="1">
      <formula>"C"</formula>
    </cfRule>
    <cfRule type="cellIs" priority="2" dxfId="40" operator="equal" stopIfTrue="1">
      <formula>"B2"</formula>
    </cfRule>
    <cfRule type="cellIs" priority="3" dxfId="41"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gflores</cp:lastModifiedBy>
  <cp:lastPrinted>2020-03-20T22:35:06Z</cp:lastPrinted>
  <dcterms:created xsi:type="dcterms:W3CDTF">2008-11-20T16:06:13Z</dcterms:created>
  <dcterms:modified xsi:type="dcterms:W3CDTF">2020-04-21T18:05:47Z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