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E:\Proyecto FM (PENMTB 2016 - 2021) _ ESA\Año 2020\Noviembre 2020\Borrador_Marco Desempeño &amp; Brecha Programatica_TB\Tabla de datos esenciales_FM_23nov2020\"/>
    </mc:Choice>
  </mc:AlternateContent>
  <xr:revisionPtr revIDLastSave="0" documentId="13_ncr:1_{F0ADFA68-0ED0-4C1A-B20E-59A48F1DF21C}" xr6:coauthVersionLast="45" xr6:coauthVersionMax="45" xr10:uidLastSave="{00000000-0000-0000-0000-000000000000}"/>
  <bookViews>
    <workbookView xWindow="-110" yWindow="-110" windowWidth="19420" windowHeight="10420" activeTab="1" xr2:uid="{00000000-000D-0000-FFFF-FFFF00000000}"/>
  </bookViews>
  <sheets>
    <sheet name="Instructions" sheetId="2" r:id="rId1"/>
    <sheet name="SLV - TB" sheetId="5" r:id="rId2"/>
    <sheet name="GRAFICO " sheetId="6" r:id="rId3"/>
  </sheets>
  <calcPr calcId="181029" calcOnSave="0"/>
</workbook>
</file>

<file path=xl/calcChain.xml><?xml version="1.0" encoding="utf-8"?>
<calcChain xmlns="http://schemas.openxmlformats.org/spreadsheetml/2006/main">
  <c r="I12" i="5" l="1"/>
  <c r="I19" i="5"/>
  <c r="J19" i="5"/>
  <c r="J20" i="5"/>
  <c r="K19" i="5"/>
  <c r="L19" i="5"/>
  <c r="L20" i="5"/>
  <c r="M19" i="5"/>
  <c r="M20" i="5"/>
  <c r="H19" i="5"/>
  <c r="H20" i="5"/>
  <c r="G19" i="5"/>
  <c r="H24" i="5"/>
  <c r="G24" i="5"/>
  <c r="M28" i="5"/>
  <c r="H21" i="5"/>
  <c r="I21" i="5"/>
  <c r="J21" i="5"/>
  <c r="K21" i="5"/>
  <c r="L21" i="5"/>
  <c r="M21" i="5"/>
  <c r="G21" i="5"/>
  <c r="G9" i="5"/>
  <c r="G10" i="5"/>
  <c r="M9" i="5"/>
  <c r="M10" i="5"/>
  <c r="L9" i="5"/>
  <c r="L10" i="5"/>
  <c r="K9" i="5"/>
  <c r="K10" i="5"/>
  <c r="J9" i="5"/>
  <c r="J10" i="5"/>
  <c r="I9" i="5"/>
  <c r="I10" i="5"/>
  <c r="H9" i="5"/>
  <c r="H10" i="5"/>
  <c r="J15" i="5"/>
  <c r="J17" i="5"/>
  <c r="J18" i="5"/>
  <c r="G12" i="5"/>
  <c r="G13" i="5"/>
  <c r="H12" i="5"/>
  <c r="H13" i="5"/>
  <c r="I13" i="5"/>
  <c r="J12" i="5"/>
  <c r="J13" i="5"/>
  <c r="K12" i="5"/>
  <c r="K13" i="5"/>
  <c r="L12" i="5"/>
  <c r="L13" i="5"/>
  <c r="M12" i="5"/>
  <c r="M13" i="5"/>
  <c r="G15" i="5"/>
  <c r="H15" i="5"/>
  <c r="I15" i="5"/>
  <c r="K15" i="5"/>
  <c r="L15" i="5"/>
  <c r="M15" i="5"/>
  <c r="G17" i="5"/>
  <c r="H17" i="5"/>
  <c r="I17" i="5"/>
  <c r="K17" i="5"/>
  <c r="L17" i="5"/>
  <c r="M17" i="5"/>
  <c r="G18" i="5"/>
  <c r="H18" i="5"/>
  <c r="I18" i="5"/>
  <c r="K18" i="5"/>
  <c r="L18" i="5"/>
  <c r="M18" i="5"/>
  <c r="G20" i="5"/>
  <c r="I20" i="5"/>
  <c r="K20" i="5"/>
  <c r="H23" i="5"/>
  <c r="I23" i="5"/>
  <c r="I24" i="5"/>
  <c r="J23" i="5"/>
  <c r="J24" i="5"/>
  <c r="K23" i="5"/>
  <c r="K24" i="5"/>
  <c r="L23" i="5"/>
  <c r="L24" i="5"/>
  <c r="M23" i="5"/>
  <c r="M24" i="5"/>
</calcChain>
</file>

<file path=xl/sharedStrings.xml><?xml version="1.0" encoding="utf-8"?>
<sst xmlns="http://schemas.openxmlformats.org/spreadsheetml/2006/main" count="225" uniqueCount="141">
  <si>
    <r>
      <rPr>
        <sz val="11"/>
        <color indexed="10"/>
        <rFont val="Calibri"/>
        <family val="2"/>
      </rPr>
      <t xml:space="preserve">INSTRUCTIONS: </t>
    </r>
    <r>
      <rPr>
        <sz val="11"/>
        <color theme="1"/>
        <rFont val="Calibri"/>
        <family val="2"/>
        <scheme val="minor"/>
      </rPr>
      <t xml:space="preserve">
Essential Data Tables are pre-filled by the Global Fund with the most recent data on RSSH, HIV, TB, malaria and are intended to assist countries in the analysis of the epidemiological context as well as encourage cross-cutting collaboration between disease programs and the broader health system. 
The applicant is requested to review the pre-filled data for all four components: RSSH, HIV, TB, Malaria. In cases where the pre-filled data does not reflect the information available to the applicant, we request that the applicant add comments or update data, as deemed necessary. 
To the extent possible the applicant is requested to add data for indicators that are missing. The applicant should make special note to add data used in the analysis of the country context and funding request prioritization.
EDTs will be part of the funding request submission package submitted to the TRP. It is important that data in the EDT are consistent with the data referenced in the funding request narrative and the other core documents (e.g. Performance Framework) submitted along with the funding request.
</t>
    </r>
  </si>
  <si>
    <t>Release date:</t>
  </si>
  <si>
    <t>Source</t>
  </si>
  <si>
    <t>Treatment success rate for MDR-TB cases (percent)</t>
  </si>
  <si>
    <t>Treatment success rate for HIV-positive TB cases (percent)</t>
  </si>
  <si>
    <t>Treatment success rate for all new cases including relapse cases (percent)</t>
  </si>
  <si>
    <t>WHO, Global TB Database 2019: notifications</t>
  </si>
  <si>
    <t>People living with HIV newly enrolled in HIV care who started treatment for latent TB infection (percent)</t>
  </si>
  <si>
    <t>Total number of adults and children newly enrolled in HIV care who are diagnosed as having active TB disease during the reporting period</t>
  </si>
  <si>
    <t>People living with HIV newly enrolled in HIV care who started treatment for latent TB infection</t>
  </si>
  <si>
    <t>Total number of adults and children newly enrolled in pre-ART care or on ART during the reporting period</t>
  </si>
  <si>
    <t>Registered HIV-positive new and relapse TB patients started or continued on antiretroviral therapy (percent)</t>
  </si>
  <si>
    <t>HIV-positive new and relapse TB patients started or continued on antiretroviral therapy</t>
  </si>
  <si>
    <t>Number of new and relapse TB patients recorded as HIV-positive</t>
  </si>
  <si>
    <t>New and relapse TB patients tested for HIV at the time of TB diagnosis or with known HIV status at the time of TB diagnosis (percent)</t>
  </si>
  <si>
    <t>Number of new and relapse TB patients tested for HIV at the time of TB diagnosis or with known HIV status at the time of TB diagnosis</t>
  </si>
  <si>
    <t>Number of laboratory-confirmed rifampicin-resistant (RR-TB) or multidrug-resistant TB (MDR-TB) patients who started treatment for MDR-TB</t>
  </si>
  <si>
    <t>Number of laboratory-confirmed RR-TB or MDR-TB cases identified</t>
  </si>
  <si>
    <t>New pulmonary bacteriologically confirmed TB cases (smear positive or culture positive or positive by WHO-recommended rapid diagnostics such as Xpert MTB/RIF)</t>
  </si>
  <si>
    <t>TB treatment coverage (percent)</t>
  </si>
  <si>
    <t>Case notification rate, which is the total of new and relapse cases and cases with unknown previous TB treatment history per 100 000 population</t>
  </si>
  <si>
    <t>Total of new and relapse cases and cases with unknown previous TB treatment history</t>
  </si>
  <si>
    <t>Estimated incidence of rifampicin resistant TB (absolute number)</t>
  </si>
  <si>
    <t>Estimated mortality of TB cases (all forms, excluding HIV) per 100,000 population</t>
  </si>
  <si>
    <t>Estimated number of deaths from TB (all forms, excluding HIV)</t>
  </si>
  <si>
    <t>Estimated incidence (all forms) per 100 000 population</t>
  </si>
  <si>
    <t>Estimated number of incident cases men (all forms)</t>
  </si>
  <si>
    <t>Estimated number of incident cases women (all forms)</t>
  </si>
  <si>
    <t>Estimated number of incident cases (all forms)</t>
  </si>
  <si>
    <t>El Salvador</t>
  </si>
  <si>
    <t>2015</t>
  </si>
  <si>
    <t>2016</t>
  </si>
  <si>
    <t>2017</t>
  </si>
  <si>
    <t>2018</t>
  </si>
  <si>
    <t>60</t>
  </si>
  <si>
    <t>74</t>
  </si>
  <si>
    <t>48</t>
  </si>
  <si>
    <t>90</t>
  </si>
  <si>
    <t>3,100</t>
  </si>
  <si>
    <t>3,800</t>
  </si>
  <si>
    <t>4,600</t>
  </si>
  <si>
    <t>4,500</t>
  </si>
  <si>
    <t>1,200</t>
  </si>
  <si>
    <t>3,400</t>
  </si>
  <si>
    <t>72</t>
  </si>
  <si>
    <t>70</t>
  </si>
  <si>
    <t>100</t>
  </si>
  <si>
    <t>1.3</t>
  </si>
  <si>
    <t>1.2</t>
  </si>
  <si>
    <t>102</t>
  </si>
  <si>
    <t>2,452</t>
  </si>
  <si>
    <t>3,034</t>
  </si>
  <si>
    <t>3,666</t>
  </si>
  <si>
    <t>3,615</t>
  </si>
  <si>
    <t>39</t>
  </si>
  <si>
    <t>57</t>
  </si>
  <si>
    <t>56</t>
  </si>
  <si>
    <t>80</t>
  </si>
  <si>
    <t>1,732</t>
  </si>
  <si>
    <t>2,156</t>
  </si>
  <si>
    <t>2,735</t>
  </si>
  <si>
    <t>2,530</t>
  </si>
  <si>
    <t>25</t>
  </si>
  <si>
    <t>7</t>
  </si>
  <si>
    <t>16</t>
  </si>
  <si>
    <t>6</t>
  </si>
  <si>
    <t>18</t>
  </si>
  <si>
    <t>5</t>
  </si>
  <si>
    <t>2,369</t>
  </si>
  <si>
    <t>2,972</t>
  </si>
  <si>
    <t>3,595</t>
  </si>
  <si>
    <t>3,582</t>
  </si>
  <si>
    <t>97</t>
  </si>
  <si>
    <t>98</t>
  </si>
  <si>
    <t>182</t>
  </si>
  <si>
    <t>201</t>
  </si>
  <si>
    <t>169</t>
  </si>
  <si>
    <t>209</t>
  </si>
  <si>
    <t>152</t>
  </si>
  <si>
    <t>193</t>
  </si>
  <si>
    <t>166</t>
  </si>
  <si>
    <t>84</t>
  </si>
  <si>
    <t>96</t>
  </si>
  <si>
    <t>79</t>
  </si>
  <si>
    <t>544</t>
  </si>
  <si>
    <t>435</t>
  </si>
  <si>
    <t>92</t>
  </si>
  <si>
    <t>71</t>
  </si>
  <si>
    <t>76</t>
  </si>
  <si>
    <t>89</t>
  </si>
  <si>
    <t>&gt;90%</t>
  </si>
  <si>
    <t xml:space="preserve">COMENTARIOS/OBSERVACIONES </t>
  </si>
  <si>
    <t>Estas son estimaciones proporcionadas por la OMS</t>
  </si>
  <si>
    <t>Que el 100% de los casos TB-MDR o TB-RR confirmados por laboratorio reciban tratamiento para TB MDR.</t>
  </si>
  <si>
    <t>se pretende mantener el porcentaje alcanzado recordemos que hay padres de familia que no autoirzan realizar la prueba en los niños.</t>
  </si>
  <si>
    <t>AÑOS</t>
  </si>
  <si>
    <t>Letalidad medida como la disminucion de la mortalidad</t>
  </si>
  <si>
    <t>Mortality rate associated with TB / HIV coinfection</t>
  </si>
  <si>
    <t>Casos de tuberculosis en centros penales</t>
  </si>
  <si>
    <t>Numero de SR  investigados</t>
  </si>
  <si>
    <t>Numero de SR  identificados (estimados)</t>
  </si>
  <si>
    <t>SR INV</t>
  </si>
  <si>
    <t>CASOS TB ESTIMADOS</t>
  </si>
  <si>
    <t>CASOS BACT (+) ESTIMADOS</t>
  </si>
  <si>
    <t>≤ 15%</t>
  </si>
  <si>
    <t>El número de casos de TB estimados, ha sido calculado con base a las tasas de incidencia calculadas a partir del año 2022 al 2026, tomando como  referencia el cuadro 2.1: "El Establecimiento de metas nacionales, para las reducciones de las muertes por TB y la incidencia de la TB, 2016-2025, del documento: "implementación de la estrategia Fin de la TB: Aspectos Esenciales" de la OMS. Tomando como año de referencia el año 2015 ( 2452 casos y una tasa de 39 por 100,000 hab ); y que a partir del año 2020 , la tasa se reduzca reducción de la tasa de incidencia del 5% en relación al año 2020; obteniendo una tasa de 34 por 100,000 hab, que corresponde a 2300 casos. Y realizando el mismo ejercicio según el documento antes mencionado, para los siguientes años, según la estimación de  metas calculadas en el cuadro 2.1; hasta llegar a una reducción del 10% en la tasa de incidencia para el año 2025.</t>
  </si>
  <si>
    <t>no dato</t>
  </si>
  <si>
    <t>personas viviendo con VIH (acumulado año)</t>
  </si>
  <si>
    <t>&gt;85%</t>
  </si>
  <si>
    <t>Las estimaciones de personas con VIH que iniciaran terapia antirretroviral se tienen hasta la finalización de la subvención del fondo mundial en el año 2021, la determinación de esta se realizara a partir de las acciones que se tengan por el manejo de la epidemia de COVID-19, el marco del contexto es el de incrementar al total de casos que se reporten por año a la terapia antirretroviral.</t>
  </si>
  <si>
    <t>La determinación del numero de personas caso nuevos los cuales podran ser dada la quimioporfilaxis con INH  se determina a traves de las intervenicones que se dan a las personas con VIH en su primer acercamiento a los centros de atención integral, los cuales deberan de establecer los criterios propios de excluir a los casos de TB confirmados.</t>
  </si>
  <si>
    <t>La determinación del 85% de personas en terapia antirretroviral se estableec dentro d elos aspectos de la determinación de la moratlidad en el 15% por lo que la expectativa es la de poder cubrir la totalidad de personas con coinfección TB/VIH con los medicamentos terapia antiretroviral y evitar cualquier complicación, por ende esto sera basado en el datos que se refleje de la mortalidad y los abandonos que se encuentren.</t>
  </si>
  <si>
    <t>Fortalecer la instauracion de los ARV dentro de las dos semanas normadas una vez iniciado el tratamiento antifimico, independiente del estado inmunologico de la persona, la ubicación de la presentación de la TB.</t>
  </si>
  <si>
    <t>Mejorar el porcentaje relacionado con el numero de personas con coinfeccion TB/VIH y ARV</t>
  </si>
  <si>
    <t>Estimaciones realizadas a traves de la plataforma Spectrum la cual dtermina metas hasta el año 2025</t>
  </si>
  <si>
    <t>900</t>
  </si>
  <si>
    <t>2,800</t>
  </si>
  <si>
    <t>58</t>
  </si>
  <si>
    <t>0.93</t>
  </si>
  <si>
    <t>87</t>
  </si>
  <si>
    <t>WHO, Global TB Database: burden estimates</t>
  </si>
  <si>
    <t>WHO, Global TB Database: notifications</t>
  </si>
  <si>
    <t>Libro de Registro General de casos con TB de EL Salvador.</t>
  </si>
  <si>
    <t xml:space="preserve">Sistema Estadístico de Producción de Servicios (SEPS). </t>
  </si>
  <si>
    <t>Sistema de Morbi-mortalidad más Estadísticas Vitales (SIMMOW)</t>
  </si>
  <si>
    <t>Sistema de Información en VIH (SUMEVE)</t>
  </si>
  <si>
    <t>WHO, Global TB Database: treatment outcomes</t>
  </si>
  <si>
    <t>Éxito del tratamiento en penales</t>
  </si>
  <si>
    <t>Éxito del tratamiento en penales (en porcentaje)</t>
  </si>
  <si>
    <t>La estimación de SR captados a partir del año 2020, ha sido calculada de acuerdo a la población proyectada por DIGESTYC, estimando que el 1% del total de la población se identificará como SR</t>
  </si>
  <si>
    <t>A partir del año 2020 se estima que el 95% de los SR captados, serán investigados utilizando una prueba bacteriologica</t>
  </si>
  <si>
    <t>La estimación de casos de TB para la población penitenciaria, esta calculada el 45 %  de los casos de TB todas las formas estimados a partir del año 2020; gradualmente se espera reducir un 5% anual hasta llegar al año 2026 con un 15% del total de casos de TB todas las formas estimadas.</t>
  </si>
  <si>
    <t>Para los años 2020 y 2021, se espera obtener una tasa de éxito del tratamiento del 90% y a partir del año 2021 obtener una tasa de éxito del tratamiento del 95%, en la PPL.</t>
  </si>
  <si>
    <t>El número de casos de TB estimados, ha sido calculado con base a las tasas de incidencia para los años 2022 al 2026, tomando como  referencia el cuadro 2.1 del documento: "implementación de la estrategia Fin de la TB: Aspectos Esenciales" de la OMS. En el cual se toma como año de referencia el año 2015 (2,452 casos y una tasa de 39 por 100,000 hab ); y que en el año 2020 la reducción de la tasa de incidencia es del 5% menos en relación al año 2015; obteniendo una tasa de 34 por 100,000 hab, que corresponde a 2,300 casos.
Realizando el mismo ejercicio para los siguientes años 2022 - 2026; la reducción total según proyecciones del PENMTB  en concordancia con la tasa de incidencia establecida en la estrategia Fin a la TB hasta llegar a una reducción del 10% anual en la tasa de incidencia para el año 2025.</t>
  </si>
  <si>
    <t xml:space="preserve">Una alta cobertura de un tratamiento apropiado es un requisito fundamental para lograr los hitos y las metas de la Estrategia Fin de la TB; por lo que se pretende contar con una cobertura de tratamiento mayor al 90% </t>
  </si>
  <si>
    <t>A excepción del año 2020 en el cual se ha calculado que el 70% de los casos diagnosticados sean bacteriológicamente positivos, por la reducción de casos que debido a la pandemia, a partir del año 2021 al 2026, se ha estimado que el 75% de los casos de TB sean bacteriológicamente positivos.</t>
  </si>
  <si>
    <t>Se ha estimado que el 1.5% del total de los casos de TB todas las formas podrán presentar algún patrón de Multidrogoresistencia</t>
  </si>
  <si>
    <t xml:space="preserve">Se espera alcanzar al menos el 90% de éxito de tratamiento en pacientes tratados con TB-MDR/TB-RR </t>
  </si>
  <si>
    <t>La tasa de curación esperada para las personas con VIH se basa en la clasificación (Extrapulmonar ó pulmonar), la mejoria del estado inmunologico y la determinación de la negativización de los estadios pulmonares, por lo que el dato tambien incluyen las personas que iniciaron tratamiento y fallecieron con relación a la coinfección TB/VIH o no.</t>
  </si>
  <si>
    <t>La mortalidad para la coinfección TB/VIH se encuentra en 18.9% para el año 2019, la mortalidad asocida a la coinfección se debe de reducir en el marco de un diagnostico preciso de la TB cualquiera de sus formas, las situaciones asociadas a las tasas altas van desde diagnosticos oportunos con valores de CD4 altos, evitar el deterioro inmunologioc que hace que se presente las formas mas severas de la coinfeccíon TB/VIH, las comorbilidades asociadas al VIH, los abandonos a la terapia antirretroviral son aspectos muy frecuentes a la revisión de los casos asociados a la mortalidad, junto con la reducción de casos se debera de establecer los criterios de seguimiento a cada caso y minimizar los factores asociados a la mortalidad.</t>
  </si>
  <si>
    <t xml:space="preserve">El avance de la implementación de una quimioprofilaxis sostenible tanto en el abastecimiento como el apego y fiel cumplimiento de todos los casos de personas con VIH a los cuales se les brinde ayudara a reducir los casos de coinfección los cuales se deberan de presentar en aquellas personas que tienen mala adherencia a la TAR, presentan abandono a esta o son catalogados como diagnosticos tardios de la infección por VIH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</si>
</sst>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_);_(* \(#,##0\);_(* &quot;-&quot;??_);_(@_)"/>
    <numFmt numFmtId="166" formatCode="0.0%"/>
  </numFmts>
  <fonts count="8">
    <font>
      <sz val="11"/>
      <color theme="1"/>
      <name val="Calibri"/>
      <family val="2"/>
      <scheme val="minor"/>
    </font>
    <font>
      <sz val="11"/>
      <color indexed="10"/>
      <name val="Calibri"/>
      <family val="2"/>
    </font>
    <font>
      <b/>
      <sz val="11"/>
      <color theme="1"/>
      <name val="Calibri"/>
      <family val="2"/>
      <scheme val="minor"/>
    </font>
    <font>
      <sz val="11"/>
      <color theme="1"/>
      <name val="Calibri"/>
      <family val="2"/>
    </font>
    <font>
      <u/>
      <sz val="11"/>
      <color theme="10"/>
      <name val="Calibri"/>
      <family val="2"/>
      <scheme val="minor"/>
    </font>
    <font>
      <b/>
      <sz val="11"/>
      <color theme="1"/>
      <name val="Calibri (Hoofdtekst)"/>
    </font>
    <font>
      <sz val="12"/>
      <color theme="1"/>
      <name val="Arial Nova Cond Light"/>
      <family val="2"/>
    </font>
    <font>
      <b/>
      <sz val="11"/>
      <color theme="1"/>
      <name val="Calibri"/>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rgb="FFFFFFFF"/>
      </patternFill>
    </fill>
    <fill>
      <patternFill patternType="solid">
        <fgColor theme="0"/>
        <bgColor indexed="64"/>
      </patternFill>
    </fill>
    <fill>
      <patternFill patternType="solid">
        <fgColor theme="9" tint="0.59999389629810485"/>
        <bgColor indexed="64"/>
      </patternFill>
    </fill>
    <fill>
      <patternFill patternType="solid">
        <fgColor rgb="FFFFC000"/>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3" fillId="0" borderId="1" xfId="0" applyFont="1" applyBorder="1" applyAlignment="1">
      <alignment vertical="center" wrapText="1"/>
    </xf>
    <xf numFmtId="0" fontId="3" fillId="0" borderId="1" xfId="0" applyFont="1" applyBorder="1" applyAlignment="1">
      <alignment horizontal="center" vertical="center"/>
    </xf>
    <xf numFmtId="0" fontId="4" fillId="0" borderId="1" xfId="0" applyFont="1" applyBorder="1"/>
    <xf numFmtId="0" fontId="2" fillId="2" borderId="1" xfId="0" applyFont="1" applyFill="1" applyBorder="1" applyAlignment="1">
      <alignment horizontal="center" wrapText="1"/>
    </xf>
    <xf numFmtId="0" fontId="3" fillId="0" borderId="2" xfId="0" applyFont="1" applyBorder="1" applyAlignment="1">
      <alignment horizontal="left" wrapText="1"/>
    </xf>
    <xf numFmtId="0" fontId="2" fillId="2" borderId="3" xfId="0" applyFont="1" applyFill="1" applyBorder="1" applyAlignment="1">
      <alignment horizontal="center" vertical="top"/>
    </xf>
    <xf numFmtId="0" fontId="2" fillId="2" borderId="3" xfId="0" applyFont="1" applyFill="1" applyBorder="1" applyAlignment="1">
      <alignment horizontal="center" vertical="center"/>
    </xf>
    <xf numFmtId="0" fontId="5" fillId="3" borderId="0" xfId="0" applyFont="1" applyFill="1"/>
    <xf numFmtId="0" fontId="2" fillId="3" borderId="0" xfId="0" applyFont="1" applyFill="1"/>
    <xf numFmtId="0" fontId="2" fillId="3" borderId="0" xfId="0" applyFont="1" applyFill="1" applyAlignment="1">
      <alignment horizontal="center"/>
    </xf>
    <xf numFmtId="0" fontId="3" fillId="3" borderId="0" xfId="0" applyFont="1" applyFill="1" applyAlignment="1">
      <alignment horizontal="left"/>
    </xf>
    <xf numFmtId="14" fontId="3" fillId="3" borderId="0" xfId="0" applyNumberFormat="1" applyFont="1" applyFill="1" applyAlignment="1">
      <alignment horizontal="center"/>
    </xf>
    <xf numFmtId="0" fontId="3" fillId="3" borderId="0" xfId="0" applyFont="1" applyFill="1"/>
    <xf numFmtId="0" fontId="3" fillId="0" borderId="0" xfId="0" applyFont="1" applyFill="1" applyBorder="1" applyAlignment="1">
      <alignment horizontal="left" wrapText="1"/>
    </xf>
    <xf numFmtId="0" fontId="3" fillId="5" borderId="1" xfId="0" applyFont="1" applyFill="1" applyBorder="1" applyAlignment="1">
      <alignment horizontal="center" vertical="center"/>
    </xf>
    <xf numFmtId="0" fontId="2" fillId="6" borderId="3" xfId="0" applyFont="1" applyFill="1" applyBorder="1" applyAlignment="1">
      <alignment horizont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0" fillId="4" borderId="0" xfId="0" applyFill="1"/>
    <xf numFmtId="0" fontId="0" fillId="0" borderId="0" xfId="0" applyAlignment="1">
      <alignment horizontal="center"/>
    </xf>
    <xf numFmtId="0" fontId="3" fillId="0" borderId="2" xfId="0" applyFont="1" applyBorder="1" applyAlignment="1">
      <alignment horizontal="left" vertical="center" wrapText="1"/>
    </xf>
    <xf numFmtId="9" fontId="3" fillId="4" borderId="1" xfId="0" applyNumberFormat="1" applyFont="1" applyFill="1" applyBorder="1" applyAlignment="1">
      <alignment horizontal="center" vertical="center"/>
    </xf>
    <xf numFmtId="165" fontId="3" fillId="0" borderId="4" xfId="0" applyNumberFormat="1" applyFont="1" applyBorder="1" applyAlignment="1">
      <alignment horizontal="left" vertical="center" wrapText="1"/>
    </xf>
    <xf numFmtId="1" fontId="3" fillId="4" borderId="1" xfId="0" applyNumberFormat="1" applyFont="1" applyFill="1" applyBorder="1" applyAlignment="1">
      <alignment horizontal="center" vertical="center"/>
    </xf>
    <xf numFmtId="0" fontId="4" fillId="0" borderId="1" xfId="0" applyFont="1" applyBorder="1" applyAlignment="1">
      <alignment wrapText="1"/>
    </xf>
    <xf numFmtId="1" fontId="3" fillId="4"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0" fontId="3" fillId="3" borderId="0" xfId="0" applyFont="1" applyFill="1" applyAlignment="1">
      <alignment horizontal="left" wrapText="1"/>
    </xf>
    <xf numFmtId="165" fontId="3" fillId="0" borderId="3" xfId="0" applyNumberFormat="1" applyFont="1" applyBorder="1" applyAlignment="1">
      <alignment horizontal="left" vertical="center"/>
    </xf>
    <xf numFmtId="165" fontId="3" fillId="0" borderId="5" xfId="0" applyNumberFormat="1" applyFont="1" applyBorder="1" applyAlignment="1">
      <alignment horizontal="left" vertical="center"/>
    </xf>
    <xf numFmtId="165" fontId="3" fillId="0" borderId="4" xfId="0" applyNumberFormat="1" applyFont="1" applyBorder="1" applyAlignment="1">
      <alignment horizontal="left" vertical="center"/>
    </xf>
    <xf numFmtId="0" fontId="0" fillId="4" borderId="0" xfId="0" applyFont="1" applyFill="1"/>
    <xf numFmtId="0" fontId="0" fillId="0" borderId="0" xfId="0" applyFont="1"/>
    <xf numFmtId="0" fontId="7" fillId="4" borderId="1" xfId="0" applyFont="1" applyFill="1" applyBorder="1" applyAlignment="1">
      <alignment horizontal="center" vertical="center"/>
    </xf>
    <xf numFmtId="164" fontId="3" fillId="0" borderId="1" xfId="0" applyNumberFormat="1" applyFont="1" applyBorder="1" applyAlignment="1">
      <alignment horizontal="center" vertical="center"/>
    </xf>
    <xf numFmtId="164" fontId="3" fillId="4"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10" fontId="3" fillId="4" borderId="1" xfId="0" applyNumberFormat="1" applyFont="1" applyFill="1" applyBorder="1" applyAlignment="1">
      <alignment horizontal="center" vertical="center"/>
    </xf>
    <xf numFmtId="166" fontId="3" fillId="4" borderId="1" xfId="0" applyNumberFormat="1"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Fill="1" applyBorder="1" applyAlignment="1">
      <alignment wrapText="1"/>
    </xf>
    <xf numFmtId="0" fontId="6" fillId="0" borderId="1"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SV"/>
              <a:t>ESTIMACION</a:t>
            </a:r>
            <a:r>
              <a:rPr lang="es-SV" baseline="0"/>
              <a:t> PROPUESTA  CASOS TB TODAS LAS FORMAS</a:t>
            </a:r>
            <a:endParaRPr lang="es-SV"/>
          </a:p>
        </c:rich>
      </c:tx>
      <c:overlay val="0"/>
    </c:title>
    <c:autoTitleDeleted val="0"/>
    <c:plotArea>
      <c:layout/>
      <c:lineChart>
        <c:grouping val="standard"/>
        <c:varyColors val="0"/>
        <c:ser>
          <c:idx val="0"/>
          <c:order val="0"/>
          <c:tx>
            <c:strRef>
              <c:f>'GRAFICO '!$D$6</c:f>
              <c:strCache>
                <c:ptCount val="1"/>
                <c:pt idx="0">
                  <c:v>AÑOS</c:v>
                </c:pt>
              </c:strCache>
            </c:strRef>
          </c:tx>
          <c:spPr>
            <a:ln>
              <a:solidFill>
                <a:schemeClr val="bg1"/>
              </a:solidFill>
            </a:ln>
          </c:spPr>
          <c:marker>
            <c:symbol val="none"/>
          </c:marker>
          <c:val>
            <c:numRef>
              <c:f>'GRAFICO '!$D$7:$D$14</c:f>
              <c:numCache>
                <c:formatCode>General</c:formatCode>
                <c:ptCount val="8"/>
                <c:pt idx="0">
                  <c:v>2019</c:v>
                </c:pt>
                <c:pt idx="1">
                  <c:v>2020</c:v>
                </c:pt>
                <c:pt idx="2">
                  <c:v>2021</c:v>
                </c:pt>
                <c:pt idx="3">
                  <c:v>2022</c:v>
                </c:pt>
                <c:pt idx="4">
                  <c:v>2023</c:v>
                </c:pt>
                <c:pt idx="5">
                  <c:v>2024</c:v>
                </c:pt>
                <c:pt idx="6">
                  <c:v>2025</c:v>
                </c:pt>
                <c:pt idx="7">
                  <c:v>2026</c:v>
                </c:pt>
              </c:numCache>
            </c:numRef>
          </c:val>
          <c:smooth val="0"/>
          <c:extLst>
            <c:ext xmlns:c16="http://schemas.microsoft.com/office/drawing/2014/chart" uri="{C3380CC4-5D6E-409C-BE32-E72D297353CC}">
              <c16:uniqueId val="{00000000-5555-4DC5-BED4-18D0C90A3F89}"/>
            </c:ext>
          </c:extLst>
        </c:ser>
        <c:ser>
          <c:idx val="1"/>
          <c:order val="1"/>
          <c:tx>
            <c:strRef>
              <c:f>'GRAFICO '!$F$6</c:f>
              <c:strCache>
                <c:ptCount val="1"/>
                <c:pt idx="0">
                  <c:v>CASOS TB ESTIMADOS</c:v>
                </c:pt>
              </c:strCache>
            </c:strRef>
          </c:tx>
          <c:spPr>
            <a:ln>
              <a:solidFill>
                <a:srgbClr val="C00000"/>
              </a:solidFill>
            </a:ln>
          </c:spPr>
          <c:marker>
            <c:symbol val="none"/>
          </c:marker>
          <c:val>
            <c:numRef>
              <c:f>'GRAFICO '!$F$7:$F$14</c:f>
              <c:numCache>
                <c:formatCode>General</c:formatCode>
                <c:ptCount val="8"/>
                <c:pt idx="0">
                  <c:v>3009</c:v>
                </c:pt>
                <c:pt idx="1">
                  <c:v>2300</c:v>
                </c:pt>
                <c:pt idx="2">
                  <c:v>2210</c:v>
                </c:pt>
                <c:pt idx="3">
                  <c:v>2080</c:v>
                </c:pt>
                <c:pt idx="4">
                  <c:v>1940</c:v>
                </c:pt>
                <c:pt idx="5">
                  <c:v>1785</c:v>
                </c:pt>
                <c:pt idx="6">
                  <c:v>1615</c:v>
                </c:pt>
                <c:pt idx="7">
                  <c:v>1450</c:v>
                </c:pt>
              </c:numCache>
            </c:numRef>
          </c:val>
          <c:smooth val="0"/>
          <c:extLst>
            <c:ext xmlns:c16="http://schemas.microsoft.com/office/drawing/2014/chart" uri="{C3380CC4-5D6E-409C-BE32-E72D297353CC}">
              <c16:uniqueId val="{00000001-5555-4DC5-BED4-18D0C90A3F89}"/>
            </c:ext>
          </c:extLst>
        </c:ser>
        <c:ser>
          <c:idx val="2"/>
          <c:order val="2"/>
          <c:tx>
            <c:strRef>
              <c:f>'GRAFICO '!$G$6</c:f>
              <c:strCache>
                <c:ptCount val="1"/>
                <c:pt idx="0">
                  <c:v>CASOS BACT (+) ESTIMADOS</c:v>
                </c:pt>
              </c:strCache>
            </c:strRef>
          </c:tx>
          <c:spPr>
            <a:ln>
              <a:solidFill>
                <a:srgbClr val="00B0F0"/>
              </a:solidFill>
            </a:ln>
          </c:spPr>
          <c:marker>
            <c:symbol val="diamond"/>
            <c:size val="7"/>
          </c:marker>
          <c:val>
            <c:numRef>
              <c:f>'GRAFICO '!$G$7:$G$14</c:f>
              <c:numCache>
                <c:formatCode>General</c:formatCode>
                <c:ptCount val="8"/>
                <c:pt idx="0">
                  <c:v>1974</c:v>
                </c:pt>
                <c:pt idx="1">
                  <c:v>1610</c:v>
                </c:pt>
                <c:pt idx="2">
                  <c:v>1658</c:v>
                </c:pt>
                <c:pt idx="3">
                  <c:v>1560</c:v>
                </c:pt>
                <c:pt idx="4">
                  <c:v>1455</c:v>
                </c:pt>
                <c:pt idx="5">
                  <c:v>1339</c:v>
                </c:pt>
                <c:pt idx="6">
                  <c:v>1211</c:v>
                </c:pt>
                <c:pt idx="7">
                  <c:v>1088</c:v>
                </c:pt>
              </c:numCache>
            </c:numRef>
          </c:val>
          <c:smooth val="0"/>
          <c:extLst>
            <c:ext xmlns:c16="http://schemas.microsoft.com/office/drawing/2014/chart" uri="{C3380CC4-5D6E-409C-BE32-E72D297353CC}">
              <c16:uniqueId val="{00000002-5555-4DC5-BED4-18D0C90A3F89}"/>
            </c:ext>
          </c:extLst>
        </c:ser>
        <c:dLbls>
          <c:showLegendKey val="0"/>
          <c:showVal val="0"/>
          <c:showCatName val="0"/>
          <c:showSerName val="0"/>
          <c:showPercent val="0"/>
          <c:showBubbleSize val="0"/>
        </c:dLbls>
        <c:smooth val="0"/>
        <c:axId val="69504272"/>
        <c:axId val="1"/>
      </c:lineChart>
      <c:catAx>
        <c:axId val="6950427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title>
          <c:tx>
            <c:rich>
              <a:bodyPr/>
              <a:lstStyle/>
              <a:p>
                <a:pPr>
                  <a:defRPr/>
                </a:pPr>
                <a:r>
                  <a:rPr lang="en-US"/>
                  <a:t>CASOS DE TB TODAS LAS FDORMAS</a:t>
                </a:r>
              </a:p>
            </c:rich>
          </c:tx>
          <c:overlay val="0"/>
        </c:title>
        <c:numFmt formatCode="General" sourceLinked="1"/>
        <c:majorTickMark val="none"/>
        <c:minorTickMark val="none"/>
        <c:tickLblPos val="nextTo"/>
        <c:crossAx val="6950427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'GRAFICO '!$E$6</c:f>
              <c:strCache>
                <c:ptCount val="1"/>
                <c:pt idx="0">
                  <c:v>SR INV</c:v>
                </c:pt>
              </c:strCache>
            </c:strRef>
          </c:tx>
          <c:val>
            <c:numRef>
              <c:f>'GRAFICO '!$E$7:$E$14</c:f>
              <c:numCache>
                <c:formatCode>General</c:formatCode>
                <c:ptCount val="8"/>
                <c:pt idx="0">
                  <c:v>83601</c:v>
                </c:pt>
                <c:pt idx="1">
                  <c:v>64275</c:v>
                </c:pt>
                <c:pt idx="2">
                  <c:v>64846</c:v>
                </c:pt>
                <c:pt idx="3">
                  <c:v>65406</c:v>
                </c:pt>
                <c:pt idx="4">
                  <c:v>65957</c:v>
                </c:pt>
                <c:pt idx="5">
                  <c:v>66507</c:v>
                </c:pt>
                <c:pt idx="6">
                  <c:v>67050</c:v>
                </c:pt>
                <c:pt idx="7">
                  <c:v>67589</c:v>
                </c:pt>
              </c:numCache>
            </c:numRef>
          </c:val>
          <c:smooth val="0"/>
          <c:extLst>
            <c:ext xmlns:c16="http://schemas.microsoft.com/office/drawing/2014/chart" uri="{C3380CC4-5D6E-409C-BE32-E72D297353CC}">
              <c16:uniqueId val="{00000000-9001-4736-B644-6E4A3A8D75A8}"/>
            </c:ext>
          </c:extLst>
        </c:ser>
        <c:ser>
          <c:idx val="1"/>
          <c:order val="1"/>
          <c:tx>
            <c:strRef>
              <c:f>'GRAFICO '!$F$6</c:f>
              <c:strCache>
                <c:ptCount val="1"/>
                <c:pt idx="0">
                  <c:v>CASOS TB ESTIMADOS</c:v>
                </c:pt>
              </c:strCache>
            </c:strRef>
          </c:tx>
          <c:val>
            <c:numRef>
              <c:f>'GRAFICO '!$F$7:$F$14</c:f>
              <c:numCache>
                <c:formatCode>General</c:formatCode>
                <c:ptCount val="8"/>
                <c:pt idx="0">
                  <c:v>3009</c:v>
                </c:pt>
                <c:pt idx="1">
                  <c:v>2300</c:v>
                </c:pt>
                <c:pt idx="2">
                  <c:v>2210</c:v>
                </c:pt>
                <c:pt idx="3">
                  <c:v>2080</c:v>
                </c:pt>
                <c:pt idx="4">
                  <c:v>1940</c:v>
                </c:pt>
                <c:pt idx="5">
                  <c:v>1785</c:v>
                </c:pt>
                <c:pt idx="6">
                  <c:v>1615</c:v>
                </c:pt>
                <c:pt idx="7">
                  <c:v>1450</c:v>
                </c:pt>
              </c:numCache>
            </c:numRef>
          </c:val>
          <c:smooth val="0"/>
          <c:extLst>
            <c:ext xmlns:c16="http://schemas.microsoft.com/office/drawing/2014/chart" uri="{C3380CC4-5D6E-409C-BE32-E72D297353CC}">
              <c16:uniqueId val="{00000001-9001-4736-B644-6E4A3A8D75A8}"/>
            </c:ext>
          </c:extLst>
        </c:ser>
        <c:ser>
          <c:idx val="2"/>
          <c:order val="2"/>
          <c:tx>
            <c:strRef>
              <c:f>'GRAFICO '!$G$6</c:f>
              <c:strCache>
                <c:ptCount val="1"/>
                <c:pt idx="0">
                  <c:v>CASOS BACT (+) ESTIMADOS</c:v>
                </c:pt>
              </c:strCache>
            </c:strRef>
          </c:tx>
          <c:val>
            <c:numRef>
              <c:f>'GRAFICO '!$G$7:$G$14</c:f>
              <c:numCache>
                <c:formatCode>General</c:formatCode>
                <c:ptCount val="8"/>
                <c:pt idx="0">
                  <c:v>1974</c:v>
                </c:pt>
                <c:pt idx="1">
                  <c:v>1610</c:v>
                </c:pt>
                <c:pt idx="2">
                  <c:v>1658</c:v>
                </c:pt>
                <c:pt idx="3">
                  <c:v>1560</c:v>
                </c:pt>
                <c:pt idx="4">
                  <c:v>1455</c:v>
                </c:pt>
                <c:pt idx="5">
                  <c:v>1339</c:v>
                </c:pt>
                <c:pt idx="6">
                  <c:v>1211</c:v>
                </c:pt>
                <c:pt idx="7">
                  <c:v>1088</c:v>
                </c:pt>
              </c:numCache>
            </c:numRef>
          </c:val>
          <c:smooth val="0"/>
          <c:extLst>
            <c:ext xmlns:c16="http://schemas.microsoft.com/office/drawing/2014/chart" uri="{C3380CC4-5D6E-409C-BE32-E72D297353CC}">
              <c16:uniqueId val="{00000002-9001-4736-B644-6E4A3A8D75A8}"/>
            </c:ext>
          </c:extLst>
        </c:ser>
        <c:dLbls>
          <c:showLegendKey val="0"/>
          <c:showVal val="0"/>
          <c:showCatName val="0"/>
          <c:showSerName val="0"/>
          <c:showPercent val="0"/>
          <c:showBubbleSize val="0"/>
        </c:dLbls>
        <c:marker val="1"/>
        <c:smooth val="0"/>
        <c:axId val="69506240"/>
        <c:axId val="1"/>
      </c:lineChart>
      <c:catAx>
        <c:axId val="69506240"/>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title>
          <c:overlay val="0"/>
        </c:title>
        <c:numFmt formatCode="General" sourceLinked="1"/>
        <c:majorTickMark val="none"/>
        <c:minorTickMark val="none"/>
        <c:tickLblPos val="nextTo"/>
        <c:crossAx val="6950624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190500</xdr:colOff>
      <xdr:row>2</xdr:row>
      <xdr:rowOff>165100</xdr:rowOff>
    </xdr:from>
    <xdr:to>
      <xdr:col>18</xdr:col>
      <xdr:colOff>495300</xdr:colOff>
      <xdr:row>24</xdr:row>
      <xdr:rowOff>184150</xdr:rowOff>
    </xdr:to>
    <xdr:graphicFrame macro="">
      <xdr:nvGraphicFramePr>
        <xdr:cNvPr id="2170" name="1 Gráfico">
          <a:extLst>
            <a:ext uri="{FF2B5EF4-FFF2-40B4-BE49-F238E27FC236}">
              <a16:creationId xmlns:a16="http://schemas.microsoft.com/office/drawing/2014/main" id="{E9E37E40-19A0-4619-BDC5-E6E67CAA3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666750</xdr:colOff>
      <xdr:row>25</xdr:row>
      <xdr:rowOff>19050</xdr:rowOff>
    </xdr:from>
    <xdr:to>
      <xdr:col>17</xdr:col>
      <xdr:colOff>723900</xdr:colOff>
      <xdr:row>60</xdr:row>
      <xdr:rowOff>177800</xdr:rowOff>
    </xdr:to>
    <xdr:graphicFrame macro="">
      <xdr:nvGraphicFramePr>
        <xdr:cNvPr id="2171" name="1 Gráfico">
          <a:extLst>
            <a:ext uri="{FF2B5EF4-FFF2-40B4-BE49-F238E27FC236}">
              <a16:creationId xmlns:a16="http://schemas.microsoft.com/office/drawing/2014/main" id="{EAB61887-CD8E-4B49-8E33-FA1A702BBD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0.28596</cdr:x>
      <cdr:y>0.39485</cdr:y>
    </cdr:from>
    <cdr:to>
      <cdr:x>0.31764</cdr:x>
      <cdr:y>0.51659</cdr:y>
    </cdr:to>
    <cdr:sp macro="" textlink="">
      <cdr:nvSpPr>
        <cdr:cNvPr id="2" name="1 Flecha arriba"/>
        <cdr:cNvSpPr/>
      </cdr:nvSpPr>
      <cdr:spPr>
        <a:xfrm xmlns:a="http://schemas.openxmlformats.org/drawingml/2006/main">
          <a:off x="2038350" y="1428750"/>
          <a:ext cx="238125" cy="447675"/>
        </a:xfrm>
        <a:prstGeom xmlns:a="http://schemas.openxmlformats.org/drawingml/2006/main" prst="up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SV"/>
        </a:p>
      </cdr:txBody>
    </cdr:sp>
  </cdr:relSizeAnchor>
  <cdr:relSizeAnchor xmlns:cdr="http://schemas.openxmlformats.org/drawingml/2006/chartDrawing">
    <cdr:from>
      <cdr:x>0.27193</cdr:x>
      <cdr:y>0.5371</cdr:y>
    </cdr:from>
    <cdr:to>
      <cdr:x>0.40225</cdr:x>
      <cdr:y>0.67349</cdr:y>
    </cdr:to>
    <cdr:sp macro="" textlink="">
      <cdr:nvSpPr>
        <cdr:cNvPr id="3" name="2 CuadroTexto"/>
        <cdr:cNvSpPr txBox="1"/>
      </cdr:nvSpPr>
      <cdr:spPr>
        <a:xfrm xmlns:a="http://schemas.openxmlformats.org/drawingml/2006/main">
          <a:off x="1933575" y="1952624"/>
          <a:ext cx="971550" cy="504825"/>
        </a:xfrm>
        <a:prstGeom xmlns:a="http://schemas.openxmlformats.org/drawingml/2006/main" prst="rect">
          <a:avLst/>
        </a:prstGeom>
        <a:solidFill xmlns:a="http://schemas.openxmlformats.org/drawingml/2006/main">
          <a:schemeClr val="bg2">
            <a:lumMod val="9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s-SV" sz="800"/>
            <a:t>CASOS NOTIFICADOS POR EL PNT EN EL 2019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extranet.who.int/tme/generateCSV.asp?ds=estimates" TargetMode="External"/><Relationship Id="rId13" Type="http://schemas.openxmlformats.org/officeDocument/2006/relationships/hyperlink" Target="https://extranet.who.int/tme/generateCSV.asp?ds=notifications" TargetMode="External"/><Relationship Id="rId18" Type="http://schemas.openxmlformats.org/officeDocument/2006/relationships/hyperlink" Target="https://extranet.who.int/tme/generateCSV.asp?ds=notifications" TargetMode="External"/><Relationship Id="rId26" Type="http://schemas.openxmlformats.org/officeDocument/2006/relationships/hyperlink" Target="https://extranet.who.int/tme/generateCSV.asp?ds=outcomes" TargetMode="External"/><Relationship Id="rId3" Type="http://schemas.openxmlformats.org/officeDocument/2006/relationships/hyperlink" Target="https://extranet.who.int/tme/generateCSV.asp?ds=notifications" TargetMode="External"/><Relationship Id="rId21" Type="http://schemas.openxmlformats.org/officeDocument/2006/relationships/hyperlink" Target="https://extranet.who.int/tme/generateCSV.asp?ds=notifications" TargetMode="External"/><Relationship Id="rId7" Type="http://schemas.openxmlformats.org/officeDocument/2006/relationships/hyperlink" Target="https://extranet.who.int/tme/generateCSV.asp?ds=estimates" TargetMode="External"/><Relationship Id="rId12" Type="http://schemas.openxmlformats.org/officeDocument/2006/relationships/hyperlink" Target="https://extranet.who.int/tme/generateCSV.asp?ds=notifications" TargetMode="External"/><Relationship Id="rId17" Type="http://schemas.openxmlformats.org/officeDocument/2006/relationships/hyperlink" Target="https://extranet.who.int/tme/generateCSV.asp?ds=notifications" TargetMode="External"/><Relationship Id="rId25" Type="http://schemas.openxmlformats.org/officeDocument/2006/relationships/hyperlink" Target="https://extranet.who.int/tme/generateCSV.asp?ds=notifications" TargetMode="External"/><Relationship Id="rId2" Type="http://schemas.openxmlformats.org/officeDocument/2006/relationships/hyperlink" Target="https://extranet.who.int/tme/generateCSV.asp?ds=estimates" TargetMode="External"/><Relationship Id="rId16" Type="http://schemas.openxmlformats.org/officeDocument/2006/relationships/hyperlink" Target="https://extranet.who.int/tme/generateCSV.asp?ds=notifications" TargetMode="External"/><Relationship Id="rId20" Type="http://schemas.openxmlformats.org/officeDocument/2006/relationships/hyperlink" Target="https://extranet.who.int/tme/generateCSV.asp?ds=notifications" TargetMode="External"/><Relationship Id="rId29" Type="http://schemas.openxmlformats.org/officeDocument/2006/relationships/printerSettings" Target="../printerSettings/printerSettings1.bin"/><Relationship Id="rId1" Type="http://schemas.openxmlformats.org/officeDocument/2006/relationships/hyperlink" Target="https://extranet.who.int/tme/generateCSV.asp?ds=notifications" TargetMode="External"/><Relationship Id="rId6" Type="http://schemas.openxmlformats.org/officeDocument/2006/relationships/hyperlink" Target="https://extranet.who.int/tme/generateCSV.asp?ds=estimates" TargetMode="External"/><Relationship Id="rId11" Type="http://schemas.openxmlformats.org/officeDocument/2006/relationships/hyperlink" Target="https://extranet.who.int/tme/generateCSV.asp?ds=estimates" TargetMode="External"/><Relationship Id="rId24" Type="http://schemas.openxmlformats.org/officeDocument/2006/relationships/hyperlink" Target="https://extranet.who.int/tme/generateCSV.asp?ds=notifications" TargetMode="External"/><Relationship Id="rId5" Type="http://schemas.openxmlformats.org/officeDocument/2006/relationships/hyperlink" Target="https://extranet.who.int/tme/generateCSV.asp?ds=estimates" TargetMode="External"/><Relationship Id="rId15" Type="http://schemas.openxmlformats.org/officeDocument/2006/relationships/hyperlink" Target="https://extranet.who.int/tme/generateCSV.asp?ds=notifications" TargetMode="External"/><Relationship Id="rId23" Type="http://schemas.openxmlformats.org/officeDocument/2006/relationships/hyperlink" Target="https://extranet.who.int/tme/generateCSV.asp?ds=notifications" TargetMode="External"/><Relationship Id="rId28" Type="http://schemas.openxmlformats.org/officeDocument/2006/relationships/hyperlink" Target="https://extranet.who.int/tme/generateCSV.asp?ds=outcomes" TargetMode="External"/><Relationship Id="rId10" Type="http://schemas.openxmlformats.org/officeDocument/2006/relationships/hyperlink" Target="https://extranet.who.int/tme/generateCSV.asp?ds=notifications" TargetMode="External"/><Relationship Id="rId19" Type="http://schemas.openxmlformats.org/officeDocument/2006/relationships/hyperlink" Target="https://extranet.who.int/tme/generateCSV.asp?ds=notifications" TargetMode="External"/><Relationship Id="rId4" Type="http://schemas.openxmlformats.org/officeDocument/2006/relationships/hyperlink" Target="https://extranet.who.int/tme/generateCSV.asp?ds=estimates" TargetMode="External"/><Relationship Id="rId9" Type="http://schemas.openxmlformats.org/officeDocument/2006/relationships/hyperlink" Target="https://extranet.who.int/tme/generateCSV.asp?ds=estimates" TargetMode="External"/><Relationship Id="rId14" Type="http://schemas.openxmlformats.org/officeDocument/2006/relationships/hyperlink" Target="https://extranet.who.int/tme/generateCSV.asp?ds=notifications" TargetMode="External"/><Relationship Id="rId22" Type="http://schemas.openxmlformats.org/officeDocument/2006/relationships/hyperlink" Target="https://extranet.who.int/tme/generateCSV.asp?ds=notifications" TargetMode="External"/><Relationship Id="rId27" Type="http://schemas.openxmlformats.org/officeDocument/2006/relationships/hyperlink" Target="https://extranet.who.int/tme/generateCSV.asp?ds=outcome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0"/>
  <sheetViews>
    <sheetView workbookViewId="0">
      <selection activeCell="E8" sqref="E8"/>
    </sheetView>
  </sheetViews>
  <sheetFormatPr baseColWidth="10" defaultColWidth="9.1796875" defaultRowHeight="14.5"/>
  <cols>
    <col min="1" max="1" width="28.453125" customWidth="1"/>
    <col min="2" max="2" width="18.26953125" customWidth="1"/>
  </cols>
  <sheetData>
    <row r="1" spans="1:30">
      <c r="A1" s="13"/>
      <c r="B1" s="13"/>
      <c r="C1" s="13"/>
      <c r="D1" s="11"/>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c r="A2" s="10" t="s">
        <v>1</v>
      </c>
      <c r="B2" s="12">
        <v>43811</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ht="11.25" customHeight="1">
      <c r="A3" s="9"/>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ht="264" customHeight="1">
      <c r="A4" s="28" t="s">
        <v>0</v>
      </c>
      <c r="B4" s="28"/>
      <c r="C4" s="28"/>
      <c r="D4" s="28"/>
      <c r="E4" s="28"/>
      <c r="F4" s="28"/>
      <c r="G4" s="28"/>
      <c r="H4" s="28"/>
      <c r="I4" s="28"/>
      <c r="J4" s="28"/>
      <c r="K4" s="28"/>
      <c r="L4" s="13"/>
      <c r="M4" s="13"/>
      <c r="N4" s="13"/>
      <c r="O4" s="13"/>
      <c r="P4" s="13"/>
      <c r="Q4" s="13"/>
      <c r="R4" s="13"/>
      <c r="S4" s="13"/>
      <c r="T4" s="13"/>
      <c r="U4" s="13"/>
      <c r="V4" s="13"/>
      <c r="W4" s="13"/>
      <c r="X4" s="13"/>
      <c r="Y4" s="13"/>
      <c r="Z4" s="13"/>
      <c r="AA4" s="13"/>
      <c r="AB4" s="13"/>
      <c r="AC4" s="13"/>
      <c r="AD4" s="13"/>
    </row>
    <row r="5" spans="1:30">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c r="A6" s="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row>
    <row r="8" spans="1:30">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row>
    <row r="9" spans="1:30">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row>
    <row r="10" spans="1:30">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1:30">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1:30">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row>
    <row r="13" spans="1:30">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spans="1:30">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0">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row>
    <row r="16" spans="1:30">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row>
    <row r="20" spans="1:30">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30">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30">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sheetData>
  <mergeCells count="1">
    <mergeCell ref="A4:K4"/>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6"/>
  <sheetViews>
    <sheetView tabSelected="1" zoomScale="70" zoomScaleNormal="70" workbookViewId="0">
      <pane ySplit="1" topLeftCell="A2" activePane="bottomLeft" state="frozen"/>
      <selection activeCell="N1" sqref="N1"/>
      <selection pane="bottomLeft"/>
    </sheetView>
  </sheetViews>
  <sheetFormatPr baseColWidth="10" defaultColWidth="9.1796875" defaultRowHeight="14.5"/>
  <cols>
    <col min="1" max="1" width="103.453125" customWidth="1"/>
    <col min="2" max="2" width="13.81640625" customWidth="1"/>
    <col min="3" max="3" width="13.1796875" customWidth="1"/>
    <col min="4" max="4" width="12.54296875" customWidth="1"/>
    <col min="5" max="5" width="13.1796875" customWidth="1"/>
    <col min="6" max="6" width="13.1796875" style="33" customWidth="1"/>
    <col min="7" max="13" width="13.1796875" customWidth="1"/>
    <col min="14" max="14" width="49.90625" customWidth="1"/>
    <col min="15" max="15" width="101.26953125" customWidth="1"/>
  </cols>
  <sheetData>
    <row r="1" spans="1:15">
      <c r="A1" s="4" t="s">
        <v>29</v>
      </c>
      <c r="B1" s="7" t="s">
        <v>30</v>
      </c>
      <c r="C1" s="7" t="s">
        <v>31</v>
      </c>
      <c r="D1" s="7" t="s">
        <v>32</v>
      </c>
      <c r="E1" s="7" t="s">
        <v>33</v>
      </c>
      <c r="F1" s="7">
        <v>2019</v>
      </c>
      <c r="G1" s="7">
        <v>2020</v>
      </c>
      <c r="H1" s="7">
        <v>2021</v>
      </c>
      <c r="I1" s="7">
        <v>2022</v>
      </c>
      <c r="J1" s="7">
        <v>2023</v>
      </c>
      <c r="K1" s="7">
        <v>2024</v>
      </c>
      <c r="L1" s="7">
        <v>2025</v>
      </c>
      <c r="M1" s="7">
        <v>2026</v>
      </c>
      <c r="N1" s="6" t="s">
        <v>2</v>
      </c>
      <c r="O1" s="16" t="s">
        <v>91</v>
      </c>
    </row>
    <row r="2" spans="1:15">
      <c r="A2" s="5" t="s">
        <v>28</v>
      </c>
      <c r="B2" s="2" t="s">
        <v>38</v>
      </c>
      <c r="C2" s="2" t="s">
        <v>39</v>
      </c>
      <c r="D2" s="2" t="s">
        <v>40</v>
      </c>
      <c r="E2" s="2" t="s">
        <v>41</v>
      </c>
      <c r="F2" s="2" t="s">
        <v>39</v>
      </c>
      <c r="G2" s="15"/>
      <c r="H2" s="15"/>
      <c r="I2" s="15"/>
      <c r="J2" s="15"/>
      <c r="K2" s="15"/>
      <c r="L2" s="15"/>
      <c r="M2" s="15"/>
      <c r="N2" s="3" t="s">
        <v>120</v>
      </c>
      <c r="O2" s="29" t="s">
        <v>92</v>
      </c>
    </row>
    <row r="3" spans="1:15">
      <c r="A3" s="5" t="s">
        <v>27</v>
      </c>
      <c r="B3" s="2"/>
      <c r="C3" s="2"/>
      <c r="D3" s="2"/>
      <c r="E3" s="2" t="s">
        <v>42</v>
      </c>
      <c r="F3" s="2" t="s">
        <v>115</v>
      </c>
      <c r="G3" s="15"/>
      <c r="H3" s="15"/>
      <c r="I3" s="15"/>
      <c r="J3" s="15"/>
      <c r="K3" s="15"/>
      <c r="L3" s="15"/>
      <c r="M3" s="15"/>
      <c r="N3" s="3" t="s">
        <v>120</v>
      </c>
      <c r="O3" s="30"/>
    </row>
    <row r="4" spans="1:15">
      <c r="A4" s="5" t="s">
        <v>26</v>
      </c>
      <c r="B4" s="2"/>
      <c r="C4" s="2"/>
      <c r="D4" s="2"/>
      <c r="E4" s="2" t="s">
        <v>43</v>
      </c>
      <c r="F4" s="2" t="s">
        <v>116</v>
      </c>
      <c r="G4" s="15"/>
      <c r="H4" s="15"/>
      <c r="I4" s="15"/>
      <c r="J4" s="15"/>
      <c r="K4" s="15"/>
      <c r="L4" s="15"/>
      <c r="M4" s="15"/>
      <c r="N4" s="3" t="s">
        <v>120</v>
      </c>
      <c r="O4" s="30"/>
    </row>
    <row r="5" spans="1:15">
      <c r="A5" s="5" t="s">
        <v>25</v>
      </c>
      <c r="B5" s="2" t="s">
        <v>36</v>
      </c>
      <c r="C5" s="2" t="s">
        <v>34</v>
      </c>
      <c r="D5" s="2" t="s">
        <v>44</v>
      </c>
      <c r="E5" s="2" t="s">
        <v>45</v>
      </c>
      <c r="F5" s="2" t="s">
        <v>117</v>
      </c>
      <c r="G5" s="15"/>
      <c r="H5" s="15"/>
      <c r="I5" s="15"/>
      <c r="J5" s="15"/>
      <c r="K5" s="15"/>
      <c r="L5" s="15"/>
      <c r="M5" s="15"/>
      <c r="N5" s="3" t="s">
        <v>120</v>
      </c>
      <c r="O5" s="30"/>
    </row>
    <row r="6" spans="1:15">
      <c r="A6" s="5" t="s">
        <v>24</v>
      </c>
      <c r="B6" s="2" t="s">
        <v>46</v>
      </c>
      <c r="C6" s="2" t="s">
        <v>46</v>
      </c>
      <c r="D6" s="2" t="s">
        <v>46</v>
      </c>
      <c r="E6" s="2" t="s">
        <v>46</v>
      </c>
      <c r="F6" s="2" t="s">
        <v>46</v>
      </c>
      <c r="G6" s="15"/>
      <c r="H6" s="15"/>
      <c r="I6" s="15"/>
      <c r="J6" s="15"/>
      <c r="K6" s="15"/>
      <c r="L6" s="15"/>
      <c r="M6" s="15"/>
      <c r="N6" s="3" t="s">
        <v>120</v>
      </c>
      <c r="O6" s="30"/>
    </row>
    <row r="7" spans="1:15">
      <c r="A7" s="5" t="s">
        <v>23</v>
      </c>
      <c r="B7" s="2" t="s">
        <v>47</v>
      </c>
      <c r="C7" s="2" t="s">
        <v>47</v>
      </c>
      <c r="D7" s="2" t="s">
        <v>48</v>
      </c>
      <c r="E7" s="2" t="s">
        <v>48</v>
      </c>
      <c r="F7" s="2" t="s">
        <v>118</v>
      </c>
      <c r="G7" s="15"/>
      <c r="H7" s="15"/>
      <c r="I7" s="15"/>
      <c r="J7" s="15"/>
      <c r="K7" s="15"/>
      <c r="L7" s="15"/>
      <c r="M7" s="15"/>
      <c r="N7" s="3" t="s">
        <v>120</v>
      </c>
      <c r="O7" s="30"/>
    </row>
    <row r="8" spans="1:15">
      <c r="A8" s="5" t="s">
        <v>22</v>
      </c>
      <c r="B8" s="2"/>
      <c r="C8" s="2"/>
      <c r="D8" s="2"/>
      <c r="E8" s="2" t="s">
        <v>49</v>
      </c>
      <c r="F8" s="2" t="s">
        <v>119</v>
      </c>
      <c r="G8" s="15"/>
      <c r="H8" s="15"/>
      <c r="I8" s="15"/>
      <c r="J8" s="15"/>
      <c r="K8" s="15"/>
      <c r="L8" s="15"/>
      <c r="M8" s="15"/>
      <c r="N8" s="3" t="s">
        <v>120</v>
      </c>
      <c r="O8" s="31"/>
    </row>
    <row r="9" spans="1:15" ht="42.75" customHeight="1">
      <c r="A9" s="21" t="s">
        <v>100</v>
      </c>
      <c r="B9" s="2"/>
      <c r="C9" s="2"/>
      <c r="D9" s="2"/>
      <c r="E9" s="2"/>
      <c r="F9" s="17"/>
      <c r="G9" s="24">
        <f>6765753*0.01</f>
        <v>67657.53</v>
      </c>
      <c r="H9" s="24">
        <f>6825935*0.01</f>
        <v>68259.350000000006</v>
      </c>
      <c r="I9" s="24">
        <f>6884888*0.01</f>
        <v>68848.88</v>
      </c>
      <c r="J9" s="24">
        <f>6942799*0.01</f>
        <v>69427.990000000005</v>
      </c>
      <c r="K9" s="24">
        <f>7000702*0.01</f>
        <v>70007.02</v>
      </c>
      <c r="L9" s="24">
        <f>7057892*0.01</f>
        <v>70578.92</v>
      </c>
      <c r="M9" s="24">
        <f>7114652*0.01</f>
        <v>71146.52</v>
      </c>
      <c r="N9" s="3" t="s">
        <v>123</v>
      </c>
      <c r="O9" s="23" t="s">
        <v>129</v>
      </c>
    </row>
    <row r="10" spans="1:15" ht="42" customHeight="1">
      <c r="A10" s="21" t="s">
        <v>99</v>
      </c>
      <c r="B10" s="2">
        <v>60708</v>
      </c>
      <c r="C10" s="2">
        <v>70188</v>
      </c>
      <c r="D10" s="2">
        <v>62500</v>
      </c>
      <c r="E10" s="2">
        <v>55850</v>
      </c>
      <c r="F10" s="17">
        <v>83601</v>
      </c>
      <c r="G10" s="24">
        <f>G9*0.95</f>
        <v>64274.653499999993</v>
      </c>
      <c r="H10" s="24">
        <f t="shared" ref="H10:M10" si="0">H9*0.95</f>
        <v>64846.3825</v>
      </c>
      <c r="I10" s="24">
        <f t="shared" si="0"/>
        <v>65406.436000000002</v>
      </c>
      <c r="J10" s="24">
        <f t="shared" si="0"/>
        <v>65956.590500000006</v>
      </c>
      <c r="K10" s="24">
        <f t="shared" si="0"/>
        <v>66506.668999999994</v>
      </c>
      <c r="L10" s="24">
        <f t="shared" si="0"/>
        <v>67049.974000000002</v>
      </c>
      <c r="M10" s="24">
        <f t="shared" si="0"/>
        <v>67589.194000000003</v>
      </c>
      <c r="N10" s="3" t="s">
        <v>123</v>
      </c>
      <c r="O10" s="23" t="s">
        <v>130</v>
      </c>
    </row>
    <row r="11" spans="1:15" ht="132.5" customHeight="1">
      <c r="A11" s="21" t="s">
        <v>21</v>
      </c>
      <c r="B11" s="2" t="s">
        <v>50</v>
      </c>
      <c r="C11" s="2" t="s">
        <v>51</v>
      </c>
      <c r="D11" s="2" t="s">
        <v>52</v>
      </c>
      <c r="E11" s="2" t="s">
        <v>53</v>
      </c>
      <c r="F11" s="46">
        <v>3009</v>
      </c>
      <c r="G11" s="46">
        <v>2300</v>
      </c>
      <c r="H11" s="46">
        <v>2210</v>
      </c>
      <c r="I11" s="46">
        <v>2080</v>
      </c>
      <c r="J11" s="46">
        <v>1940</v>
      </c>
      <c r="K11" s="46">
        <v>1785</v>
      </c>
      <c r="L11" s="46">
        <v>1615</v>
      </c>
      <c r="M11" s="46">
        <v>1450</v>
      </c>
      <c r="N11" s="3" t="s">
        <v>6</v>
      </c>
      <c r="O11" s="1" t="s">
        <v>105</v>
      </c>
    </row>
    <row r="12" spans="1:15" ht="89.5" customHeight="1">
      <c r="A12" s="21" t="s">
        <v>98</v>
      </c>
      <c r="B12" s="2">
        <v>724</v>
      </c>
      <c r="C12" s="2">
        <v>957</v>
      </c>
      <c r="D12" s="2">
        <v>1869</v>
      </c>
      <c r="E12" s="2">
        <v>2006</v>
      </c>
      <c r="F12" s="17">
        <v>1328</v>
      </c>
      <c r="G12" s="17">
        <f>G11*0.45</f>
        <v>1035</v>
      </c>
      <c r="H12" s="17">
        <f>H11*0.4</f>
        <v>884</v>
      </c>
      <c r="I12" s="17">
        <f>I11*0.35</f>
        <v>728</v>
      </c>
      <c r="J12" s="17">
        <f>J11*0.3</f>
        <v>582</v>
      </c>
      <c r="K12" s="24">
        <f>K11*0.25</f>
        <v>446.25</v>
      </c>
      <c r="L12" s="24">
        <f>L11*0.2</f>
        <v>323</v>
      </c>
      <c r="M12" s="24">
        <f>M11*0.15</f>
        <v>217.5</v>
      </c>
      <c r="N12" s="3" t="s">
        <v>122</v>
      </c>
      <c r="O12" s="1" t="s">
        <v>131</v>
      </c>
    </row>
    <row r="13" spans="1:15" ht="28.5" customHeight="1">
      <c r="A13" s="21" t="s">
        <v>127</v>
      </c>
      <c r="B13" s="17"/>
      <c r="C13" s="2"/>
      <c r="D13" s="2"/>
      <c r="E13" s="2"/>
      <c r="F13" s="34"/>
      <c r="G13" s="24">
        <f>G12*0.9</f>
        <v>931.5</v>
      </c>
      <c r="H13" s="24">
        <f>H12*0.9</f>
        <v>795.6</v>
      </c>
      <c r="I13" s="24">
        <f>I12*0.95</f>
        <v>691.6</v>
      </c>
      <c r="J13" s="24">
        <f>J12*0.95</f>
        <v>552.9</v>
      </c>
      <c r="K13" s="24">
        <f>K12*0.95</f>
        <v>423.9375</v>
      </c>
      <c r="L13" s="24">
        <f>L12*0.95</f>
        <v>306.84999999999997</v>
      </c>
      <c r="M13" s="24">
        <f>M12*0.95</f>
        <v>206.625</v>
      </c>
      <c r="N13" s="3" t="s">
        <v>122</v>
      </c>
      <c r="O13" s="41" t="s">
        <v>132</v>
      </c>
    </row>
    <row r="14" spans="1:15" ht="33" customHeight="1">
      <c r="A14" s="21" t="s">
        <v>128</v>
      </c>
      <c r="B14" s="17"/>
      <c r="C14" s="2"/>
      <c r="D14" s="2"/>
      <c r="E14" s="2"/>
      <c r="F14" s="34"/>
      <c r="G14" s="22">
        <v>0.9</v>
      </c>
      <c r="H14" s="22">
        <v>0.9</v>
      </c>
      <c r="I14" s="22">
        <v>0.95</v>
      </c>
      <c r="J14" s="22">
        <v>0.95</v>
      </c>
      <c r="K14" s="22">
        <v>0.95</v>
      </c>
      <c r="L14" s="22">
        <v>0.95</v>
      </c>
      <c r="M14" s="22">
        <v>0.95</v>
      </c>
      <c r="N14" s="3" t="s">
        <v>122</v>
      </c>
      <c r="O14" s="42"/>
    </row>
    <row r="15" spans="1:15" ht="117" customHeight="1">
      <c r="A15" s="21" t="s">
        <v>20</v>
      </c>
      <c r="B15" s="2" t="s">
        <v>54</v>
      </c>
      <c r="C15" s="2" t="s">
        <v>36</v>
      </c>
      <c r="D15" s="2" t="s">
        <v>55</v>
      </c>
      <c r="E15" s="2" t="s">
        <v>56</v>
      </c>
      <c r="F15" s="35">
        <v>47</v>
      </c>
      <c r="G15" s="36">
        <f>G11/6765753*100000</f>
        <v>33.994737910177925</v>
      </c>
      <c r="H15" s="36">
        <f>H11/6825935*100000</f>
        <v>32.37651691673009</v>
      </c>
      <c r="I15" s="36">
        <f>I11/6884888*100000</f>
        <v>30.211094210973368</v>
      </c>
      <c r="J15" s="36">
        <f>J11/6942799*100000</f>
        <v>27.942620836351448</v>
      </c>
      <c r="K15" s="36">
        <f>K11/7000702*100000</f>
        <v>25.497442970719224</v>
      </c>
      <c r="L15" s="36">
        <f>L11/7057892*100000</f>
        <v>22.882186352525654</v>
      </c>
      <c r="M15" s="36">
        <f>M11/7114652*100000</f>
        <v>20.380476796335227</v>
      </c>
      <c r="N15" s="3" t="s">
        <v>121</v>
      </c>
      <c r="O15" s="1" t="s">
        <v>133</v>
      </c>
    </row>
    <row r="16" spans="1:15" ht="28.5" customHeight="1">
      <c r="A16" s="21" t="s">
        <v>19</v>
      </c>
      <c r="B16" s="2" t="s">
        <v>57</v>
      </c>
      <c r="C16" s="2" t="s">
        <v>57</v>
      </c>
      <c r="D16" s="2" t="s">
        <v>57</v>
      </c>
      <c r="E16" s="2" t="s">
        <v>57</v>
      </c>
      <c r="F16" s="27">
        <v>0.8</v>
      </c>
      <c r="G16" s="2" t="s">
        <v>90</v>
      </c>
      <c r="H16" s="2" t="s">
        <v>90</v>
      </c>
      <c r="I16" s="2" t="s">
        <v>90</v>
      </c>
      <c r="J16" s="2" t="s">
        <v>90</v>
      </c>
      <c r="K16" s="2" t="s">
        <v>90</v>
      </c>
      <c r="L16" s="2" t="s">
        <v>90</v>
      </c>
      <c r="M16" s="2" t="s">
        <v>90</v>
      </c>
      <c r="N16" s="3" t="s">
        <v>120</v>
      </c>
      <c r="O16" s="1" t="s">
        <v>134</v>
      </c>
    </row>
    <row r="17" spans="1:15" ht="70.5" customHeight="1">
      <c r="A17" s="21" t="s">
        <v>18</v>
      </c>
      <c r="B17" s="2" t="s">
        <v>58</v>
      </c>
      <c r="C17" s="2" t="s">
        <v>59</v>
      </c>
      <c r="D17" s="2" t="s">
        <v>60</v>
      </c>
      <c r="E17" s="2" t="s">
        <v>61</v>
      </c>
      <c r="F17" s="24">
        <v>1974</v>
      </c>
      <c r="G17" s="24">
        <f>G11*0.7</f>
        <v>1610</v>
      </c>
      <c r="H17" s="24">
        <f t="shared" ref="H17:M17" si="1">H11*0.75</f>
        <v>1657.5</v>
      </c>
      <c r="I17" s="24">
        <f t="shared" si="1"/>
        <v>1560</v>
      </c>
      <c r="J17" s="24">
        <f t="shared" si="1"/>
        <v>1455</v>
      </c>
      <c r="K17" s="24">
        <f t="shared" si="1"/>
        <v>1338.75</v>
      </c>
      <c r="L17" s="24">
        <f t="shared" si="1"/>
        <v>1211.25</v>
      </c>
      <c r="M17" s="24">
        <f t="shared" si="1"/>
        <v>1087.5</v>
      </c>
      <c r="N17" s="3" t="s">
        <v>121</v>
      </c>
      <c r="O17" s="1" t="s">
        <v>135</v>
      </c>
    </row>
    <row r="18" spans="1:15" ht="39.75" customHeight="1">
      <c r="A18" s="21" t="s">
        <v>96</v>
      </c>
      <c r="B18" s="2">
        <v>42</v>
      </c>
      <c r="C18" s="2">
        <v>40</v>
      </c>
      <c r="D18" s="2">
        <v>96</v>
      </c>
      <c r="E18" s="2">
        <v>90</v>
      </c>
      <c r="F18" s="24">
        <v>67</v>
      </c>
      <c r="G18" s="24">
        <f>G11*0.0157</f>
        <v>36.11</v>
      </c>
      <c r="H18" s="24">
        <f>H11*0.0145</f>
        <v>32.045000000000002</v>
      </c>
      <c r="I18" s="24">
        <f>I11*0.0135</f>
        <v>28.08</v>
      </c>
      <c r="J18" s="24">
        <f>J11*0.0126</f>
        <v>24.443999999999999</v>
      </c>
      <c r="K18" s="24">
        <f>K11*0.0118</f>
        <v>21.062999999999999</v>
      </c>
      <c r="L18" s="24">
        <f>B18*0.25</f>
        <v>10.5</v>
      </c>
      <c r="M18" s="24">
        <f>C18*0.25</f>
        <v>10</v>
      </c>
      <c r="N18" s="25" t="s">
        <v>124</v>
      </c>
      <c r="O18" s="1"/>
    </row>
    <row r="19" spans="1:15" ht="73.5" customHeight="1">
      <c r="A19" s="21" t="s">
        <v>17</v>
      </c>
      <c r="B19" s="2" t="s">
        <v>62</v>
      </c>
      <c r="C19" s="2" t="s">
        <v>63</v>
      </c>
      <c r="D19" s="2" t="s">
        <v>64</v>
      </c>
      <c r="E19" s="2" t="s">
        <v>65</v>
      </c>
      <c r="F19" s="46">
        <v>21</v>
      </c>
      <c r="G19" s="47">
        <f t="shared" ref="G19:M19" si="2">G11*0.015</f>
        <v>34.5</v>
      </c>
      <c r="H19" s="47">
        <f t="shared" si="2"/>
        <v>33.15</v>
      </c>
      <c r="I19" s="47">
        <f t="shared" si="2"/>
        <v>31.2</v>
      </c>
      <c r="J19" s="47">
        <f t="shared" si="2"/>
        <v>29.099999999999998</v>
      </c>
      <c r="K19" s="47">
        <f t="shared" si="2"/>
        <v>26.774999999999999</v>
      </c>
      <c r="L19" s="47">
        <f t="shared" si="2"/>
        <v>24.224999999999998</v>
      </c>
      <c r="M19" s="47">
        <f t="shared" si="2"/>
        <v>21.75</v>
      </c>
      <c r="N19" s="3" t="s">
        <v>121</v>
      </c>
      <c r="O19" s="18" t="s">
        <v>136</v>
      </c>
    </row>
    <row r="20" spans="1:15" ht="47.25" customHeight="1">
      <c r="A20" s="21" t="s">
        <v>16</v>
      </c>
      <c r="B20" s="17" t="s">
        <v>66</v>
      </c>
      <c r="C20" s="17" t="s">
        <v>67</v>
      </c>
      <c r="D20" s="17" t="s">
        <v>64</v>
      </c>
      <c r="E20" s="17" t="s">
        <v>65</v>
      </c>
      <c r="F20" s="17">
        <v>21</v>
      </c>
      <c r="G20" s="24">
        <f>G19</f>
        <v>34.5</v>
      </c>
      <c r="H20" s="24">
        <f t="shared" ref="H20:M20" si="3">H19</f>
        <v>33.15</v>
      </c>
      <c r="I20" s="24">
        <f t="shared" si="3"/>
        <v>31.2</v>
      </c>
      <c r="J20" s="24">
        <f t="shared" si="3"/>
        <v>29.099999999999998</v>
      </c>
      <c r="K20" s="24">
        <f t="shared" si="3"/>
        <v>26.774999999999999</v>
      </c>
      <c r="L20" s="24">
        <f t="shared" si="3"/>
        <v>24.224999999999998</v>
      </c>
      <c r="M20" s="24">
        <f t="shared" si="3"/>
        <v>21.75</v>
      </c>
      <c r="N20" s="3" t="s">
        <v>121</v>
      </c>
      <c r="O20" s="18" t="s">
        <v>93</v>
      </c>
    </row>
    <row r="21" spans="1:15" ht="39.75" customHeight="1">
      <c r="A21" s="21" t="s">
        <v>15</v>
      </c>
      <c r="B21" s="17" t="s">
        <v>68</v>
      </c>
      <c r="C21" s="17" t="s">
        <v>69</v>
      </c>
      <c r="D21" s="17" t="s">
        <v>70</v>
      </c>
      <c r="E21" s="17" t="s">
        <v>71</v>
      </c>
      <c r="F21" s="38">
        <v>2891</v>
      </c>
      <c r="G21" s="24">
        <f>G11*0.98</f>
        <v>2254</v>
      </c>
      <c r="H21" s="24">
        <f t="shared" ref="H21:M21" si="4">H11*0.98</f>
        <v>2165.8000000000002</v>
      </c>
      <c r="I21" s="24">
        <f t="shared" si="4"/>
        <v>2038.3999999999999</v>
      </c>
      <c r="J21" s="24">
        <f t="shared" si="4"/>
        <v>1901.2</v>
      </c>
      <c r="K21" s="24">
        <f t="shared" si="4"/>
        <v>1749.3</v>
      </c>
      <c r="L21" s="24">
        <f t="shared" si="4"/>
        <v>1582.7</v>
      </c>
      <c r="M21" s="24">
        <f t="shared" si="4"/>
        <v>1421</v>
      </c>
      <c r="N21" s="3" t="s">
        <v>121</v>
      </c>
      <c r="O21" s="18"/>
    </row>
    <row r="22" spans="1:15" ht="39.75" customHeight="1">
      <c r="A22" s="21" t="s">
        <v>14</v>
      </c>
      <c r="B22" s="17" t="s">
        <v>72</v>
      </c>
      <c r="C22" s="17" t="s">
        <v>73</v>
      </c>
      <c r="D22" s="17" t="s">
        <v>73</v>
      </c>
      <c r="E22" s="22">
        <v>0.98</v>
      </c>
      <c r="F22" s="40">
        <v>0.96099999999999997</v>
      </c>
      <c r="G22" s="22">
        <v>0.98</v>
      </c>
      <c r="H22" s="22">
        <v>0.98</v>
      </c>
      <c r="I22" s="22">
        <v>0.98</v>
      </c>
      <c r="J22" s="22">
        <v>0.98</v>
      </c>
      <c r="K22" s="22">
        <v>0.98</v>
      </c>
      <c r="L22" s="22">
        <v>0.98</v>
      </c>
      <c r="M22" s="22">
        <v>0.98</v>
      </c>
      <c r="N22" s="3" t="s">
        <v>121</v>
      </c>
      <c r="O22" s="43" t="s">
        <v>94</v>
      </c>
    </row>
    <row r="23" spans="1:15" ht="81.75" customHeight="1">
      <c r="A23" s="21" t="s">
        <v>13</v>
      </c>
      <c r="B23" s="17" t="s">
        <v>74</v>
      </c>
      <c r="C23" s="17" t="s">
        <v>75</v>
      </c>
      <c r="D23" s="17" t="s">
        <v>76</v>
      </c>
      <c r="E23" s="17" t="s">
        <v>77</v>
      </c>
      <c r="F23" s="26">
        <v>185</v>
      </c>
      <c r="G23" s="24">
        <v>107</v>
      </c>
      <c r="H23" s="24">
        <f>H11*0.05</f>
        <v>110.5</v>
      </c>
      <c r="I23" s="24">
        <f>I11*0.05</f>
        <v>104</v>
      </c>
      <c r="J23" s="24">
        <f>J11*0.05</f>
        <v>97</v>
      </c>
      <c r="K23" s="24">
        <f>K11*0.045</f>
        <v>80.325000000000003</v>
      </c>
      <c r="L23" s="24">
        <f>L11*0.045</f>
        <v>72.674999999999997</v>
      </c>
      <c r="M23" s="24">
        <f>M11*0.045</f>
        <v>65.25</v>
      </c>
      <c r="N23" s="3" t="s">
        <v>121</v>
      </c>
      <c r="O23" s="18" t="s">
        <v>140</v>
      </c>
    </row>
    <row r="24" spans="1:15" ht="63" customHeight="1">
      <c r="A24" s="21" t="s">
        <v>12</v>
      </c>
      <c r="B24" s="17" t="s">
        <v>78</v>
      </c>
      <c r="C24" s="17" t="s">
        <v>79</v>
      </c>
      <c r="D24" s="17" t="s">
        <v>76</v>
      </c>
      <c r="E24" s="17" t="s">
        <v>80</v>
      </c>
      <c r="F24" s="17">
        <v>185</v>
      </c>
      <c r="G24" s="24">
        <f>G23*0.65</f>
        <v>69.55</v>
      </c>
      <c r="H24" s="24">
        <f>H23*0.68</f>
        <v>75.14</v>
      </c>
      <c r="I24" s="24">
        <f>I23*0.71</f>
        <v>73.84</v>
      </c>
      <c r="J24" s="24">
        <f>J23*0.73</f>
        <v>70.81</v>
      </c>
      <c r="K24" s="24">
        <f>K23*0.74</f>
        <v>59.4405</v>
      </c>
      <c r="L24" s="24">
        <f>L23*0.77</f>
        <v>55.95975</v>
      </c>
      <c r="M24" s="24">
        <f>M23*0.8</f>
        <v>52.2</v>
      </c>
      <c r="N24" s="3" t="s">
        <v>121</v>
      </c>
      <c r="O24" s="18" t="s">
        <v>112</v>
      </c>
    </row>
    <row r="25" spans="1:15" ht="39.75" customHeight="1">
      <c r="A25" s="21" t="s">
        <v>11</v>
      </c>
      <c r="B25" s="17" t="s">
        <v>81</v>
      </c>
      <c r="C25" s="17" t="s">
        <v>82</v>
      </c>
      <c r="D25" s="17" t="s">
        <v>46</v>
      </c>
      <c r="E25" s="17" t="s">
        <v>83</v>
      </c>
      <c r="F25" s="22">
        <v>1</v>
      </c>
      <c r="G25" s="22">
        <v>0.65</v>
      </c>
      <c r="H25" s="22">
        <v>0.68</v>
      </c>
      <c r="I25" s="22">
        <v>0.71</v>
      </c>
      <c r="J25" s="22">
        <v>0.73</v>
      </c>
      <c r="K25" s="22">
        <v>0.74</v>
      </c>
      <c r="L25" s="22">
        <v>0.77</v>
      </c>
      <c r="M25" s="22">
        <v>0.8</v>
      </c>
      <c r="N25" s="3" t="s">
        <v>121</v>
      </c>
      <c r="O25" s="18" t="s">
        <v>113</v>
      </c>
    </row>
    <row r="26" spans="1:15" ht="39.75" customHeight="1">
      <c r="A26" s="21" t="s">
        <v>107</v>
      </c>
      <c r="B26" s="37">
        <v>28138</v>
      </c>
      <c r="C26" s="37">
        <v>27957</v>
      </c>
      <c r="D26" s="37">
        <v>27695</v>
      </c>
      <c r="E26" s="37">
        <v>27329</v>
      </c>
      <c r="F26" s="37">
        <v>26893</v>
      </c>
      <c r="G26" s="37">
        <v>26874</v>
      </c>
      <c r="H26" s="37">
        <v>27047</v>
      </c>
      <c r="I26" s="37">
        <v>27230</v>
      </c>
      <c r="J26" s="37">
        <v>27394</v>
      </c>
      <c r="K26" s="37">
        <v>27541</v>
      </c>
      <c r="L26" s="37">
        <v>27680</v>
      </c>
      <c r="M26" s="22"/>
      <c r="N26" s="25" t="s">
        <v>125</v>
      </c>
      <c r="O26" s="18" t="s">
        <v>114</v>
      </c>
    </row>
    <row r="27" spans="1:15" ht="79.5" customHeight="1">
      <c r="A27" s="21" t="s">
        <v>10</v>
      </c>
      <c r="B27" s="38">
        <v>10803</v>
      </c>
      <c r="C27" s="38">
        <v>8814</v>
      </c>
      <c r="D27" s="38">
        <v>9208</v>
      </c>
      <c r="E27" s="38">
        <v>10564</v>
      </c>
      <c r="F27" s="38">
        <v>13193</v>
      </c>
      <c r="G27" s="38">
        <v>15603</v>
      </c>
      <c r="H27" s="38">
        <v>17316</v>
      </c>
      <c r="I27" s="38">
        <v>0</v>
      </c>
      <c r="J27" s="38">
        <v>0</v>
      </c>
      <c r="K27" s="38">
        <v>0</v>
      </c>
      <c r="L27" s="38">
        <v>0</v>
      </c>
      <c r="M27" s="38"/>
      <c r="N27" s="3" t="s">
        <v>121</v>
      </c>
      <c r="O27" s="18" t="s">
        <v>109</v>
      </c>
    </row>
    <row r="28" spans="1:15" ht="69.75" customHeight="1">
      <c r="A28" s="21" t="s">
        <v>9</v>
      </c>
      <c r="B28" s="17" t="s">
        <v>106</v>
      </c>
      <c r="C28" s="17" t="s">
        <v>106</v>
      </c>
      <c r="D28" s="17" t="s">
        <v>84</v>
      </c>
      <c r="E28" s="17" t="s">
        <v>85</v>
      </c>
      <c r="F28" s="17">
        <v>330</v>
      </c>
      <c r="G28" s="24">
        <v>993</v>
      </c>
      <c r="H28" s="24">
        <v>989</v>
      </c>
      <c r="I28" s="24">
        <v>996</v>
      </c>
      <c r="J28" s="24">
        <v>1003</v>
      </c>
      <c r="K28" s="24">
        <v>1020</v>
      </c>
      <c r="L28" s="24">
        <v>1027</v>
      </c>
      <c r="M28" s="24">
        <f>M26*0.04</f>
        <v>0</v>
      </c>
      <c r="N28" s="3" t="s">
        <v>121</v>
      </c>
      <c r="O28" s="18" t="s">
        <v>110</v>
      </c>
    </row>
    <row r="29" spans="1:15" ht="88.5" customHeight="1">
      <c r="A29" s="21" t="s">
        <v>8</v>
      </c>
      <c r="B29" s="17">
        <v>182</v>
      </c>
      <c r="C29" s="17">
        <v>201</v>
      </c>
      <c r="D29" s="17">
        <v>169</v>
      </c>
      <c r="E29" s="17">
        <v>209</v>
      </c>
      <c r="F29" s="17">
        <v>187</v>
      </c>
      <c r="G29" s="17">
        <v>107</v>
      </c>
      <c r="H29" s="17">
        <v>111</v>
      </c>
      <c r="I29" s="17">
        <v>104</v>
      </c>
      <c r="J29" s="17">
        <v>97</v>
      </c>
      <c r="K29" s="17">
        <v>80</v>
      </c>
      <c r="L29" s="17">
        <v>73</v>
      </c>
      <c r="M29" s="17">
        <v>65</v>
      </c>
      <c r="N29" s="3" t="s">
        <v>121</v>
      </c>
      <c r="O29" s="44"/>
    </row>
    <row r="30" spans="1:15" ht="96.75" customHeight="1">
      <c r="A30" s="21" t="s">
        <v>7</v>
      </c>
      <c r="B30" s="17" t="s">
        <v>108</v>
      </c>
      <c r="C30" s="17" t="s">
        <v>108</v>
      </c>
      <c r="D30" s="17" t="s">
        <v>108</v>
      </c>
      <c r="E30" s="17" t="s">
        <v>108</v>
      </c>
      <c r="F30" s="22">
        <v>0.59</v>
      </c>
      <c r="G30" s="17" t="s">
        <v>108</v>
      </c>
      <c r="H30" s="17" t="s">
        <v>108</v>
      </c>
      <c r="I30" s="17" t="s">
        <v>108</v>
      </c>
      <c r="J30" s="17" t="s">
        <v>108</v>
      </c>
      <c r="K30" s="17" t="s">
        <v>108</v>
      </c>
      <c r="L30" s="17" t="s">
        <v>108</v>
      </c>
      <c r="M30" s="17" t="s">
        <v>108</v>
      </c>
      <c r="N30" s="3" t="s">
        <v>121</v>
      </c>
      <c r="O30" s="18" t="s">
        <v>111</v>
      </c>
    </row>
    <row r="31" spans="1:15" ht="128.25" customHeight="1">
      <c r="A31" s="21" t="s">
        <v>97</v>
      </c>
      <c r="B31" s="39">
        <v>0.20300000000000001</v>
      </c>
      <c r="C31" s="39">
        <v>0.153</v>
      </c>
      <c r="D31" s="39">
        <v>0.16600000000000001</v>
      </c>
      <c r="E31" s="22">
        <v>0.15</v>
      </c>
      <c r="F31" s="22" t="s">
        <v>104</v>
      </c>
      <c r="G31" s="22" t="s">
        <v>104</v>
      </c>
      <c r="H31" s="22" t="s">
        <v>104</v>
      </c>
      <c r="I31" s="22" t="s">
        <v>104</v>
      </c>
      <c r="J31" s="22" t="s">
        <v>104</v>
      </c>
      <c r="K31" s="22" t="s">
        <v>104</v>
      </c>
      <c r="L31" s="22" t="s">
        <v>104</v>
      </c>
      <c r="M31" s="22" t="s">
        <v>104</v>
      </c>
      <c r="N31" s="3" t="s">
        <v>121</v>
      </c>
      <c r="O31" s="18" t="s">
        <v>139</v>
      </c>
    </row>
    <row r="32" spans="1:15" ht="39.75" customHeight="1">
      <c r="A32" s="21" t="s">
        <v>5</v>
      </c>
      <c r="B32" s="17" t="s">
        <v>86</v>
      </c>
      <c r="C32" s="17" t="s">
        <v>37</v>
      </c>
      <c r="D32" s="17" t="s">
        <v>37</v>
      </c>
      <c r="E32" s="17" t="s">
        <v>90</v>
      </c>
      <c r="F32" s="17" t="s">
        <v>90</v>
      </c>
      <c r="G32" s="17" t="s">
        <v>90</v>
      </c>
      <c r="H32" s="17" t="s">
        <v>90</v>
      </c>
      <c r="I32" s="17" t="s">
        <v>90</v>
      </c>
      <c r="J32" s="17" t="s">
        <v>90</v>
      </c>
      <c r="K32" s="17" t="s">
        <v>90</v>
      </c>
      <c r="L32" s="17" t="s">
        <v>90</v>
      </c>
      <c r="M32" s="17" t="s">
        <v>90</v>
      </c>
      <c r="N32" s="3" t="s">
        <v>126</v>
      </c>
      <c r="O32" s="45"/>
    </row>
    <row r="33" spans="1:15" ht="81.75" customHeight="1">
      <c r="A33" s="21" t="s">
        <v>4</v>
      </c>
      <c r="B33" s="17" t="s">
        <v>35</v>
      </c>
      <c r="C33" s="17" t="s">
        <v>87</v>
      </c>
      <c r="D33" s="17" t="s">
        <v>88</v>
      </c>
      <c r="E33" s="22">
        <v>0.75</v>
      </c>
      <c r="F33" s="22">
        <v>0.85</v>
      </c>
      <c r="G33" s="22">
        <v>0.85</v>
      </c>
      <c r="H33" s="22">
        <v>0.85</v>
      </c>
      <c r="I33" s="22">
        <v>0.85</v>
      </c>
      <c r="J33" s="22">
        <v>0.85</v>
      </c>
      <c r="K33" s="22">
        <v>0.85</v>
      </c>
      <c r="L33" s="22">
        <v>0.85</v>
      </c>
      <c r="M33" s="22">
        <v>0.85</v>
      </c>
      <c r="N33" s="3" t="s">
        <v>126</v>
      </c>
      <c r="O33" s="18" t="s">
        <v>138</v>
      </c>
    </row>
    <row r="34" spans="1:15" ht="39.75" customHeight="1">
      <c r="A34" s="21" t="s">
        <v>3</v>
      </c>
      <c r="B34" s="17" t="s">
        <v>89</v>
      </c>
      <c r="C34" s="17" t="s">
        <v>46</v>
      </c>
      <c r="D34" s="17"/>
      <c r="E34" s="17"/>
      <c r="F34" s="17" t="s">
        <v>90</v>
      </c>
      <c r="G34" s="17" t="s">
        <v>90</v>
      </c>
      <c r="H34" s="17" t="s">
        <v>90</v>
      </c>
      <c r="I34" s="17" t="s">
        <v>90</v>
      </c>
      <c r="J34" s="17" t="s">
        <v>90</v>
      </c>
      <c r="K34" s="17" t="s">
        <v>90</v>
      </c>
      <c r="L34" s="17" t="s">
        <v>90</v>
      </c>
      <c r="M34" s="17" t="s">
        <v>90</v>
      </c>
      <c r="N34" s="3" t="s">
        <v>126</v>
      </c>
      <c r="O34" s="18" t="s">
        <v>137</v>
      </c>
    </row>
    <row r="35" spans="1:15">
      <c r="B35" s="19"/>
      <c r="C35" s="19"/>
      <c r="D35" s="19"/>
      <c r="E35" s="19"/>
      <c r="F35" s="32"/>
      <c r="G35" s="19"/>
      <c r="H35" s="19"/>
      <c r="I35" s="19"/>
      <c r="J35" s="19"/>
      <c r="K35" s="19"/>
      <c r="L35" s="19"/>
      <c r="M35" s="19"/>
    </row>
    <row r="36" spans="1:15">
      <c r="A36" s="14"/>
    </row>
  </sheetData>
  <mergeCells count="2">
    <mergeCell ref="O2:O8"/>
    <mergeCell ref="O13:O14"/>
  </mergeCells>
  <hyperlinks>
    <hyperlink ref="N11" r:id="rId1" xr:uid="{00000000-0004-0000-0100-000000000000}"/>
    <hyperlink ref="N2" r:id="rId2" xr:uid="{00000000-0004-0000-0100-000001000000}"/>
    <hyperlink ref="N9" r:id="rId3" display="WHO, Global TB Database: notifications" xr:uid="{00000000-0004-0000-0100-000002000000}"/>
    <hyperlink ref="N3" r:id="rId4" xr:uid="{00000000-0004-0000-0100-000003000000}"/>
    <hyperlink ref="N4" r:id="rId5" xr:uid="{00000000-0004-0000-0100-000004000000}"/>
    <hyperlink ref="N5" r:id="rId6" xr:uid="{00000000-0004-0000-0100-000005000000}"/>
    <hyperlink ref="N6" r:id="rId7" xr:uid="{00000000-0004-0000-0100-000006000000}"/>
    <hyperlink ref="N7" r:id="rId8" xr:uid="{00000000-0004-0000-0100-000007000000}"/>
    <hyperlink ref="N8" r:id="rId9" xr:uid="{00000000-0004-0000-0100-000008000000}"/>
    <hyperlink ref="N10" r:id="rId10" display="WHO, Global TB Database: notifications" xr:uid="{00000000-0004-0000-0100-000009000000}"/>
    <hyperlink ref="N16" r:id="rId11" xr:uid="{00000000-0004-0000-0100-00000A000000}"/>
    <hyperlink ref="N15" r:id="rId12" xr:uid="{00000000-0004-0000-0100-00000B000000}"/>
    <hyperlink ref="N17" r:id="rId13" xr:uid="{00000000-0004-0000-0100-00000C000000}"/>
    <hyperlink ref="N19" r:id="rId14" xr:uid="{00000000-0004-0000-0100-00000D000000}"/>
    <hyperlink ref="N20" r:id="rId15" xr:uid="{00000000-0004-0000-0100-00000E000000}"/>
    <hyperlink ref="N21" r:id="rId16" xr:uid="{00000000-0004-0000-0100-00000F000000}"/>
    <hyperlink ref="N22" r:id="rId17" xr:uid="{00000000-0004-0000-0100-000010000000}"/>
    <hyperlink ref="N23" r:id="rId18" xr:uid="{00000000-0004-0000-0100-000011000000}"/>
    <hyperlink ref="N24" r:id="rId19" xr:uid="{00000000-0004-0000-0100-000012000000}"/>
    <hyperlink ref="N25" r:id="rId20" xr:uid="{00000000-0004-0000-0100-000013000000}"/>
    <hyperlink ref="N27" r:id="rId21" xr:uid="{00000000-0004-0000-0100-000014000000}"/>
    <hyperlink ref="N28" r:id="rId22" xr:uid="{00000000-0004-0000-0100-000015000000}"/>
    <hyperlink ref="N29" r:id="rId23" xr:uid="{00000000-0004-0000-0100-000016000000}"/>
    <hyperlink ref="N30" r:id="rId24" xr:uid="{00000000-0004-0000-0100-000017000000}"/>
    <hyperlink ref="N31" r:id="rId25" xr:uid="{00000000-0004-0000-0100-000018000000}"/>
    <hyperlink ref="N32" r:id="rId26" display="WHO, Global TB Database 2019: treatment outcomes" xr:uid="{00000000-0004-0000-0100-000019000000}"/>
    <hyperlink ref="N33" r:id="rId27" display="WHO, Global TB Database 2019: treatment outcomes" xr:uid="{00000000-0004-0000-0100-00001A000000}"/>
    <hyperlink ref="N34" r:id="rId28" display="WHO, Global TB Database 2019: treatment outcomes" xr:uid="{00000000-0004-0000-0100-00001B000000}"/>
  </hyperlinks>
  <pageMargins left="0.7" right="0.7" top="0.75" bottom="0.75" header="0.3" footer="0.3"/>
  <pageSetup paperSize="9" orientation="portrait"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6:G14"/>
  <sheetViews>
    <sheetView topLeftCell="A31" zoomScale="80" zoomScaleNormal="80" workbookViewId="0">
      <selection activeCell="H64" sqref="H64"/>
    </sheetView>
  </sheetViews>
  <sheetFormatPr baseColWidth="10" defaultRowHeight="14.5"/>
  <cols>
    <col min="6" max="6" width="22.7265625" customWidth="1"/>
    <col min="7" max="7" width="26" customWidth="1"/>
  </cols>
  <sheetData>
    <row r="6" spans="4:7">
      <c r="D6" s="20" t="s">
        <v>95</v>
      </c>
      <c r="E6" s="20" t="s">
        <v>101</v>
      </c>
      <c r="F6" t="s">
        <v>102</v>
      </c>
      <c r="G6" t="s">
        <v>103</v>
      </c>
    </row>
    <row r="7" spans="4:7">
      <c r="D7">
        <v>2019</v>
      </c>
      <c r="E7">
        <v>83601</v>
      </c>
      <c r="F7" s="20">
        <v>3009</v>
      </c>
      <c r="G7" s="20">
        <v>1974</v>
      </c>
    </row>
    <row r="8" spans="4:7">
      <c r="D8">
        <v>2020</v>
      </c>
      <c r="E8">
        <v>64275</v>
      </c>
      <c r="F8" s="20">
        <v>2300</v>
      </c>
      <c r="G8" s="20">
        <v>1610</v>
      </c>
    </row>
    <row r="9" spans="4:7">
      <c r="D9">
        <v>2021</v>
      </c>
      <c r="E9">
        <v>64846</v>
      </c>
      <c r="F9" s="20">
        <v>2210</v>
      </c>
      <c r="G9" s="20">
        <v>1658</v>
      </c>
    </row>
    <row r="10" spans="4:7">
      <c r="D10">
        <v>2022</v>
      </c>
      <c r="E10">
        <v>65406</v>
      </c>
      <c r="F10" s="20">
        <v>2080</v>
      </c>
      <c r="G10" s="20">
        <v>1560</v>
      </c>
    </row>
    <row r="11" spans="4:7">
      <c r="D11">
        <v>2023</v>
      </c>
      <c r="E11">
        <v>65957</v>
      </c>
      <c r="F11" s="20">
        <v>1940</v>
      </c>
      <c r="G11" s="20">
        <v>1455</v>
      </c>
    </row>
    <row r="12" spans="4:7">
      <c r="D12">
        <v>2024</v>
      </c>
      <c r="E12">
        <v>66507</v>
      </c>
      <c r="F12" s="20">
        <v>1785</v>
      </c>
      <c r="G12" s="20">
        <v>1339</v>
      </c>
    </row>
    <row r="13" spans="4:7">
      <c r="D13">
        <v>2025</v>
      </c>
      <c r="E13">
        <v>67050</v>
      </c>
      <c r="F13" s="20">
        <v>1615</v>
      </c>
      <c r="G13" s="20">
        <v>1211</v>
      </c>
    </row>
    <row r="14" spans="4:7">
      <c r="D14">
        <v>2026</v>
      </c>
      <c r="E14">
        <v>67589</v>
      </c>
      <c r="F14" s="20">
        <v>1450</v>
      </c>
      <c r="G14" s="20">
        <v>1088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87614E2211F2E849A61121FB2A895684" ma:contentTypeVersion="22" ma:contentTypeDescription="A Word document." ma:contentTypeScope="" ma:versionID="21fd6c9e90379141f8cea426edec6302">
  <xsd:schema xmlns:xsd="http://www.w3.org/2001/XMLSchema" xmlns:xs="http://www.w3.org/2001/XMLSchema" xmlns:p="http://schemas.microsoft.com/office/2006/metadata/properties" xmlns:ns2="a03ac030-8fc0-429e-a59d-aec15056182b" xmlns:ns3="eef4912e-ca7b-4ea5-904f-19ac548f6d9b" xmlns:ns4="85d3ba82-8f4c-4867-a51b-a9da4489fa4c" targetNamespace="http://schemas.microsoft.com/office/2006/metadata/properties" ma:root="true" ma:fieldsID="8e69f680f4a784ed66de26d907a57110" ns2:_="" ns3:_="" ns4:_="">
    <xsd:import namespace="a03ac030-8fc0-429e-a59d-aec15056182b"/>
    <xsd:import namespace="eef4912e-ca7b-4ea5-904f-19ac548f6d9b"/>
    <xsd:import namespace="85d3ba82-8f4c-4867-a51b-a9da4489fa4c"/>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f4912e-ca7b-4ea5-904f-19ac548f6d9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5d3ba82-8f4c-4867-a51b-a9da4489fa4c"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8627F4-AEE5-4B12-B465-9535D1314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eef4912e-ca7b-4ea5-904f-19ac548f6d9b"/>
    <ds:schemaRef ds:uri="85d3ba82-8f4c-4867-a51b-a9da4489f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1855AC-A524-4854-B534-17DF33280543}">
  <ds:schemaRefs>
    <ds:schemaRef ds:uri="http://schemas.microsoft.com/sharepoint/events"/>
  </ds:schemaRefs>
</ds:datastoreItem>
</file>

<file path=customXml/itemProps3.xml><?xml version="1.0" encoding="utf-8"?>
<ds:datastoreItem xmlns:ds="http://schemas.openxmlformats.org/officeDocument/2006/customXml" ds:itemID="{F1BE6E39-C272-4628-BB3A-41C93E840DFE}">
  <ds:schemaRefs>
    <ds:schemaRef ds:uri="http://schemas.microsoft.com/sharepoint/v3/contenttype/forms"/>
  </ds:schemaRefs>
</ds:datastoreItem>
</file>

<file path=customXml/itemProps4.xml><?xml version="1.0" encoding="utf-8"?>
<ds:datastoreItem xmlns:ds="http://schemas.openxmlformats.org/officeDocument/2006/customXml" ds:itemID="{413129B2-95BA-4F4F-BD4A-7851AF2F4A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Instructions</vt:lpstr>
      <vt:lpstr>SLV - TB</vt:lpstr>
      <vt:lpstr>GRAFICO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Drake</dc:creator>
  <cp:lastModifiedBy>Dra. Guadalupe Flores</cp:lastModifiedBy>
  <dcterms:created xsi:type="dcterms:W3CDTF">2019-11-07T09:47:00Z</dcterms:created>
  <dcterms:modified xsi:type="dcterms:W3CDTF">2020-11-24T18:59:13Z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0x010100DB1926E75FE6D448A94BA4FC7E9CAC040087614E2211F2E849A61121FB2A895684</vt:lpwstr>
  </property>
  <property fmtid="{D5CDD505-2E9C-101B-9397-08002B2CF9AE}" pid="3" name="_dlc_DocIdItemGuid">
    <vt:lpwstr>7e78c4d2-098f-4a2a-b587-9b604f320d22</vt:lpwstr>
  </property>
  <property fmtid="{D5CDD505-2E9C-101B-9397-08002B2CF9AE}" pid="4" name="_dlc_DocId">
    <vt:lpwstr>3NAZ7T4E3CZ3-205845905-28727</vt:lpwstr>
  </property>
  <property fmtid="{D5CDD505-2E9C-101B-9397-08002B2CF9AE}" pid="5" name="_dlc_DocIdUrl">
    <vt:lpwstr>https://tgf.sharepoint.com/sites/TSA2F1/A2FN/_layouts/15/DocIdRedir.aspx?ID=3NAZ7T4E3CZ3-205845905-28727, 3NAZ7T4E3CZ3-205845905-28727</vt:lpwstr>
  </property>
</Properties>
</file>