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hidePivotFieldList="1"/>
  <mc:AlternateContent xmlns:mc="http://schemas.openxmlformats.org/markup-compatibility/2006">
    <mc:Choice Requires="x15">
      <x15ac:absPath xmlns:x15ac="http://schemas.microsoft.com/office/spreadsheetml/2010/11/ac" url="C:\Users\mimcorleto\Desktop\ARCHIVOS FINANCIEROS VIH 22-24\"/>
    </mc:Choice>
  </mc:AlternateContent>
  <xr:revisionPtr revIDLastSave="0" documentId="8_{287B9907-5688-4032-B56B-9844684B3144}" xr6:coauthVersionLast="46" xr6:coauthVersionMax="46" xr10:uidLastSave="{00000000-0000-0000-0000-000000000000}"/>
  <bookViews>
    <workbookView xWindow="-110" yWindow="-110" windowWidth="19420" windowHeight="10420" tabRatio="813" activeTab="1" xr2:uid="{00000000-000D-0000-FFFF-FFFF00000000}"/>
  </bookViews>
  <sheets>
    <sheet name="Instructions" sheetId="13" r:id="rId1"/>
    <sheet name="PAAR" sheetId="1" r:id="rId2"/>
    <sheet name="Anexo a la PAAR" sheetId="15" r:id="rId3"/>
    <sheet name="PaarLineToUpsert" sheetId="11" state="veryHidden" r:id="rId4"/>
    <sheet name="Existing PAARLIne" sheetId="12" state="veryHidden" r:id="rId5"/>
    <sheet name="Setup" sheetId="8" state="veryHidden" r:id="rId6"/>
    <sheet name="Add Info-Info Supp-Info Ad" sheetId="3" state="veryHidden" r:id="rId7"/>
    <sheet name="Modules" sheetId="6" state="veryHidden" r:id="rId8"/>
    <sheet name="Interventions" sheetId="9" state="veryHidden" r:id="rId9"/>
    <sheet name="PAAR (EN)" sheetId="4" state="veryHidden" r:id="rId10"/>
    <sheet name="Additional Info (EN)" sheetId="5" state="veryHidden" r:id="rId11"/>
    <sheet name="Dropdown Data" sheetId="2" state="veryHidden" r:id="rId12"/>
    <sheet name="VersionHistory" sheetId="14" state="veryHidden" r:id="rId13"/>
    <sheet name="apttusmetadata" sheetId="7" state="veryHidden" r:id="rId14"/>
  </sheets>
  <externalReferences>
    <externalReference r:id="rId15"/>
  </externalReferences>
  <definedNames>
    <definedName name="_02ad39f3_57e3_49df_801f_0b57a1bdfb84">Modules!$H$11</definedName>
    <definedName name="_02bdc5b6_f405_4455_84ca_aac645fac99a">Modules!$D$3:$D$4</definedName>
    <definedName name="_047ad507_0de5_47bb_939e_d5a1ca1cadd0">#REF!</definedName>
    <definedName name="_0591a0b2_8a8a_4305_8643_1ab20a3c479a">#REF!</definedName>
    <definedName name="_070ce615_3123_48d1_bc3c_f8a3210e81c9">#REF!</definedName>
    <definedName name="_09ebd902_8633_49ee_8213_ebb31719aa20">#REF!</definedName>
    <definedName name="_0aba1aad_a2db_4f91_bf15_fb17938568c4">Modules!$A$41:$B$41</definedName>
    <definedName name="_0b156c7e_5d2f_4042_9bc9_55e6ef8d1f9e">Modules!$D$2</definedName>
    <definedName name="_0d474f16_35ba_4d92_afba_4a57661e931b">#REF!</definedName>
    <definedName name="_100e0d0a_853d_42fd_ac33_2c0488ef7758">Modules!$A$11:$B$11</definedName>
    <definedName name="_108f5ad8_7393_426d_9f7c_bae12068cdd8">PaarLineToUpsert!$B$1</definedName>
    <definedName name="_12f80f5d_30f8_40b3_940d_52e55da78e79">Modules!$H$8</definedName>
    <definedName name="_1380a560_8917_4a6c_8643_5eaf67a107ec">PAAR!$P$28:$P$263</definedName>
    <definedName name="_1a4d39fd_40f7_4788_ade0_929f28c2fcba">#REF!</definedName>
    <definedName name="_1beb92be_190d_487d_8ba8_7231ac46b0f6" comment="Display Map">Setup!$A$12:$A$14</definedName>
    <definedName name="_1d959eb1_25e0_459c_be70_75087b3e8e5c">Modules!$D$4</definedName>
    <definedName name="_1e83f210_e875_4af6_91e5_ac9c698a0120">Modules!$D$3</definedName>
    <definedName name="_200601b2_d857_4b7b_b9c8_b4b1dcfdbead">Modules!$B$4</definedName>
    <definedName name="_22bfb72b_4ec8_42f9_aba0_ddfc7388dd07">#REF!</definedName>
    <definedName name="_246c9ece_37cf_4f3d_bb58_d0705dabf0a1">Interventions!$B$12</definedName>
    <definedName name="_2a721706_e90e_49c0_9b1b_9fe9a5604342" comment="Display Map">PaarLineToUpsert!$A$1:$AB$1</definedName>
    <definedName name="_2c486d2c_37c1_41e6_8a2a_5b846cc4b116">#REF!</definedName>
    <definedName name="_2d6d22aa_6ffc_4e44_94e1_6b9135bdbe35">#REF!</definedName>
    <definedName name="_2d92d753_f6bf_4a5c_b057_9dc6f5816fb7">PaarLineToUpsert!$F$1</definedName>
    <definedName name="_2e0733e5_9f9a_4068_8140_d34067ae9602">PaarLineToUpsert!$V$1</definedName>
    <definedName name="_2f6b97be_955e_4555_b176_24eda76d7f6e">Modules!$D$3:$E$3</definedName>
    <definedName name="_2fdc3edb_3b18_4068_b529_5df0f3710fc1">PaarLineToUpsert!$AB$1</definedName>
    <definedName name="_36f9532d_a51f_4081_9b33_d12464ae83b3">PaarLineToUpsert!$T$1</definedName>
    <definedName name="_37f5b219_b7be_4068_92cf_9912ba353f53" comment="Display Map">Modules!$A$10:$L$28</definedName>
    <definedName name="_39458981_54f6_4afa_ad0b_1abb0155050c">Modules!$B$3</definedName>
    <definedName name="_3a17e598_913f_4164_9970_95748140b3f3">Modules!$A$11:$A$41</definedName>
    <definedName name="_3bced8e2_f8b6_4fbd_833e_c9cd21a3bbd8">Modules!$D$8</definedName>
    <definedName name="_3da31b3c_25c5_48fa_bc78_7a7c0afe5068">#REF!</definedName>
    <definedName name="_3ed08b87_0856_47c6_ac1b_a0f75fac0829">'Existing PAARLIne'!$B$1</definedName>
    <definedName name="_4165c931_ccea_48b3_b6b8_b79823fbb780">Modules!$A$41:$A$42</definedName>
    <definedName name="_42f04d30_cada_454c_b1b6_632a2aba90a2">Modules!$C$11:$C$217</definedName>
    <definedName name="_43011b08_5bec_4974_8f93_a93601785563">Modules!$H$4:$P$4</definedName>
    <definedName name="_43f42dc0_b49b_49bb_adf2_ff4aa3aeb9af">Modules!$A$11</definedName>
    <definedName name="_4674e4d5_5bf9_49ef_89e0_66eecaf67bfc">'Existing PAARLIne'!$G$1</definedName>
    <definedName name="_47248bf4_333e_4cf5_ab12_1664f6307394">Modules!$H$4</definedName>
    <definedName name="_4a840919_0905_4a1f_b4c7_fac45d99a9b3">PaarLineToUpsert!$R$1</definedName>
    <definedName name="_4b6deeee_22f4_4978_af46_2f3f3b997083">PaarLineToUpsert!$E$1</definedName>
    <definedName name="_4bdaa627_e613_4884_884e_9af563e81977">Interventions!$G$12</definedName>
    <definedName name="_4fcd4c75_0cb5_47e0_80dc_d4dc6d52d7ab">Modules!$F$11</definedName>
    <definedName name="_514f35f9_1e87_4a11_ae79_17984f0da986">Interventions!$F$12</definedName>
    <definedName name="_5252a73d_22e0_4a08_acbd_c5c7556fb6db">Modules!$J$11</definedName>
    <definedName name="_540f1fe9_0285_4ef3_81d9_5887d6ae37cb">Modules!$H$8</definedName>
    <definedName name="_5ac26222_addb_4436_bad3_43781c024c3c">#REF!</definedName>
    <definedName name="_5af35f97_4d7e_4e31_a529_293afd51e986">Modules!$C$7</definedName>
    <definedName name="_5c2decfc_19a2_4428_8964_baa83343b66f">Modules!$D$5</definedName>
    <definedName name="_616a9b6c_adcb_465e_9d12_aece5062f9ff">Modules!$B$7</definedName>
    <definedName name="_63a6d78c_0d06_428d_b1d8_7f467af58f32">PaarLineToUpsert!$N$1</definedName>
    <definedName name="_64dc2789_b7b2_449e_992a_7a5cefa1232a">#REF!</definedName>
    <definedName name="_6a4d5129_3c60_4b5c_99fa_99f187281ae6">PAAR!$O$28:$O$263</definedName>
    <definedName name="_6b76211a_eb2f_4df6_bf55_05a614445cfb">#REF!</definedName>
    <definedName name="_6b9feab1_8a4e_4def_b9ea_d11b120def49">PAAR!$P$29:$P$263</definedName>
    <definedName name="_6c64e49b_420c_49d6_91eb_6f53bed8c310">PaarLineToUpsert!$A$1</definedName>
    <definedName name="_6dc44a77_45e7_49e5_812b_475ed3e55a07">#REF!</definedName>
    <definedName name="_6e9e8a39_dee3_4e13_9c38_382ac0b3a8d9">#REF!</definedName>
    <definedName name="_6fab634e_ba2b_4907_88c0_020129f5d1d5">Modules!$G$4:$O$4</definedName>
    <definedName name="_6fb8cdbb_658c_42c9_baa9_287e8003cb95">Modules!$L$11</definedName>
    <definedName name="_720d31b9_1eed_4b0b_9a73_79810b734349">PaarLineToUpsert!$J$1</definedName>
    <definedName name="_735757ee_ca56_403a_ba6d_821953adfaa1">Interventions!$J$12</definedName>
    <definedName name="_73f03a02_08ee_43fe_bf22_aec38a69449f">#REF!</definedName>
    <definedName name="_76895d3d_8612_4598_992e_68a7a3b1bec0">'Existing PAARLIne'!$C$1</definedName>
    <definedName name="_77e8fde8_f32c_4bc9_9276_d7590ae5c138">PaarLineToUpsert!$P$1</definedName>
    <definedName name="_77efa5dd_9430_4266_9106_060c94e3525f">Modules!$D$7</definedName>
    <definedName name="_812dedd1_2c6c_4c44_8c10_33ccc07a0874">#REF!</definedName>
    <definedName name="_83b4b2b1_91da_4273_bb28_92579fd58b98" comment="Display Map">'Existing PAARLIne'!$A$1:$G$1</definedName>
    <definedName name="_84f4f1c9_46d9_4d50_a578_70a0e140218e">Interventions!$I$12</definedName>
    <definedName name="_8a19c987_bb5e_4dd5_b228_3f858988819f">Modules!$D$11:$D$217</definedName>
    <definedName name="_8a4875f0_12c9_4b27_9d65_fc9de4040357">Modules!$G$11</definedName>
    <definedName name="_8f344467_b212_4f30_865e_c1a9a47a40bc">Setup!#REF!</definedName>
    <definedName name="_90e46fc3_f809_4552_b375_91a622371daf">#REF!</definedName>
    <definedName name="_92fd79a5_236d_4c37_8d93_672656baa59d">Modules!$H$8</definedName>
    <definedName name="_9304c1bc_2668_4278_9e71_ddc6244bac56">#REF!</definedName>
    <definedName name="_94903140_df63_4838_b151_057f4b07305d">'Existing PAARLIne'!$A$1</definedName>
    <definedName name="_955d5dfa_899b_4044_bb68_9f852088faad">Modules!$C$11</definedName>
    <definedName name="_98683e66_00c0_4421_8d8e_08e5bd010020">PaarLineToUpsert!$G$1</definedName>
    <definedName name="_98e9a85d_eea9_4a6f_9d7b_2208ff60b346">Interventions!$K$12</definedName>
    <definedName name="_9b1a1afa_6ff0_4b63_99c7_81e1448db497">Interventions!$C$12</definedName>
    <definedName name="_9ba6467f_1a3c_46cc_8b00_e1d278f76930">#REF!</definedName>
    <definedName name="_9be834b4_a26b_4262_908b_a17288c66a03">Modules!$F$8</definedName>
    <definedName name="_9da8dd00_1f7a_4f7b_a91f_078e0576ce12">#REF!</definedName>
    <definedName name="_9dca9c75_8637_4106_a7b1_ad0381862a53">Modules!$B$11:$B$217</definedName>
    <definedName name="_9e96ca77_1790_44ec_a8d5_50df6a1f7de2">#REF!</definedName>
    <definedName name="_9fab802b_0c12_4609_9f3c_8910b7c9e5c8">Modules!$B$6</definedName>
    <definedName name="_a4dfd19b_fdd0_42da_b0cc_554867fbfe15">#REF!</definedName>
    <definedName name="_a675865b_d1cf_41a8_b436_12dfc45ca429">Modules!$H$3</definedName>
    <definedName name="_ae238f09_06b7_4710_962a_a5f6a9de8456">Modules!$H$3:$P$3</definedName>
    <definedName name="_af5011ab_4e53_4d71_affa_123aefec96be">#REF!</definedName>
    <definedName name="_b08a4c41_6e06_41b4_8de7_d7d4c4a5b0d0">Modules!$B$11:$B$41</definedName>
    <definedName name="_b1e6fc1c_8ed8_4170_9175_366ea26d1fbd">Modules!$A$30</definedName>
    <definedName name="_b49f5148_45f2_4444_969f_cb60a476e6aa">Modules!$D$4:$E$4</definedName>
    <definedName name="_b6a4f94b_ee15_4a63_8b89_d8440a33b91b">#REF!</definedName>
    <definedName name="_b8f2278a_3ec8_4112_a3eb_25ec845c7165">#REF!</definedName>
    <definedName name="_ba4716e8_d1f2_4b6f_a64b_6cd058691c18">Setup!$A$13</definedName>
    <definedName name="_bc7903d4_63ad_46e5_8193_415282ed7994">Interventions!$N$12</definedName>
    <definedName name="_bd1a71fb_21a6_4736_8941_5128f28a0c38">Modules!$B$2</definedName>
    <definedName name="_c33428e4_6095_46db_b4fd_df3facaf1c60">Modules!$C$41</definedName>
    <definedName name="_c42e2362_c27a_4990_84c5_bf06079e3898">Modules!$A$41</definedName>
    <definedName name="_c4b1b70f_1237_4bc6_aac4_6ff4977dfc62">'Existing PAARLIne'!$F$1</definedName>
    <definedName name="_c5cff771_23ab_44f7_9663_1de9c3739a86" comment="Save Map">#REF!</definedName>
    <definedName name="_cf51b15d_67aa_47fe_831c_8acb1e0e9d34">Modules!$F$8</definedName>
    <definedName name="_d0064c2b_0aeb_4816_8653_31fa97b5d2d5">#REF!</definedName>
    <definedName name="_d5b554a5_3731_48ea_93b6_8db7689f1201">#REF!</definedName>
    <definedName name="_d60c1176_8250_4608_ba63_a3aa2999088d" comment="Display Map">Interventions!$B$11:$N$104</definedName>
    <definedName name="_db4b1b89_8651_496d_8cb6_16c45a5d864e">#REF!</definedName>
    <definedName name="_dfdd069c_10df_4b39_b965_c3296140e6ef">#REF!</definedName>
    <definedName name="_e25ecbd0_9feb_4e3e_9eba_16e28d17c524">PaarLineToUpsert!$C$1</definedName>
    <definedName name="_e45597d6_9c00_43b4_ae77_a14c81a0440d">#REF!</definedName>
    <definedName name="_e4c8271d_d40f_4888_afea_cbecb5fefcf5">#REF!</definedName>
    <definedName name="_e61f5e65_2380_4c24_a2fc_986f3a3bdaa3">PaarLineToUpsert!$D$1</definedName>
    <definedName name="_e7531f29_fe42_42f2_b46f_bfe48c63b6bb">Modules!$D$6</definedName>
    <definedName name="_e7d4b179_9104_4315_9a8a_c820e3a6689e">#REF!</definedName>
    <definedName name="_f286ecd9_5053_4e73_b002_325ea2e11a14">PaarLineToUpsert!$L$1</definedName>
    <definedName name="_f6b2f159_6c81_4d6a_82a6_2d671899269c">Modules!$D$11</definedName>
    <definedName name="_fcb0a822_ddff_4280_a0bf_4334a6e3465f">PaarLineToUpsert!$O$1</definedName>
    <definedName name="_ffcb7369_0e6a_488d_b74d_d05766e525a6">PaarLineToUpsert!$H$1</definedName>
    <definedName name="_xlnm._FilterDatabase" localSheetId="2" hidden="1">'Anexo a la PAAR'!$A$1:$W$42</definedName>
    <definedName name="_xlnm._FilterDatabase" localSheetId="7" hidden="1">Modules!$C$10:$C$47</definedName>
    <definedName name="ADD_Intervention">OFFSET('Dropdown Data'!$P$6,MATCH(1,('Dropdown Data'!$N$7:$N$580=PAAR!$B$10)*('Dropdown Data'!$O$7:$O$580='Add Info-Info Supp-Info Ad'!$A1),0),0,COUNTIFS('Dropdown Data'!$N$7:$N$580,PAAR!$B$10,'Dropdown Data'!$O$7:$O$580,'Add Info-Info Supp-Info Ad'!$A1),1)</definedName>
    <definedName name="AIM_Funding_Request__c.AIM_Funding_Request_Currency__c">apttusmetadata!$AA$2:$AA$160</definedName>
    <definedName name="AIM_Funding_Request__c.AIM_TRP_Review_Outcome__c">apttusmetadata!$AB$2:$AB$4</definedName>
    <definedName name="Applicant_Priority_Rating">OFFSET(PAAR!$P27,-COUNTA('Existing PAARLIne'!$B$1:B120),)</definedName>
    <definedName name="_xlnm.Extract" localSheetId="7">Modules!$I$10:$I$143</definedName>
    <definedName name="_xlnm.Print_Area" localSheetId="6">'Add Info-Info Supp-Info Ad'!$A$1:$V$35</definedName>
    <definedName name="_xlnm.Print_Area" localSheetId="10">'Additional Info (EN)'!$A$1:$V$35</definedName>
    <definedName name="_xlnm.Print_Area" localSheetId="1">PAAR!$A$1:$H$118</definedName>
    <definedName name="_xlnm.Print_Area" localSheetId="9">'PAAR (EN)'!$A$1:$J$54</definedName>
    <definedName name="Brief_Rationale">OFFSET(PAAR!$H27,-COUNTA('Existing PAARLIne'!$B$1:B120),)</definedName>
    <definedName name="CostInput">OFFSET('[1]Data Sheet'!$G$255,1,0,MATCH(" ",'[1]Data Sheet'!$G$255:$G$336,-1)-1,1)</definedName>
    <definedName name="external_ID">OFFSET(PAAR!$O27,-moveReference,)</definedName>
    <definedName name="Intervention">OFFSET('Dropdown Data'!$P$6,MATCH(1,('Dropdown Data'!$N$7:$N$580=PAAR!$B$10)*('Dropdown Data'!$O$7:$O$580=PAAR!$B1),0),0,COUNTIFS('Dropdown Data'!$N$7:$N$580,PAAR!$B$10,'Dropdown Data'!$O$7:$O$580,PAAR!$B1),1)</definedName>
    <definedName name="InterventionNameList">Interventions!$M$12:INDEX(Interventions!$M$12:$M$105,SUMPRODUCT(--(Interventions!$M$12:$M2&lt;&gt;"")))</definedName>
    <definedName name="InterventionsDependentList">INDIRECT("Interventions!E"&amp;PAAR!S1 &amp; ":E" &amp;PAAR!T1)</definedName>
    <definedName name="InterventionsTranslate">IF(PAAR!$B$10 = 'Dropdown Data'!$F$7,Interventions!$B1,IF(PAAR!$B$10 = 'Dropdown Data'!$F$10,Interventions!$I1,IF(PAAR!$B$10 = 'Dropdown Data'!$F$13,Interventions!$J1,"")))</definedName>
    <definedName name="L1FR_PAAR_UQD_Intervention__c.L1FR_Applicant_Priority_Rating__c">apttusmetadata!$AD$2:$AD$4</definedName>
    <definedName name="L1FR_PAAR_UQD_Intervention__c.L1FR_Status__c">apttusmetadata!$AE$2:$AE$6</definedName>
    <definedName name="L1FR_PAAR_UQD_Intervention__c.L1FR_TRP_Priority__c">apttusmetadata!$AC$2:$AC$5</definedName>
    <definedName name="list">#REF!</definedName>
    <definedName name="Module">OFFSET('Dropdown Data'!$L$6,MATCH(1,('Dropdown Data'!$J$7:$J$322=PAAR!$B$10)*('Dropdown Data'!$K$7:$K$322=PAAR!$B$14),0),0,COUNTIFS('Dropdown Data'!$J$7:$J$322,PAAR!$B$10,'Dropdown Data'!$K$7:$K$322,PAAR!$B$14),1)</definedName>
    <definedName name="ModuleNameList">Modules!$I$11:INDEX(Modules!$I$11:$I$29,SUMPRODUCT(--(Modules!$I$11:$I$29&gt;""))-1)</definedName>
    <definedName name="moveReference">COUNTA('Existing PAARLIne'!$B$1:B120)</definedName>
    <definedName name="PICKLISTKEYVALUEPAIR">apttusmetadata!$Y$1:$Z$2</definedName>
    <definedName name="Record_ID">VLOOKUP(OFFSET(PAAR!$O27,-moveReference,),'Existing PAARLIne'!XEZ:XFB,2,0)</definedName>
    <definedName name="TranslatemoduleName">IF(PAAR!$B$10 = 'Dropdown Data'!$F$7,Modules!$E1,IF(PAAR!$B$10 = 'Dropdown Data'!$F$10,Modules!$F1,IF(PAAR!$B$10 = 'Dropdown Data'!$F$13,Modules!$G1,"")))</definedName>
    <definedName name="Translation__Brief_Rationale">OFFSET(PAAR!$I27,-moveReference,)</definedName>
    <definedName name="TRP_Notes">OFFSET(PAAR!$M27,-moveReference,)</definedName>
    <definedName name="XAuthorInvalidPicklistData">apttusmetadata!$B$1</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 i="15" l="1"/>
  <c r="P28" i="15"/>
  <c r="U29" i="15"/>
  <c r="P29" i="15"/>
  <c r="K29" i="15"/>
  <c r="K28" i="15"/>
  <c r="K30" i="15"/>
  <c r="U30" i="15"/>
  <c r="P30" i="15"/>
  <c r="V30" i="15" l="1"/>
  <c r="V29" i="15"/>
  <c r="V28" i="15"/>
  <c r="F33" i="1"/>
  <c r="U41" i="15"/>
  <c r="P41" i="15"/>
  <c r="K41" i="15"/>
  <c r="K40" i="15"/>
  <c r="V40" i="15" s="1"/>
  <c r="T39" i="15"/>
  <c r="U39" i="15" s="1"/>
  <c r="O39" i="15"/>
  <c r="P39" i="15" s="1"/>
  <c r="J39" i="15"/>
  <c r="K39" i="15" s="1"/>
  <c r="T38" i="15"/>
  <c r="U38" i="15" s="1"/>
  <c r="O38" i="15"/>
  <c r="P38" i="15" s="1"/>
  <c r="J38" i="15"/>
  <c r="T37" i="15"/>
  <c r="U37" i="15" s="1"/>
  <c r="O37" i="15"/>
  <c r="P37" i="15" s="1"/>
  <c r="J37" i="15"/>
  <c r="K37" i="15" s="1"/>
  <c r="U25" i="15"/>
  <c r="U26" i="15"/>
  <c r="U27" i="15"/>
  <c r="U31" i="15"/>
  <c r="U32" i="15"/>
  <c r="U34" i="15"/>
  <c r="U35" i="15"/>
  <c r="U36" i="15"/>
  <c r="P25" i="15"/>
  <c r="P26" i="15"/>
  <c r="P27" i="15"/>
  <c r="P31" i="15"/>
  <c r="P32" i="15"/>
  <c r="P34" i="15"/>
  <c r="P35" i="15"/>
  <c r="P36" i="15"/>
  <c r="K27" i="15"/>
  <c r="K31" i="15"/>
  <c r="K32" i="15"/>
  <c r="K34" i="15"/>
  <c r="K35" i="15"/>
  <c r="K36" i="15"/>
  <c r="K38" i="15"/>
  <c r="T33" i="15"/>
  <c r="U33" i="15" s="1"/>
  <c r="O33" i="15"/>
  <c r="P33" i="15" s="1"/>
  <c r="J33" i="15"/>
  <c r="K33" i="15" s="1"/>
  <c r="V31" i="15" l="1"/>
  <c r="V36" i="15"/>
  <c r="V41" i="15"/>
  <c r="V27" i="15"/>
  <c r="V39" i="15"/>
  <c r="V38" i="15"/>
  <c r="V37" i="15"/>
  <c r="V34" i="15"/>
  <c r="V32" i="15"/>
  <c r="V35" i="15"/>
  <c r="V33" i="15"/>
  <c r="P23" i="15"/>
  <c r="P24" i="15"/>
  <c r="P22" i="15"/>
  <c r="K17" i="15"/>
  <c r="K26" i="15"/>
  <c r="V26" i="15" s="1"/>
  <c r="K25" i="15"/>
  <c r="V25" i="15" s="1"/>
  <c r="K24" i="15"/>
  <c r="K23" i="15"/>
  <c r="K22" i="15"/>
  <c r="U22" i="15"/>
  <c r="U23" i="15"/>
  <c r="U24" i="15"/>
  <c r="U17" i="15"/>
  <c r="N17" i="15"/>
  <c r="V23" i="15" l="1"/>
  <c r="V22" i="15"/>
  <c r="P17" i="15"/>
  <c r="V24" i="15"/>
  <c r="V17" i="15" l="1"/>
  <c r="U21" i="15" l="1"/>
  <c r="V21" i="15" s="1"/>
  <c r="U19" i="15"/>
  <c r="P20" i="15"/>
  <c r="P19" i="15"/>
  <c r="P18" i="15"/>
  <c r="K20" i="15"/>
  <c r="K19" i="15"/>
  <c r="U11" i="15"/>
  <c r="U13" i="15"/>
  <c r="U15" i="15"/>
  <c r="P11" i="15"/>
  <c r="P13" i="15"/>
  <c r="P15" i="15"/>
  <c r="K11" i="15"/>
  <c r="K13" i="15"/>
  <c r="K15" i="15"/>
  <c r="K18" i="15"/>
  <c r="T9" i="15"/>
  <c r="U9" i="15" s="1"/>
  <c r="T8" i="15"/>
  <c r="U8" i="15" s="1"/>
  <c r="T7" i="15"/>
  <c r="U7" i="15" s="1"/>
  <c r="T6" i="15"/>
  <c r="U6" i="15" s="1"/>
  <c r="T5" i="15"/>
  <c r="U5" i="15" s="1"/>
  <c r="T4" i="15"/>
  <c r="U4" i="15" s="1"/>
  <c r="T3" i="15"/>
  <c r="U3" i="15" s="1"/>
  <c r="T2" i="15"/>
  <c r="T10" i="15" s="1"/>
  <c r="U10" i="15" s="1"/>
  <c r="O9" i="15"/>
  <c r="P9" i="15" s="1"/>
  <c r="O8" i="15"/>
  <c r="P8" i="15" s="1"/>
  <c r="O7" i="15"/>
  <c r="P7" i="15" s="1"/>
  <c r="O6" i="15"/>
  <c r="P6" i="15" s="1"/>
  <c r="O5" i="15"/>
  <c r="P5" i="15" s="1"/>
  <c r="O4" i="15"/>
  <c r="P4" i="15" s="1"/>
  <c r="O3" i="15"/>
  <c r="P3" i="15" s="1"/>
  <c r="O2" i="15"/>
  <c r="P2" i="15" s="1"/>
  <c r="J9" i="15"/>
  <c r="K9" i="15" s="1"/>
  <c r="J8" i="15"/>
  <c r="K8" i="15" s="1"/>
  <c r="J7" i="15"/>
  <c r="K7" i="15" s="1"/>
  <c r="J6" i="15"/>
  <c r="K6" i="15" s="1"/>
  <c r="J5" i="15"/>
  <c r="K5" i="15" s="1"/>
  <c r="J4" i="15"/>
  <c r="K4" i="15" s="1"/>
  <c r="J3" i="15"/>
  <c r="K3" i="15" s="1"/>
  <c r="J2" i="15"/>
  <c r="K2" i="15" s="1"/>
  <c r="U16" i="15"/>
  <c r="P16" i="15"/>
  <c r="K16" i="15"/>
  <c r="S14" i="15"/>
  <c r="U14" i="15" s="1"/>
  <c r="T12" i="15"/>
  <c r="U12" i="15" s="1"/>
  <c r="N14" i="15"/>
  <c r="P14" i="15" s="1"/>
  <c r="O12" i="15"/>
  <c r="P12" i="15" s="1"/>
  <c r="J12" i="15"/>
  <c r="K12" i="15" s="1"/>
  <c r="I14" i="15"/>
  <c r="K14" i="15" s="1"/>
  <c r="V20" i="15" l="1"/>
  <c r="O10" i="15"/>
  <c r="P10" i="15" s="1"/>
  <c r="P44" i="15" s="1"/>
  <c r="U2" i="15"/>
  <c r="J10" i="15"/>
  <c r="K10" i="15" s="1"/>
  <c r="K44" i="15" s="1"/>
  <c r="V12" i="15"/>
  <c r="V19" i="15"/>
  <c r="V13" i="15"/>
  <c r="V8" i="15"/>
  <c r="V15" i="15"/>
  <c r="V11" i="15"/>
  <c r="V18" i="15"/>
  <c r="V4" i="15"/>
  <c r="V7" i="15"/>
  <c r="V3" i="15"/>
  <c r="V9" i="15"/>
  <c r="V5" i="15"/>
  <c r="V14" i="15"/>
  <c r="V6" i="15"/>
  <c r="V16" i="15"/>
  <c r="V2" i="15" l="1"/>
  <c r="U44" i="15"/>
  <c r="V10" i="15"/>
  <c r="V44" i="15" l="1"/>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6" i="9"/>
  <c r="E22" i="9"/>
  <c r="E21" i="9"/>
  <c r="E18" i="9"/>
  <c r="E14" i="9"/>
  <c r="E13" i="9"/>
  <c r="K28" i="6"/>
  <c r="K27" i="6"/>
  <c r="K26" i="6"/>
  <c r="K25" i="6"/>
  <c r="K24" i="6"/>
  <c r="K23" i="6"/>
  <c r="K22" i="6"/>
  <c r="K21" i="6"/>
  <c r="K20" i="6"/>
  <c r="K19" i="6"/>
  <c r="K18" i="6"/>
  <c r="K17" i="6"/>
  <c r="K16" i="6"/>
  <c r="K15" i="6"/>
  <c r="K14" i="6"/>
  <c r="K13" i="6"/>
  <c r="K12" i="6"/>
  <c r="E28" i="6"/>
  <c r="E28" i="9" s="1"/>
  <c r="E27" i="6"/>
  <c r="E27" i="9" s="1"/>
  <c r="E26" i="6"/>
  <c r="E25" i="6"/>
  <c r="E25" i="9" s="1"/>
  <c r="E24" i="6"/>
  <c r="C24" i="6" s="1"/>
  <c r="E23" i="6"/>
  <c r="C23" i="6" s="1"/>
  <c r="E22" i="6"/>
  <c r="E21" i="6"/>
  <c r="C21" i="6" s="1"/>
  <c r="E20" i="6"/>
  <c r="E20" i="9" s="1"/>
  <c r="E19" i="6"/>
  <c r="E19" i="9" s="1"/>
  <c r="E18" i="6"/>
  <c r="E17" i="6"/>
  <c r="E17" i="9" s="1"/>
  <c r="E16" i="6"/>
  <c r="E16" i="9" s="1"/>
  <c r="E15" i="6"/>
  <c r="E15" i="9" s="1"/>
  <c r="E14" i="6"/>
  <c r="E13" i="6"/>
  <c r="C13" i="6" s="1"/>
  <c r="E12" i="6"/>
  <c r="C12" i="6" s="1"/>
  <c r="C27" i="6"/>
  <c r="C26" i="6"/>
  <c r="C25" i="6"/>
  <c r="C22" i="6"/>
  <c r="C20" i="6"/>
  <c r="C19" i="6"/>
  <c r="C18" i="6"/>
  <c r="C17" i="6"/>
  <c r="C16" i="6"/>
  <c r="C15" i="6"/>
  <c r="C14" i="6"/>
  <c r="E24" i="9" l="1"/>
  <c r="C28" i="6"/>
  <c r="E23" i="9"/>
  <c r="X1" i="11"/>
  <c r="H7" i="6" l="1"/>
  <c r="AB2" i="11" s="1"/>
  <c r="A21" i="1" l="1"/>
  <c r="A1" i="13"/>
  <c r="O37" i="1" l="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L12" i="9" l="1"/>
  <c r="J2" i="11"/>
  <c r="K11" i="6" l="1"/>
  <c r="Q30" i="1" l="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29" i="1"/>
  <c r="A18" i="1" l="1"/>
  <c r="A17" i="1" l="1"/>
  <c r="A30" i="6" l="1"/>
  <c r="E2" i="11" l="1"/>
  <c r="A2" i="11" l="1"/>
  <c r="G30" i="1" l="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29" i="1"/>
  <c r="B5" i="6"/>
  <c r="L117" i="1" l="1"/>
  <c r="B18" i="1" l="1"/>
  <c r="M11" i="9" l="1"/>
  <c r="E12" i="9" l="1"/>
  <c r="N41" i="1" l="1"/>
  <c r="N42" i="1"/>
  <c r="N46" i="1"/>
  <c r="N50" i="1"/>
  <c r="N54" i="1"/>
  <c r="N58" i="1"/>
  <c r="N62" i="1"/>
  <c r="N66" i="1"/>
  <c r="N70" i="1"/>
  <c r="N74" i="1"/>
  <c r="N78" i="1"/>
  <c r="N82" i="1"/>
  <c r="N86" i="1"/>
  <c r="N90" i="1"/>
  <c r="N94" i="1"/>
  <c r="N98" i="1"/>
  <c r="N102" i="1"/>
  <c r="N106" i="1"/>
  <c r="N110" i="1"/>
  <c r="N114" i="1"/>
  <c r="N49" i="1"/>
  <c r="N57" i="1"/>
  <c r="N65" i="1"/>
  <c r="N77" i="1"/>
  <c r="N89" i="1"/>
  <c r="N101" i="1"/>
  <c r="N113" i="1"/>
  <c r="N43" i="1"/>
  <c r="N47" i="1"/>
  <c r="N51" i="1"/>
  <c r="N55" i="1"/>
  <c r="N59" i="1"/>
  <c r="N63" i="1"/>
  <c r="N67" i="1"/>
  <c r="N71" i="1"/>
  <c r="N75" i="1"/>
  <c r="N79" i="1"/>
  <c r="N83" i="1"/>
  <c r="N87" i="1"/>
  <c r="N91" i="1"/>
  <c r="N95" i="1"/>
  <c r="N99" i="1"/>
  <c r="N103" i="1"/>
  <c r="N107" i="1"/>
  <c r="N111" i="1"/>
  <c r="N115" i="1"/>
  <c r="N53" i="1"/>
  <c r="N61" i="1"/>
  <c r="N69" i="1"/>
  <c r="N81" i="1"/>
  <c r="N93" i="1"/>
  <c r="N105" i="1"/>
  <c r="N44" i="1"/>
  <c r="N48" i="1"/>
  <c r="N52" i="1"/>
  <c r="N56" i="1"/>
  <c r="N60" i="1"/>
  <c r="N64" i="1"/>
  <c r="N68" i="1"/>
  <c r="N72" i="1"/>
  <c r="N76" i="1"/>
  <c r="N80" i="1"/>
  <c r="N84" i="1"/>
  <c r="N88" i="1"/>
  <c r="N92" i="1"/>
  <c r="N96" i="1"/>
  <c r="N100" i="1"/>
  <c r="N104" i="1"/>
  <c r="N108" i="1"/>
  <c r="N112" i="1"/>
  <c r="N116" i="1"/>
  <c r="N45" i="1"/>
  <c r="N73" i="1"/>
  <c r="N85" i="1"/>
  <c r="N97" i="1"/>
  <c r="N109" i="1"/>
  <c r="E33" i="1"/>
  <c r="E37" i="1"/>
  <c r="E41" i="1"/>
  <c r="E45" i="1"/>
  <c r="E49" i="1"/>
  <c r="E53" i="1"/>
  <c r="E57" i="1"/>
  <c r="E61" i="1"/>
  <c r="E65" i="1"/>
  <c r="E69" i="1"/>
  <c r="E73" i="1"/>
  <c r="E77" i="1"/>
  <c r="E81" i="1"/>
  <c r="E85" i="1"/>
  <c r="E89" i="1"/>
  <c r="E93" i="1"/>
  <c r="E97" i="1"/>
  <c r="E101" i="1"/>
  <c r="E105" i="1"/>
  <c r="E109" i="1"/>
  <c r="E113" i="1"/>
  <c r="E29" i="1"/>
  <c r="E30" i="1"/>
  <c r="E34" i="1"/>
  <c r="E38" i="1"/>
  <c r="E42" i="1"/>
  <c r="E46" i="1"/>
  <c r="E50" i="1"/>
  <c r="E54" i="1"/>
  <c r="E58" i="1"/>
  <c r="E62" i="1"/>
  <c r="E66" i="1"/>
  <c r="E70" i="1"/>
  <c r="E74" i="1"/>
  <c r="E78" i="1"/>
  <c r="E82" i="1"/>
  <c r="E86" i="1"/>
  <c r="E90" i="1"/>
  <c r="E94" i="1"/>
  <c r="E98" i="1"/>
  <c r="E102" i="1"/>
  <c r="E106" i="1"/>
  <c r="E110" i="1"/>
  <c r="E114" i="1"/>
  <c r="E31" i="1"/>
  <c r="E35" i="1"/>
  <c r="E39" i="1"/>
  <c r="E43" i="1"/>
  <c r="E47" i="1"/>
  <c r="E51" i="1"/>
  <c r="E55" i="1"/>
  <c r="E59" i="1"/>
  <c r="E63" i="1"/>
  <c r="E67" i="1"/>
  <c r="E71" i="1"/>
  <c r="E75" i="1"/>
  <c r="E79" i="1"/>
  <c r="E83" i="1"/>
  <c r="E87" i="1"/>
  <c r="E91" i="1"/>
  <c r="E95" i="1"/>
  <c r="E99" i="1"/>
  <c r="E103" i="1"/>
  <c r="E107" i="1"/>
  <c r="E111" i="1"/>
  <c r="E115" i="1"/>
  <c r="E104" i="1"/>
  <c r="E112" i="1"/>
  <c r="E32" i="1"/>
  <c r="E36" i="1"/>
  <c r="E40" i="1"/>
  <c r="E44" i="1"/>
  <c r="E48" i="1"/>
  <c r="E52" i="1"/>
  <c r="E56" i="1"/>
  <c r="E60" i="1"/>
  <c r="E64" i="1"/>
  <c r="E68" i="1"/>
  <c r="E72" i="1"/>
  <c r="E76" i="1"/>
  <c r="E80" i="1"/>
  <c r="E84" i="1"/>
  <c r="E88" i="1"/>
  <c r="E92" i="1"/>
  <c r="E96" i="1"/>
  <c r="E100" i="1"/>
  <c r="E108" i="1"/>
  <c r="E116" i="1"/>
  <c r="F117" i="1"/>
  <c r="B17" i="1" s="1"/>
  <c r="S44" i="1" l="1"/>
  <c r="S48" i="1"/>
  <c r="S52" i="1"/>
  <c r="S56" i="1"/>
  <c r="S60" i="1"/>
  <c r="S64" i="1"/>
  <c r="S68" i="1"/>
  <c r="S72" i="1"/>
  <c r="S76" i="1"/>
  <c r="S80" i="1"/>
  <c r="S84" i="1"/>
  <c r="S88" i="1"/>
  <c r="S92" i="1"/>
  <c r="S96" i="1"/>
  <c r="S100" i="1"/>
  <c r="S104" i="1"/>
  <c r="S108" i="1"/>
  <c r="S112" i="1"/>
  <c r="S116" i="1"/>
  <c r="S51" i="1"/>
  <c r="S63" i="1"/>
  <c r="S75" i="1"/>
  <c r="S95" i="1"/>
  <c r="S107" i="1"/>
  <c r="S41" i="1"/>
  <c r="S45" i="1"/>
  <c r="S49" i="1"/>
  <c r="S53" i="1"/>
  <c r="S57" i="1"/>
  <c r="S61" i="1"/>
  <c r="S65" i="1"/>
  <c r="S69" i="1"/>
  <c r="S73" i="1"/>
  <c r="S77" i="1"/>
  <c r="S81" i="1"/>
  <c r="S85" i="1"/>
  <c r="S89" i="1"/>
  <c r="S93" i="1"/>
  <c r="S97" i="1"/>
  <c r="S101" i="1"/>
  <c r="S105" i="1"/>
  <c r="S109" i="1"/>
  <c r="S113" i="1"/>
  <c r="S43" i="1"/>
  <c r="S59" i="1"/>
  <c r="S71" i="1"/>
  <c r="S79" i="1"/>
  <c r="S91" i="1"/>
  <c r="S103" i="1"/>
  <c r="S115" i="1"/>
  <c r="S42" i="1"/>
  <c r="S46" i="1"/>
  <c r="S50" i="1"/>
  <c r="S54" i="1"/>
  <c r="S58" i="1"/>
  <c r="S62" i="1"/>
  <c r="S66" i="1"/>
  <c r="S70" i="1"/>
  <c r="S74" i="1"/>
  <c r="S78" i="1"/>
  <c r="S82" i="1"/>
  <c r="S86" i="1"/>
  <c r="S90" i="1"/>
  <c r="S94" i="1"/>
  <c r="S98" i="1"/>
  <c r="S102" i="1"/>
  <c r="S106" i="1"/>
  <c r="S110" i="1"/>
  <c r="S114" i="1"/>
  <c r="S47" i="1"/>
  <c r="S55" i="1"/>
  <c r="S67" i="1"/>
  <c r="S83" i="1"/>
  <c r="S87" i="1"/>
  <c r="S99" i="1"/>
  <c r="S111" i="1"/>
  <c r="L2" i="11"/>
  <c r="S29" i="1" l="1"/>
  <c r="S30" i="1"/>
  <c r="S31" i="1"/>
  <c r="S32" i="1"/>
  <c r="S33" i="1"/>
  <c r="S34" i="1"/>
  <c r="S35" i="1"/>
  <c r="S36" i="1"/>
  <c r="S37" i="1"/>
  <c r="S38" i="1"/>
  <c r="S39" i="1"/>
  <c r="S40" i="1"/>
  <c r="G117" i="1" l="1"/>
  <c r="F2" i="6" l="1"/>
  <c r="V2" i="11" l="1"/>
  <c r="H4" i="6" l="1"/>
  <c r="I3" i="6" s="1"/>
  <c r="I4" i="6" l="1"/>
  <c r="J3" i="6" s="1"/>
  <c r="J4" i="6" s="1"/>
  <c r="K3" i="6" s="1"/>
  <c r="K4" i="6" s="1"/>
  <c r="L3" i="6" s="1"/>
  <c r="L4" i="6" s="1"/>
  <c r="N2" i="11" l="1"/>
  <c r="M3" i="6" l="1"/>
  <c r="M4" i="6" s="1"/>
  <c r="H2" i="11"/>
  <c r="N3" i="6" l="1"/>
  <c r="N4" i="6" s="1"/>
  <c r="O3" i="6" l="1"/>
  <c r="O4" i="6" l="1"/>
  <c r="P3" i="6" s="1"/>
  <c r="P4" i="6" s="1"/>
  <c r="G2" i="11"/>
  <c r="Y1" i="11" s="1"/>
  <c r="Z1" i="11" s="1"/>
  <c r="O2" i="11" l="1"/>
  <c r="B8" i="6" l="1"/>
  <c r="N30" i="1" l="1"/>
  <c r="O30" i="1" s="1"/>
  <c r="N34" i="1"/>
  <c r="O34" i="1" s="1"/>
  <c r="N38" i="1"/>
  <c r="N31" i="1"/>
  <c r="O31" i="1" s="1"/>
  <c r="N35" i="1"/>
  <c r="O35" i="1" s="1"/>
  <c r="N39" i="1"/>
  <c r="N29" i="1"/>
  <c r="O29" i="1" s="1"/>
  <c r="N33" i="1"/>
  <c r="O33" i="1" s="1"/>
  <c r="N32" i="1"/>
  <c r="O32" i="1" s="1"/>
  <c r="N36" i="1"/>
  <c r="O36" i="1" s="1"/>
  <c r="N40" i="1"/>
  <c r="N37" i="1"/>
  <c r="B28" i="1"/>
  <c r="A28" i="1"/>
  <c r="M28" i="1" l="1"/>
  <c r="D2" i="11" s="1"/>
  <c r="J28" i="1"/>
  <c r="L28" i="1"/>
  <c r="P2" i="11" s="1"/>
  <c r="T2" i="11" s="1"/>
  <c r="K28" i="1"/>
  <c r="I28" i="1"/>
  <c r="C2" i="11" s="1"/>
  <c r="H28" i="1"/>
  <c r="B2" i="11" s="1"/>
  <c r="G28" i="1"/>
  <c r="R2" i="11" s="1"/>
  <c r="F28" i="1" l="1"/>
  <c r="D28" i="1"/>
  <c r="A13" i="1" l="1"/>
  <c r="B13" i="1" l="1"/>
  <c r="E11" i="6" l="1"/>
  <c r="C11" i="6" l="1"/>
  <c r="U30" i="1"/>
  <c r="U34" i="1"/>
  <c r="U38" i="1"/>
  <c r="U42" i="1"/>
  <c r="U46" i="1"/>
  <c r="U50" i="1"/>
  <c r="U54" i="1"/>
  <c r="U58" i="1"/>
  <c r="U62" i="1"/>
  <c r="U66" i="1"/>
  <c r="U70" i="1"/>
  <c r="U74" i="1"/>
  <c r="U78" i="1"/>
  <c r="U82" i="1"/>
  <c r="U86" i="1"/>
  <c r="U90" i="1"/>
  <c r="U94" i="1"/>
  <c r="U98" i="1"/>
  <c r="U102" i="1"/>
  <c r="U106" i="1"/>
  <c r="U110" i="1"/>
  <c r="U114" i="1"/>
  <c r="U91" i="1"/>
  <c r="U99" i="1"/>
  <c r="U103" i="1"/>
  <c r="U111" i="1"/>
  <c r="U115" i="1"/>
  <c r="U61" i="1"/>
  <c r="U69" i="1"/>
  <c r="U81" i="1"/>
  <c r="U89" i="1"/>
  <c r="U101" i="1"/>
  <c r="U109" i="1"/>
  <c r="U31" i="1"/>
  <c r="U35" i="1"/>
  <c r="U39" i="1"/>
  <c r="U43" i="1"/>
  <c r="U47" i="1"/>
  <c r="U51" i="1"/>
  <c r="U55" i="1"/>
  <c r="U59" i="1"/>
  <c r="U63" i="1"/>
  <c r="U67" i="1"/>
  <c r="U71" i="1"/>
  <c r="U75" i="1"/>
  <c r="U79" i="1"/>
  <c r="U83" i="1"/>
  <c r="U87" i="1"/>
  <c r="U95" i="1"/>
  <c r="U107" i="1"/>
  <c r="U53" i="1"/>
  <c r="U73" i="1"/>
  <c r="U93" i="1"/>
  <c r="U113" i="1"/>
  <c r="U32" i="1"/>
  <c r="U36" i="1"/>
  <c r="U40" i="1"/>
  <c r="U44" i="1"/>
  <c r="U48" i="1"/>
  <c r="U52" i="1"/>
  <c r="U56" i="1"/>
  <c r="U60" i="1"/>
  <c r="U64" i="1"/>
  <c r="U68" i="1"/>
  <c r="U72" i="1"/>
  <c r="U76" i="1"/>
  <c r="U80" i="1"/>
  <c r="U84" i="1"/>
  <c r="U88" i="1"/>
  <c r="U92" i="1"/>
  <c r="U96" i="1"/>
  <c r="U100" i="1"/>
  <c r="U104" i="1"/>
  <c r="U108" i="1"/>
  <c r="U112" i="1"/>
  <c r="U116" i="1"/>
  <c r="U33" i="1"/>
  <c r="U37" i="1"/>
  <c r="U41" i="1"/>
  <c r="U45" i="1"/>
  <c r="U49" i="1"/>
  <c r="U57" i="1"/>
  <c r="U65" i="1"/>
  <c r="U77" i="1"/>
  <c r="U85" i="1"/>
  <c r="U97" i="1"/>
  <c r="U105" i="1"/>
  <c r="U29" i="1"/>
  <c r="C37" i="1"/>
  <c r="T37" i="1" s="1"/>
  <c r="C34" i="1"/>
  <c r="T34" i="1" s="1"/>
  <c r="C35" i="1"/>
  <c r="T35" i="1" s="1"/>
  <c r="C29" i="1"/>
  <c r="T29" i="1" s="1"/>
  <c r="C36" i="1"/>
  <c r="T36" i="1" s="1"/>
  <c r="B1" i="8"/>
  <c r="C32" i="1" l="1"/>
  <c r="T32" i="1" s="1"/>
  <c r="C33" i="1"/>
  <c r="T33" i="1" s="1"/>
  <c r="C40" i="1"/>
  <c r="T40" i="1" s="1"/>
  <c r="I10" i="6"/>
  <c r="C42" i="1"/>
  <c r="T42" i="1" s="1"/>
  <c r="C46" i="1"/>
  <c r="T46" i="1" s="1"/>
  <c r="C50" i="1"/>
  <c r="T50" i="1" s="1"/>
  <c r="C54" i="1"/>
  <c r="T54" i="1" s="1"/>
  <c r="C58" i="1"/>
  <c r="T58" i="1" s="1"/>
  <c r="C62" i="1"/>
  <c r="T62" i="1" s="1"/>
  <c r="C66" i="1"/>
  <c r="T66" i="1" s="1"/>
  <c r="C70" i="1"/>
  <c r="T70" i="1" s="1"/>
  <c r="C74" i="1"/>
  <c r="T74" i="1" s="1"/>
  <c r="C78" i="1"/>
  <c r="T78" i="1" s="1"/>
  <c r="C82" i="1"/>
  <c r="T82" i="1" s="1"/>
  <c r="C86" i="1"/>
  <c r="T86" i="1" s="1"/>
  <c r="C90" i="1"/>
  <c r="T90" i="1" s="1"/>
  <c r="C94" i="1"/>
  <c r="T94" i="1" s="1"/>
  <c r="C98" i="1"/>
  <c r="T98" i="1" s="1"/>
  <c r="C102" i="1"/>
  <c r="T102" i="1" s="1"/>
  <c r="C106" i="1"/>
  <c r="T106" i="1" s="1"/>
  <c r="C110" i="1"/>
  <c r="T110" i="1" s="1"/>
  <c r="C114" i="1"/>
  <c r="T114" i="1" s="1"/>
  <c r="C49" i="1"/>
  <c r="T49" i="1" s="1"/>
  <c r="C61" i="1"/>
  <c r="T61" i="1" s="1"/>
  <c r="C73" i="1"/>
  <c r="T73" i="1" s="1"/>
  <c r="C89" i="1"/>
  <c r="T89" i="1" s="1"/>
  <c r="C97" i="1"/>
  <c r="T97" i="1" s="1"/>
  <c r="C113" i="1"/>
  <c r="T113" i="1" s="1"/>
  <c r="C43" i="1"/>
  <c r="T43" i="1" s="1"/>
  <c r="C47" i="1"/>
  <c r="T47" i="1" s="1"/>
  <c r="C51" i="1"/>
  <c r="T51" i="1" s="1"/>
  <c r="C55" i="1"/>
  <c r="T55" i="1" s="1"/>
  <c r="C59" i="1"/>
  <c r="T59" i="1" s="1"/>
  <c r="C63" i="1"/>
  <c r="T63" i="1" s="1"/>
  <c r="C67" i="1"/>
  <c r="T67" i="1" s="1"/>
  <c r="C71" i="1"/>
  <c r="T71" i="1" s="1"/>
  <c r="C75" i="1"/>
  <c r="T75" i="1" s="1"/>
  <c r="C79" i="1"/>
  <c r="T79" i="1" s="1"/>
  <c r="C83" i="1"/>
  <c r="T83" i="1" s="1"/>
  <c r="C87" i="1"/>
  <c r="T87" i="1" s="1"/>
  <c r="C91" i="1"/>
  <c r="T91" i="1" s="1"/>
  <c r="C95" i="1"/>
  <c r="T95" i="1" s="1"/>
  <c r="C99" i="1"/>
  <c r="T99" i="1" s="1"/>
  <c r="C103" i="1"/>
  <c r="T103" i="1" s="1"/>
  <c r="C107" i="1"/>
  <c r="T107" i="1" s="1"/>
  <c r="C111" i="1"/>
  <c r="T111" i="1" s="1"/>
  <c r="C115" i="1"/>
  <c r="T115" i="1" s="1"/>
  <c r="C41" i="1"/>
  <c r="T41" i="1" s="1"/>
  <c r="C53" i="1"/>
  <c r="T53" i="1" s="1"/>
  <c r="C65" i="1"/>
  <c r="T65" i="1" s="1"/>
  <c r="C77" i="1"/>
  <c r="T77" i="1" s="1"/>
  <c r="C85" i="1"/>
  <c r="T85" i="1" s="1"/>
  <c r="C101" i="1"/>
  <c r="T101" i="1" s="1"/>
  <c r="C109" i="1"/>
  <c r="T109" i="1" s="1"/>
  <c r="C44" i="1"/>
  <c r="T44" i="1" s="1"/>
  <c r="C48" i="1"/>
  <c r="T48" i="1" s="1"/>
  <c r="C52" i="1"/>
  <c r="T52" i="1" s="1"/>
  <c r="C56" i="1"/>
  <c r="T56" i="1" s="1"/>
  <c r="C60" i="1"/>
  <c r="T60" i="1" s="1"/>
  <c r="C64" i="1"/>
  <c r="T64" i="1" s="1"/>
  <c r="C68" i="1"/>
  <c r="T68" i="1" s="1"/>
  <c r="C72" i="1"/>
  <c r="T72" i="1" s="1"/>
  <c r="C76" i="1"/>
  <c r="T76" i="1" s="1"/>
  <c r="C80" i="1"/>
  <c r="T80" i="1" s="1"/>
  <c r="C84" i="1"/>
  <c r="T84" i="1" s="1"/>
  <c r="C88" i="1"/>
  <c r="T88" i="1" s="1"/>
  <c r="C92" i="1"/>
  <c r="T92" i="1" s="1"/>
  <c r="C96" i="1"/>
  <c r="T96" i="1" s="1"/>
  <c r="C100" i="1"/>
  <c r="T100" i="1" s="1"/>
  <c r="C104" i="1"/>
  <c r="T104" i="1" s="1"/>
  <c r="C108" i="1"/>
  <c r="T108" i="1" s="1"/>
  <c r="C112" i="1"/>
  <c r="T112" i="1" s="1"/>
  <c r="C116" i="1"/>
  <c r="T116" i="1" s="1"/>
  <c r="C45" i="1"/>
  <c r="T45" i="1" s="1"/>
  <c r="C57" i="1"/>
  <c r="T57" i="1" s="1"/>
  <c r="C69" i="1"/>
  <c r="T69" i="1" s="1"/>
  <c r="C81" i="1"/>
  <c r="T81" i="1" s="1"/>
  <c r="C93" i="1"/>
  <c r="T93" i="1" s="1"/>
  <c r="C105" i="1"/>
  <c r="T105" i="1" s="1"/>
  <c r="C31" i="1"/>
  <c r="T31" i="1" s="1"/>
  <c r="C39" i="1"/>
  <c r="T39" i="1" s="1"/>
  <c r="C38" i="1"/>
  <c r="T38" i="1" s="1"/>
  <c r="C30" i="1"/>
  <c r="T30" i="1" s="1"/>
  <c r="W64" i="1"/>
  <c r="V64" i="1"/>
  <c r="W59" i="1"/>
  <c r="V59" i="1"/>
  <c r="W85" i="1"/>
  <c r="V85" i="1"/>
  <c r="W90" i="1"/>
  <c r="V90" i="1"/>
  <c r="W73" i="1"/>
  <c r="V73" i="1"/>
  <c r="W71" i="1"/>
  <c r="V71" i="1"/>
  <c r="V45" i="1"/>
  <c r="W45" i="1"/>
  <c r="W86" i="1"/>
  <c r="V86" i="1"/>
  <c r="W38" i="1"/>
  <c r="V38" i="1"/>
  <c r="W113" i="1"/>
  <c r="V113" i="1"/>
  <c r="W49" i="1"/>
  <c r="V49" i="1"/>
  <c r="W36" i="1"/>
  <c r="V36" i="1"/>
  <c r="W91" i="1"/>
  <c r="V91" i="1"/>
  <c r="V29" i="1"/>
  <c r="W29" i="1"/>
  <c r="W112" i="1"/>
  <c r="V112" i="1"/>
  <c r="W52" i="1"/>
  <c r="V52" i="1"/>
  <c r="W74" i="1"/>
  <c r="V74" i="1"/>
  <c r="W42" i="1"/>
  <c r="V42" i="1"/>
  <c r="W92" i="1"/>
  <c r="V92" i="1"/>
  <c r="W32" i="1"/>
  <c r="V32" i="1"/>
  <c r="W103" i="1"/>
  <c r="V103" i="1"/>
  <c r="W55" i="1"/>
  <c r="V55" i="1"/>
  <c r="V109" i="1"/>
  <c r="W109" i="1"/>
  <c r="W104" i="1"/>
  <c r="V104" i="1"/>
  <c r="W40" i="1"/>
  <c r="V40" i="1"/>
  <c r="W102" i="1"/>
  <c r="V102" i="1"/>
  <c r="W70" i="1"/>
  <c r="V70" i="1"/>
  <c r="W54" i="1"/>
  <c r="V54" i="1"/>
  <c r="W97" i="1"/>
  <c r="V97" i="1"/>
  <c r="V61" i="1"/>
  <c r="W61" i="1"/>
  <c r="W116" i="1"/>
  <c r="V116" i="1"/>
  <c r="W84" i="1"/>
  <c r="V84" i="1"/>
  <c r="W48" i="1"/>
  <c r="V48" i="1"/>
  <c r="W115" i="1"/>
  <c r="V115" i="1"/>
  <c r="W99" i="1"/>
  <c r="V99" i="1"/>
  <c r="W83" i="1"/>
  <c r="V83" i="1"/>
  <c r="W67" i="1"/>
  <c r="V67" i="1"/>
  <c r="W51" i="1"/>
  <c r="V51" i="1"/>
  <c r="W35" i="1"/>
  <c r="V35" i="1"/>
  <c r="W101" i="1"/>
  <c r="V101" i="1"/>
  <c r="W69" i="1"/>
  <c r="V69" i="1"/>
  <c r="W41" i="1"/>
  <c r="V41" i="1"/>
  <c r="W96" i="1"/>
  <c r="V96" i="1"/>
  <c r="W68" i="1"/>
  <c r="V68" i="1"/>
  <c r="W114" i="1"/>
  <c r="V114" i="1"/>
  <c r="W98" i="1"/>
  <c r="V98" i="1"/>
  <c r="W82" i="1"/>
  <c r="V82" i="1"/>
  <c r="W66" i="1"/>
  <c r="V66" i="1"/>
  <c r="W50" i="1"/>
  <c r="V50" i="1"/>
  <c r="W34" i="1"/>
  <c r="V34" i="1"/>
  <c r="W81" i="1"/>
  <c r="V81" i="1"/>
  <c r="W100" i="1"/>
  <c r="V100" i="1"/>
  <c r="W107" i="1"/>
  <c r="V107" i="1"/>
  <c r="W75" i="1"/>
  <c r="V75" i="1"/>
  <c r="W43" i="1"/>
  <c r="V43" i="1"/>
  <c r="W53" i="1"/>
  <c r="V53" i="1"/>
  <c r="W80" i="1"/>
  <c r="V80" i="1"/>
  <c r="W106" i="1"/>
  <c r="V106" i="1"/>
  <c r="W58" i="1"/>
  <c r="V58" i="1"/>
  <c r="W105" i="1"/>
  <c r="V105" i="1"/>
  <c r="W37" i="1"/>
  <c r="V37" i="1"/>
  <c r="W56" i="1"/>
  <c r="V56" i="1"/>
  <c r="W87" i="1"/>
  <c r="V87" i="1"/>
  <c r="W39" i="1"/>
  <c r="V39" i="1"/>
  <c r="V77" i="1"/>
  <c r="W77" i="1"/>
  <c r="W72" i="1"/>
  <c r="V72" i="1"/>
  <c r="W89" i="1"/>
  <c r="V89" i="1"/>
  <c r="W57" i="1"/>
  <c r="V57" i="1"/>
  <c r="W108" i="1"/>
  <c r="V108" i="1"/>
  <c r="W76" i="1"/>
  <c r="V76" i="1"/>
  <c r="W44" i="1"/>
  <c r="V44" i="1"/>
  <c r="W111" i="1"/>
  <c r="V111" i="1"/>
  <c r="W95" i="1"/>
  <c r="V95" i="1"/>
  <c r="W79" i="1"/>
  <c r="V79" i="1"/>
  <c r="W63" i="1"/>
  <c r="V63" i="1"/>
  <c r="W47" i="1"/>
  <c r="V47" i="1"/>
  <c r="W31" i="1"/>
  <c r="V31" i="1"/>
  <c r="V93" i="1"/>
  <c r="W93" i="1"/>
  <c r="W65" i="1"/>
  <c r="V65" i="1"/>
  <c r="W33" i="1"/>
  <c r="V33" i="1"/>
  <c r="W88" i="1"/>
  <c r="V88" i="1"/>
  <c r="W60" i="1"/>
  <c r="V60" i="1"/>
  <c r="W110" i="1"/>
  <c r="V110" i="1"/>
  <c r="W94" i="1"/>
  <c r="V94" i="1"/>
  <c r="W78" i="1"/>
  <c r="V78" i="1"/>
  <c r="W62" i="1"/>
  <c r="V62" i="1"/>
  <c r="W46" i="1"/>
  <c r="V46" i="1"/>
  <c r="W30" i="1"/>
  <c r="V30" i="1"/>
  <c r="B15" i="1"/>
  <c r="B16" i="1"/>
  <c r="B14" i="1"/>
  <c r="F28" i="4" l="1"/>
  <c r="F29" i="4"/>
  <c r="A21" i="4"/>
  <c r="B13" i="4"/>
  <c r="B14" i="4"/>
  <c r="B15" i="4"/>
  <c r="B16" i="4"/>
  <c r="H28" i="4" s="1"/>
  <c r="A28" i="4"/>
  <c r="B28" i="4"/>
  <c r="C28" i="4"/>
  <c r="D28" i="4"/>
  <c r="A29" i="4"/>
  <c r="B29" i="4"/>
  <c r="C29" i="4"/>
  <c r="D29" i="4"/>
  <c r="A30" i="4"/>
  <c r="B30" i="4"/>
  <c r="C30" i="4"/>
  <c r="D30" i="4"/>
  <c r="F30" i="4"/>
  <c r="A31" i="4"/>
  <c r="B31" i="4"/>
  <c r="C31" i="4"/>
  <c r="D31" i="4"/>
  <c r="F31" i="4"/>
  <c r="A32" i="4"/>
  <c r="B32" i="4"/>
  <c r="C32" i="4"/>
  <c r="D32" i="4"/>
  <c r="F32" i="4"/>
  <c r="A33" i="4"/>
  <c r="B33" i="4"/>
  <c r="C33" i="4"/>
  <c r="D33" i="4"/>
  <c r="F33" i="4"/>
  <c r="A34" i="4"/>
  <c r="B34" i="4"/>
  <c r="C34" i="4"/>
  <c r="D34" i="4"/>
  <c r="F34" i="4"/>
  <c r="A35" i="4"/>
  <c r="B35" i="4"/>
  <c r="C35" i="4"/>
  <c r="D35" i="4"/>
  <c r="F35" i="4"/>
  <c r="A36" i="4"/>
  <c r="B36" i="4"/>
  <c r="C36" i="4"/>
  <c r="D36" i="4"/>
  <c r="F36" i="4"/>
  <c r="A37" i="4"/>
  <c r="B37" i="4"/>
  <c r="C37" i="4"/>
  <c r="D37" i="4"/>
  <c r="F37" i="4"/>
  <c r="A38" i="4"/>
  <c r="B38" i="4"/>
  <c r="C38" i="4"/>
  <c r="D38" i="4"/>
  <c r="F38" i="4"/>
  <c r="A39" i="4"/>
  <c r="B39" i="4"/>
  <c r="C39" i="4"/>
  <c r="D39" i="4"/>
  <c r="F39" i="4"/>
  <c r="A40" i="4"/>
  <c r="B40" i="4"/>
  <c r="C40" i="4"/>
  <c r="D40" i="4"/>
  <c r="F40" i="4"/>
  <c r="A41" i="4"/>
  <c r="B41" i="4"/>
  <c r="C41" i="4"/>
  <c r="D41" i="4"/>
  <c r="F41" i="4"/>
  <c r="A42" i="4"/>
  <c r="B42" i="4"/>
  <c r="C42" i="4"/>
  <c r="D42" i="4"/>
  <c r="F42" i="4"/>
  <c r="A43" i="4"/>
  <c r="B43" i="4"/>
  <c r="C43" i="4"/>
  <c r="D43" i="4"/>
  <c r="F43" i="4"/>
  <c r="A44" i="4"/>
  <c r="B44" i="4"/>
  <c r="C44" i="4"/>
  <c r="D44" i="4"/>
  <c r="F44" i="4"/>
  <c r="A45" i="4"/>
  <c r="B45" i="4"/>
  <c r="C45" i="4"/>
  <c r="D45" i="4"/>
  <c r="F45" i="4"/>
  <c r="A46" i="4"/>
  <c r="B46" i="4"/>
  <c r="C46" i="4"/>
  <c r="D46" i="4"/>
  <c r="F46" i="4"/>
  <c r="A47" i="4"/>
  <c r="B47" i="4"/>
  <c r="C47" i="4"/>
  <c r="D47" i="4"/>
  <c r="F47" i="4"/>
  <c r="A48" i="4"/>
  <c r="B48" i="4"/>
  <c r="C48" i="4"/>
  <c r="D48" i="4"/>
  <c r="F48" i="4"/>
  <c r="A49" i="4"/>
  <c r="B49" i="4"/>
  <c r="C49" i="4"/>
  <c r="D49" i="4"/>
  <c r="F49" i="4"/>
  <c r="A50" i="4"/>
  <c r="B50" i="4"/>
  <c r="C50" i="4"/>
  <c r="D50" i="4"/>
  <c r="F50" i="4"/>
  <c r="A51" i="4"/>
  <c r="B51" i="4"/>
  <c r="C51" i="4"/>
  <c r="D51" i="4"/>
  <c r="F51" i="4"/>
  <c r="A52" i="4"/>
  <c r="B52" i="4"/>
  <c r="C52" i="4"/>
  <c r="D52" i="4"/>
  <c r="F52" i="4"/>
  <c r="G53" i="4"/>
  <c r="E29" i="4"/>
  <c r="E30" i="4"/>
  <c r="E31" i="4"/>
  <c r="E32" i="4"/>
  <c r="E33" i="4"/>
  <c r="E34" i="4"/>
  <c r="E35" i="4"/>
  <c r="E36" i="4"/>
  <c r="E37" i="4"/>
  <c r="E38" i="4"/>
  <c r="E39" i="4"/>
  <c r="E40" i="4"/>
  <c r="E41" i="4"/>
  <c r="E42" i="4"/>
  <c r="E43" i="4"/>
  <c r="E44" i="4"/>
  <c r="E45" i="4"/>
  <c r="E46" i="4"/>
  <c r="E47" i="4"/>
  <c r="E48" i="4"/>
  <c r="E49" i="4"/>
  <c r="E50" i="4"/>
  <c r="E51" i="4"/>
  <c r="E52" i="4"/>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C4" i="5"/>
  <c r="B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4" i="5"/>
  <c r="D3" i="3"/>
  <c r="C3" i="3"/>
  <c r="B3" i="3"/>
  <c r="A3" i="3"/>
  <c r="A2" i="3"/>
  <c r="A1" i="3"/>
  <c r="D53" i="4"/>
  <c r="A117" i="1"/>
  <c r="G299" i="2"/>
  <c r="A27" i="1"/>
  <c r="A26" i="1"/>
  <c r="A20" i="1"/>
  <c r="A4" i="1"/>
  <c r="A16" i="1"/>
  <c r="A15" i="1"/>
  <c r="A14" i="1"/>
  <c r="A12" i="1"/>
  <c r="A10" i="1"/>
  <c r="H47" i="4" l="1"/>
  <c r="H38" i="4"/>
  <c r="H37" i="4"/>
  <c r="H31" i="4"/>
  <c r="H29" i="4"/>
  <c r="H40" i="4"/>
  <c r="E53" i="4"/>
  <c r="H48" i="4"/>
  <c r="H52" i="4"/>
  <c r="H42" i="4"/>
  <c r="H46" i="4"/>
  <c r="H43" i="4"/>
  <c r="H33" i="4"/>
  <c r="H32" i="4"/>
  <c r="H51" i="4"/>
  <c r="H49" i="4"/>
  <c r="E28" i="4"/>
  <c r="B17" i="4"/>
  <c r="H36" i="4"/>
  <c r="H35" i="4"/>
  <c r="H30" i="4"/>
  <c r="H50" i="4"/>
  <c r="H41" i="4"/>
  <c r="H44" i="4"/>
  <c r="H39" i="4"/>
  <c r="H34" i="4"/>
  <c r="H45" i="4"/>
  <c r="H53" i="4" l="1"/>
  <c r="I11" i="6"/>
  <c r="M12" i="9"/>
  <c r="M13" i="9" l="1"/>
  <c r="I12" i="6"/>
  <c r="I13" i="6" s="1"/>
  <c r="I14" i="6" l="1"/>
  <c r="I15" i="6" s="1"/>
  <c r="I16" i="6" s="1"/>
  <c r="I17" i="6" s="1"/>
  <c r="I18" i="6" s="1"/>
  <c r="I19" i="6" s="1"/>
  <c r="I20" i="6" s="1"/>
  <c r="I21" i="6" s="1"/>
  <c r="I22" i="6" s="1"/>
  <c r="I23" i="6" s="1"/>
  <c r="I24" i="6" s="1"/>
  <c r="I25" i="6" s="1"/>
  <c r="I26" i="6" s="1"/>
  <c r="I27" i="6" s="1"/>
  <c r="I28" i="6" s="1"/>
  <c r="M14" i="9"/>
  <c r="M15" i="9" l="1"/>
  <c r="M16" i="9" l="1"/>
  <c r="M17" i="9" s="1"/>
  <c r="M18" i="9" s="1"/>
  <c r="M19" i="9" s="1"/>
  <c r="M20" i="9" s="1"/>
  <c r="M21" i="9" s="1"/>
  <c r="M22" i="9" s="1"/>
  <c r="M23" i="9" s="1"/>
  <c r="M24" i="9" s="1"/>
  <c r="M25" i="9" s="1"/>
  <c r="M26" i="9" s="1"/>
  <c r="M27" i="9" l="1"/>
  <c r="M28" i="9" s="1"/>
  <c r="M29" i="9" s="1"/>
  <c r="M30" i="9" s="1"/>
  <c r="M31" i="9" s="1"/>
  <c r="M32" i="9" s="1"/>
  <c r="M33" i="9" s="1"/>
  <c r="M34" i="9" s="1"/>
  <c r="M35" i="9" s="1"/>
  <c r="M36" i="9" s="1"/>
  <c r="M37" i="9" s="1"/>
  <c r="M38" i="9" s="1"/>
  <c r="M39" i="9" s="1"/>
  <c r="M40" i="9" s="1"/>
  <c r="M41" i="9" s="1"/>
  <c r="M42" i="9" s="1"/>
  <c r="M43" i="9" s="1"/>
  <c r="M44" i="9" s="1"/>
  <c r="M45" i="9" s="1"/>
  <c r="M46" i="9" s="1"/>
  <c r="M47" i="9" s="1"/>
  <c r="M48" i="9" s="1"/>
  <c r="M49" i="9" s="1"/>
  <c r="M50" i="9" s="1"/>
  <c r="M51" i="9" s="1"/>
  <c r="M52" i="9" s="1"/>
  <c r="M53" i="9" s="1"/>
  <c r="M54" i="9" s="1"/>
  <c r="M55" i="9" s="1"/>
  <c r="M56" i="9" s="1"/>
  <c r="M57" i="9" s="1"/>
  <c r="M58" i="9" s="1"/>
  <c r="M59" i="9" s="1"/>
  <c r="M60" i="9" s="1"/>
  <c r="M61" i="9" s="1"/>
  <c r="M62" i="9" s="1"/>
  <c r="M63" i="9" s="1"/>
  <c r="M64" i="9" s="1"/>
  <c r="M65" i="9" s="1"/>
  <c r="M66" i="9" s="1"/>
  <c r="M67" i="9" s="1"/>
  <c r="M68" i="9" s="1"/>
  <c r="M69" i="9" s="1"/>
  <c r="M70" i="9" s="1"/>
  <c r="M71" i="9" s="1"/>
  <c r="M72" i="9" s="1"/>
  <c r="M73" i="9" s="1"/>
  <c r="M74" i="9" s="1"/>
  <c r="M75" i="9" s="1"/>
  <c r="M76" i="9" s="1"/>
  <c r="M77" i="9" s="1"/>
  <c r="M78" i="9" s="1"/>
  <c r="M79" i="9" s="1"/>
  <c r="M80" i="9" s="1"/>
  <c r="M81" i="9" s="1"/>
  <c r="M82" i="9" s="1"/>
  <c r="M83" i="9" s="1"/>
  <c r="M84" i="9" s="1"/>
  <c r="M85" i="9" s="1"/>
  <c r="M86" i="9" s="1"/>
  <c r="M87" i="9" s="1"/>
  <c r="M88" i="9" s="1"/>
  <c r="M89" i="9" s="1"/>
  <c r="M90" i="9" s="1"/>
  <c r="M91" i="9" s="1"/>
  <c r="M92" i="9" s="1"/>
  <c r="M93" i="9" s="1"/>
  <c r="M94" i="9" s="1"/>
  <c r="M95" i="9" s="1"/>
  <c r="M96" i="9" s="1"/>
  <c r="M97" i="9" s="1"/>
  <c r="M98" i="9" s="1"/>
  <c r="M99" i="9" s="1"/>
  <c r="M100" i="9" s="1"/>
  <c r="M101" i="9" s="1"/>
  <c r="M102" i="9" s="1"/>
  <c r="M103" i="9" s="1"/>
  <c r="M104" i="9" s="1"/>
</calcChain>
</file>

<file path=xl/sharedStrings.xml><?xml version="1.0" encoding="utf-8"?>
<sst xmlns="http://schemas.openxmlformats.org/spreadsheetml/2006/main" count="5143" uniqueCount="1707">
  <si>
    <r>
      <rPr>
        <b/>
        <u/>
        <sz val="12"/>
        <color theme="1"/>
        <rFont val="Arial"/>
        <family val="2"/>
      </rPr>
      <t>English:</t>
    </r>
    <r>
      <rPr>
        <sz val="12"/>
        <color theme="1"/>
        <rFont val="Arial"/>
        <family val="2"/>
      </rPr>
      <t xml:space="preserve"> Select the language below (line B10)</t>
    </r>
  </si>
  <si>
    <r>
      <rPr>
        <b/>
        <u/>
        <sz val="12"/>
        <color theme="1"/>
        <rFont val="Arial"/>
        <family val="2"/>
      </rPr>
      <t>Français:</t>
    </r>
    <r>
      <rPr>
        <sz val="12"/>
        <color theme="1"/>
        <rFont val="Arial"/>
        <family val="2"/>
      </rPr>
      <t xml:space="preserve"> Veuillez choisir la langue ci-dessous (rangée B10)</t>
    </r>
  </si>
  <si>
    <r>
      <rPr>
        <b/>
        <u/>
        <sz val="12"/>
        <color theme="1"/>
        <rFont val="Arial"/>
        <family val="2"/>
      </rPr>
      <t>Español:</t>
    </r>
    <r>
      <rPr>
        <sz val="12"/>
        <color theme="1"/>
        <rFont val="Arial"/>
        <family val="2"/>
      </rPr>
      <t xml:space="preserve"> Seleccione el idioma abajo (fila B10)</t>
    </r>
  </si>
  <si>
    <t>English</t>
  </si>
  <si>
    <t>PRIORITIZED ABOVE ALLOCATION REQUEST (PAAR)</t>
  </si>
  <si>
    <t>Version: August 2018</t>
  </si>
  <si>
    <r>
      <rPr>
        <b/>
        <u/>
        <sz val="12"/>
        <color theme="1"/>
        <rFont val="Arial"/>
        <family val="2"/>
      </rPr>
      <t>English:</t>
    </r>
    <r>
      <rPr>
        <sz val="12"/>
        <color theme="1"/>
        <rFont val="Arial"/>
        <family val="2"/>
      </rPr>
      <t xml:space="preserve"> Select the language below (line B12)</t>
    </r>
  </si>
  <si>
    <r>
      <rPr>
        <b/>
        <u/>
        <sz val="12"/>
        <color theme="1"/>
        <rFont val="Arial"/>
        <family val="2"/>
      </rPr>
      <t>Français:</t>
    </r>
    <r>
      <rPr>
        <sz val="12"/>
        <color theme="1"/>
        <rFont val="Arial"/>
        <family val="2"/>
      </rPr>
      <t xml:space="preserve"> Veuillez choisir la langue ci-dessous (rangée B12)</t>
    </r>
  </si>
  <si>
    <r>
      <rPr>
        <b/>
        <u/>
        <sz val="12"/>
        <color theme="1"/>
        <rFont val="Arial"/>
        <family val="2"/>
      </rPr>
      <t>Español:</t>
    </r>
    <r>
      <rPr>
        <sz val="12"/>
        <color theme="1"/>
        <rFont val="Arial"/>
        <family val="2"/>
      </rPr>
      <t xml:space="preserve"> Seleccione el idioma abajo (fila B12)</t>
    </r>
  </si>
  <si>
    <t>Language</t>
  </si>
  <si>
    <t>SUMMARY INFORMATION</t>
  </si>
  <si>
    <t>Country</t>
  </si>
  <si>
    <t>Component(s)</t>
  </si>
  <si>
    <t>Funding request this request relates to</t>
  </si>
  <si>
    <t>Currency</t>
  </si>
  <si>
    <t>Total above allocation request</t>
  </si>
  <si>
    <t>CONTEXTUAL INFORMATION</t>
  </si>
  <si>
    <t>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For additional space, the applicant can expand the row height for a bigger box to include rationale</t>
  </si>
  <si>
    <t>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</si>
  <si>
    <t>Applicant priority rating</t>
  </si>
  <si>
    <t>Module</t>
  </si>
  <si>
    <t xml:space="preserve">Intervention </t>
  </si>
  <si>
    <t>Amount requested</t>
  </si>
  <si>
    <t>Amount requested (USD)</t>
  </si>
  <si>
    <t>Brief Rationale, including expected outcomes and impact 
(explain how the request builds on the allocation)</t>
  </si>
  <si>
    <t>TRP recommended amount</t>
  </si>
  <si>
    <t>TRP recommended amount (USD)</t>
  </si>
  <si>
    <t>TRP priority rating</t>
  </si>
  <si>
    <t>TRP brief rational (only mandatory for "not quality demand", "partially recommended" amounts and when the priority rating differs)</t>
  </si>
  <si>
    <t>TOTAL AMOUNT</t>
  </si>
  <si>
    <t>ADDITIONAL INFORMATION</t>
  </si>
  <si>
    <t>Instructions for Applicant:
• Select the corresponding module
• Select the corresponding intervention
• Enter the corresponding requested amount
• Enter the additional information you wish to add to the Brief Rationale section from the tab "Applicant-Candidat-Solicitante"</t>
  </si>
  <si>
    <t>Intervention</t>
  </si>
  <si>
    <t>Additional rationale</t>
  </si>
  <si>
    <t>Language2</t>
  </si>
  <si>
    <t>Document Title</t>
  </si>
  <si>
    <t>Version</t>
  </si>
  <si>
    <t>Header 1</t>
  </si>
  <si>
    <t>Summary Info 1</t>
  </si>
  <si>
    <t>Summary Info 2</t>
  </si>
  <si>
    <t>Summary Info 3</t>
  </si>
  <si>
    <t>Summary Info 4</t>
  </si>
  <si>
    <t>Summary Info 5</t>
  </si>
  <si>
    <t>Header 2</t>
  </si>
  <si>
    <t>Header 2 Instructions</t>
  </si>
  <si>
    <t>Header 3</t>
  </si>
  <si>
    <t>Header 3 Instructions</t>
  </si>
  <si>
    <t>PAAR 1</t>
  </si>
  <si>
    <t>PAAR 2</t>
  </si>
  <si>
    <t>PAAR 3</t>
  </si>
  <si>
    <t>PAAR 4</t>
  </si>
  <si>
    <t>PAAR 5</t>
  </si>
  <si>
    <t>PAAR 6</t>
  </si>
  <si>
    <t>PAAR 7</t>
  </si>
  <si>
    <t>PAAR 8</t>
  </si>
  <si>
    <t>PAAR 9</t>
  </si>
  <si>
    <t>PAAR 10</t>
  </si>
  <si>
    <t>PAAR 11</t>
  </si>
  <si>
    <t>Header 4</t>
  </si>
  <si>
    <t>Header 4 Instructions</t>
  </si>
  <si>
    <t>Additional Info 1</t>
  </si>
  <si>
    <t>Additional Info 2</t>
  </si>
  <si>
    <t>Additional Info 3</t>
  </si>
  <si>
    <t>Additional Info 4</t>
  </si>
  <si>
    <r>
      <t xml:space="preserve">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t>
    </r>
    <r>
      <rPr>
        <b/>
        <sz val="11"/>
        <color theme="1"/>
        <rFont val="Calibri"/>
        <family val="2"/>
        <scheme val="minor"/>
      </rPr>
      <t>For additional space, the applicant can expand the row height for a bigger box to include rationale</t>
    </r>
  </si>
  <si>
    <r>
      <t xml:space="preserve">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
    </r>
    <r>
      <rPr>
        <b/>
        <sz val="11"/>
        <color theme="1"/>
        <rFont val="Calibri"/>
        <family val="2"/>
        <scheme val="minor"/>
      </rPr>
      <t>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r>
  </si>
  <si>
    <t>Français</t>
  </si>
  <si>
    <t>Langue</t>
  </si>
  <si>
    <t>DEMANDE HIÉRARCHISÉE DE FINANCEMENT AU-DELÀ DE LA SOMME ALLOUÉE (PAAR)</t>
  </si>
  <si>
    <r>
      <t>Version: Ao</t>
    </r>
    <r>
      <rPr>
        <sz val="11"/>
        <color theme="1"/>
        <rFont val="Calibri"/>
        <family val="2"/>
      </rPr>
      <t>ût</t>
    </r>
    <r>
      <rPr>
        <sz val="11"/>
        <color theme="1"/>
        <rFont val="Calibri"/>
        <family val="2"/>
        <scheme val="minor"/>
      </rPr>
      <t xml:space="preserve"> 2018</t>
    </r>
  </si>
  <si>
    <t>RESUME D'INFORMATION</t>
  </si>
  <si>
    <t>Composante(s)</t>
  </si>
  <si>
    <t>Demande de financement reliée à cette requête</t>
  </si>
  <si>
    <t>Devise</t>
  </si>
  <si>
    <t>Montant total du PAAR</t>
  </si>
  <si>
    <t>INFORMATION CONTEXTUELLE</t>
  </si>
  <si>
    <r>
      <t xml:space="preserve">Fournir des informations contextuelles pertinentes à la demande hiérarchisée de financement au-delà de la somme allouée, en expliquant pourquoi les modules clés proposés sont priorisés pour un financement supplémentaire. La réponse peut inclure par exemple:
• les faits saillants du contexte épidémiologique
• des lacunes programmatiques exceptionnelles qui doivent être corrigées
• toutes les considérations ou données qui ont informé la demande
• des explications clarifiant les liens avec la demande de financement de l'allocation
</t>
    </r>
    <r>
      <rPr>
        <b/>
        <sz val="11"/>
        <color theme="1"/>
        <rFont val="Calibri"/>
        <family val="2"/>
        <scheme val="minor"/>
      </rPr>
      <t>Pour plus d'espace, le candidat peut augmenter la largeur et la hauteur de chaque cellule.</t>
    </r>
  </si>
  <si>
    <r>
      <t>DEMANDE HI</t>
    </r>
    <r>
      <rPr>
        <sz val="11"/>
        <color theme="1"/>
        <rFont val="Calibri"/>
        <family val="2"/>
      </rPr>
      <t>É</t>
    </r>
    <r>
      <rPr>
        <sz val="11"/>
        <color theme="1"/>
        <rFont val="Calibri"/>
        <family val="2"/>
        <scheme val="minor"/>
      </rPr>
      <t>RARCHIS</t>
    </r>
    <r>
      <rPr>
        <sz val="11"/>
        <color theme="1"/>
        <rFont val="Calibri"/>
        <family val="2"/>
      </rPr>
      <t>É</t>
    </r>
    <r>
      <rPr>
        <sz val="11"/>
        <color theme="1"/>
        <rFont val="Calibri"/>
        <family val="2"/>
        <scheme val="minor"/>
      </rPr>
      <t>E DE FINANCEMENT AU-DEL</t>
    </r>
    <r>
      <rPr>
        <sz val="11"/>
        <color theme="1"/>
        <rFont val="Calibri"/>
        <family val="2"/>
      </rPr>
      <t>À</t>
    </r>
    <r>
      <rPr>
        <sz val="11"/>
        <color theme="1"/>
        <rFont val="Calibri"/>
        <family val="2"/>
        <scheme val="minor"/>
      </rPr>
      <t xml:space="preserve"> DE LA SOMME ALLOU</t>
    </r>
    <r>
      <rPr>
        <sz val="11"/>
        <color theme="1"/>
        <rFont val="Calibri"/>
        <family val="2"/>
      </rPr>
      <t>É</t>
    </r>
    <r>
      <rPr>
        <sz val="11"/>
        <color theme="1"/>
        <rFont val="Calibri"/>
        <family val="2"/>
        <scheme val="minor"/>
      </rPr>
      <t>E (PAAR)</t>
    </r>
  </si>
  <si>
    <r>
      <t xml:space="preserve">Fournir dans le tableau ci-dessous une demande prioritaire supérieure à la somme allouée qui, si jugée techniquement solide et stratégiquement centréee par le TRP, pourrait être financée en utilisant les économies ou les ressources identifiées lors de l'octroi des subventions, ou inscrite au registre des demandes de qualité non financées pour être financée si des ressources devenaient disponibles auprès du Fonds mondial ou d'autres acteurs de financement (par exemple des donateurs privés et des mécanismes publics approuvés tels qu'UNITAID et Debt2Health). Cette demande d'allocation ci-dessus devrait présenter une approche d'investissement cohérente avec un nombre limité d'interventions destinées à avoir un impact élevé et inclure une justification claire et détaillée devant être alignée à la programmation de l'allocation. Le demandeur doit indiquer un ordre de priorité relatif au financement de chaque intervention ou ensemble d'interventions demandées (priorité élevée, moyenne ou faible), si des ressources supplémentaires deviennent disponibles. Conformément à la stratégie du Fonds mondial visant à maximiser l'impact et à mettre fin aux épidémies, la demande d'allocation prioritaire ci-dessus devrait être ambitieuse (par exemple, représenter au moins 30-50% du montant de l'allocation).
Note: Les modules / interventions de la demande doivent être classés par ordre d'importance décroissante (avec le niveau de priorité «élevé», indiquant la priorité / importance). Afin de s'aligner aux modules et interventions du Fonds mondial, veuillez les sélectionner dans la liste.
</t>
    </r>
    <r>
      <rPr>
        <b/>
        <sz val="11"/>
        <color theme="1"/>
        <rFont val="Calibri"/>
        <family val="2"/>
        <scheme val="minor"/>
      </rPr>
      <t>Guide de table pour le candidat
• Sélectionner UNIQUEMENT les modules et les interventions proposés et normalisés du Fonds mondial 
• Pour plus d'espace, le candidat peut augmenter la largeur et la hauteur de chaque cellule et / ou insérer et fusionner des cellules supplémentaires pour une boîte plus grande afin d'inclure une justification
• Si le candidat souhaite ajouter des interventions, il peut inserer des lignes.
• Si l'espace donné dans la Brève justification n'est pas assez, seulement si absolument nécessaire, le candidat peut utiliser la deuxième tab "Add Info-Info Supp-Info Ad" and suivre les instructions qui y sont données.</t>
    </r>
  </si>
  <si>
    <t>Cote de priorité (par le candidat)</t>
  </si>
  <si>
    <t>Montant demandé</t>
  </si>
  <si>
    <t>Montant demandé (USD)</t>
  </si>
  <si>
    <t>MONTANT TOTAL</t>
  </si>
  <si>
    <t>Instruction pour le candidat: 
• Entrer le module concerné
• Entrer l'intervention concernée
• Entrer le montant demandé concerné
• Entrer les informations additionnelles que vous voulez ajouter à la justification de la tab principale "Applicant-Candidat-Solicitante"</t>
  </si>
  <si>
    <t>Justification supplémentaire</t>
  </si>
  <si>
    <t>Español</t>
  </si>
  <si>
    <t>Idioma</t>
  </si>
  <si>
    <t>SOLICITUD PRIORIZADA DE MONTO POR ENCIMA DE LA ASIGNACIÓN (PAAR)</t>
  </si>
  <si>
    <r>
      <t>Versi</t>
    </r>
    <r>
      <rPr>
        <sz val="11"/>
        <color theme="1"/>
        <rFont val="Calibri"/>
        <family val="2"/>
      </rPr>
      <t>ó</t>
    </r>
    <r>
      <rPr>
        <sz val="11"/>
        <color theme="1"/>
        <rFont val="Calibri"/>
        <family val="2"/>
        <scheme val="minor"/>
      </rPr>
      <t>n: Agosto 2018</t>
    </r>
  </si>
  <si>
    <t>INFORMACIÓN RESUMIDA</t>
  </si>
  <si>
    <t>Componente(s)</t>
  </si>
  <si>
    <t>Solicitud de financiamiento relacionada con esta solicitud de monto por encima de la asignación</t>
  </si>
  <si>
    <t>Moneda</t>
  </si>
  <si>
    <t xml:space="preserve">Total de solicitud de monto por encima de la asignación </t>
  </si>
  <si>
    <t>INFORMACIÓN CONTEXTUAL</t>
  </si>
  <si>
    <r>
      <t xml:space="preserve">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t>
    </r>
    <r>
      <rPr>
        <b/>
        <sz val="11"/>
        <color theme="1"/>
        <rFont val="Calibri"/>
        <family val="2"/>
        <scheme val="minor"/>
      </rPr>
      <t>Si necesita espacio adicional, el solicitante puede ampliar el ancho y alto de cada celda y / o insertar y fusionar celdas adicionales para obtener un espacio mayor para la justificación</t>
    </r>
  </si>
  <si>
    <r>
      <t>SOLICITUD PRIORIZADA DE MONTO POR ENCIMA DE LA ASIGNACI</t>
    </r>
    <r>
      <rPr>
        <sz val="11"/>
        <color theme="1"/>
        <rFont val="Calibri"/>
        <family val="2"/>
      </rPr>
      <t>Ó</t>
    </r>
    <r>
      <rPr>
        <sz val="11"/>
        <color theme="1"/>
        <rFont val="Calibri"/>
        <family val="2"/>
        <scheme val="minor"/>
      </rPr>
      <t>N (PAAR)</t>
    </r>
  </si>
  <si>
    <r>
      <t xml:space="preserve">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t>
    </r>
    <r>
      <rPr>
        <b/>
        <sz val="11"/>
        <color theme="1"/>
        <rFont val="Calibri"/>
        <family val="2"/>
        <scheme val="minor"/>
      </rPr>
      <t>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t>
    </r>
  </si>
  <si>
    <t>Nivel de prioridad (para el Solicitante)</t>
  </si>
  <si>
    <t>Módulo</t>
  </si>
  <si>
    <t>Intervenciones</t>
  </si>
  <si>
    <t>Monto solicitado</t>
  </si>
  <si>
    <t>Monto solicitado (USD)</t>
  </si>
  <si>
    <t>MONTO TOTAL</t>
  </si>
  <si>
    <t>Instrucciones para el solicitante:
• Escribe el módulo correspondiente
• Escribe la intervención correspondiente
• Escribe el monto solicitado correspondiente
• Escribe la información adicional que desea agregar a la justificación en la hoja principal "Applicant-Candidat-Solicitante"</t>
  </si>
  <si>
    <t>Intervención</t>
  </si>
  <si>
    <t>Justificación adicional</t>
  </si>
  <si>
    <t>Component</t>
  </si>
  <si>
    <t>Applicant Priority Rating</t>
  </si>
  <si>
    <t>HIV/AIDS</t>
  </si>
  <si>
    <t>USD</t>
  </si>
  <si>
    <t>Comprehensive prevention programs for men who have sex with men</t>
  </si>
  <si>
    <t>Prevention programs for general population</t>
  </si>
  <si>
    <t>Behavioral interventions as part of programs for the general population</t>
  </si>
  <si>
    <t>Tuberculosis</t>
  </si>
  <si>
    <t>EUR</t>
  </si>
  <si>
    <t>Comprehensive prevention programs for people who inject drugs and their partners</t>
  </si>
  <si>
    <t>Condoms as part of programs for the general population</t>
  </si>
  <si>
    <t>Malaria</t>
  </si>
  <si>
    <t>Comprehensive prevention programs for sex workers and their clients</t>
  </si>
  <si>
    <t>Male circumcision</t>
  </si>
  <si>
    <t>RSSH</t>
  </si>
  <si>
    <t>Comprehensive prevention programs for transgender people</t>
  </si>
  <si>
    <t>Diagnosis and treatment of sexually transmitted infections and other sexual health services for the general population</t>
  </si>
  <si>
    <t>TB/HIV</t>
  </si>
  <si>
    <t>Comprehensive programs for people in prisons and other closed settings</t>
  </si>
  <si>
    <t>Orphan and vulnerable children package</t>
  </si>
  <si>
    <t>Integrated</t>
  </si>
  <si>
    <t>HIV Testing Services</t>
  </si>
  <si>
    <t>Linkages between HIV programs and RMNCH</t>
  </si>
  <si>
    <t>VIH/SIDA</t>
  </si>
  <si>
    <t>Prevention of mother-to-child transmission</t>
  </si>
  <si>
    <t>Gender-based violence prevention and treatment programs for general population</t>
  </si>
  <si>
    <t>Tuberculose</t>
  </si>
  <si>
    <t>Prevention programs for adolescents and youth, in and out of school</t>
  </si>
  <si>
    <t>Other interventions for the general population</t>
  </si>
  <si>
    <t>Paludisme</t>
  </si>
  <si>
    <t>Community empowerment for men who have sex with men</t>
  </si>
  <si>
    <t>SRPS</t>
  </si>
  <si>
    <t>Prevention programs for other vulnerable populations</t>
  </si>
  <si>
    <t>Addressing stigma, discrimination and violence against men who have sex with men</t>
  </si>
  <si>
    <t>TB/VIH</t>
  </si>
  <si>
    <t>TRP Priority Rating</t>
  </si>
  <si>
    <t>Program management</t>
  </si>
  <si>
    <t>Behavioral interventions for men who have sex with men</t>
  </si>
  <si>
    <t>Integré</t>
  </si>
  <si>
    <t>Programs to reduce human rights-related barriers to HIV services</t>
  </si>
  <si>
    <t>Condoms and lubricant programming for men who have sex with men</t>
  </si>
  <si>
    <t>Pre-exposure prophylaxis (PrEP) for men who have sex with men</t>
  </si>
  <si>
    <t>Treatment, care and support</t>
  </si>
  <si>
    <t>Harm reduction interventions for men who have sex with men who inject drugs</t>
  </si>
  <si>
    <t>RSSH: Procurement and supply chain management systems</t>
  </si>
  <si>
    <t>HIV testing services for men who have sex with men</t>
  </si>
  <si>
    <t>SRSS</t>
  </si>
  <si>
    <t>RSSH: Health management information system and monitoring and evaluation</t>
  </si>
  <si>
    <t>Diagnosis and treatment of sexually transmitted infections and other sexual health services for men who have sex with men</t>
  </si>
  <si>
    <t>RSSH: Human resources for health, including community health workers</t>
  </si>
  <si>
    <t>Prevention and management of coinfections and comorbidities men who have sex with men</t>
  </si>
  <si>
    <t>Integrados</t>
  </si>
  <si>
    <t>RSSH: Integrated service delivery and quality improvement</t>
  </si>
  <si>
    <t>Interventions for young men who have sex with men</t>
  </si>
  <si>
    <t>RSSH: Financial management systems</t>
  </si>
  <si>
    <t>Other interventions for men who have sex with men</t>
  </si>
  <si>
    <t>RSSH: National health strategies</t>
  </si>
  <si>
    <t>Community empowerment for sex workers</t>
  </si>
  <si>
    <t>Disease</t>
  </si>
  <si>
    <t>RSSH: Community responses and systems</t>
  </si>
  <si>
    <t>Addressing stigma, discrimination and violence against sex workers</t>
  </si>
  <si>
    <t>RSSH: Program management</t>
  </si>
  <si>
    <t>Behavioral interventions for sex workers</t>
  </si>
  <si>
    <t>Multidrug-resistant TB</t>
  </si>
  <si>
    <t>Condoms and lubricant programming for sex workers</t>
  </si>
  <si>
    <t>Pre-exposure prophylaxis (PrEP) for sex workers</t>
  </si>
  <si>
    <t>TB care and prevention</t>
  </si>
  <si>
    <t>Harm reduction interventions for sex workers who inject drugs</t>
  </si>
  <si>
    <t>HIV testing services for sex workers</t>
  </si>
  <si>
    <t>Applicant Rating</t>
  </si>
  <si>
    <t>Diagnosis and treatment of sexually transmittedinfections and othersexual and reproductivehealth services for sex workers</t>
  </si>
  <si>
    <t>Prevention and management of co-infections and co-morbidities for sex workers</t>
  </si>
  <si>
    <t>Interventions for young people who sell sex</t>
  </si>
  <si>
    <t>Programmes de prévention complets destinés aux hommes ayant des rapports sexuels avec des hommes (HSH)</t>
  </si>
  <si>
    <t>Programas de prevención integral para hombres que tienen relaciones sexuales con hombres</t>
  </si>
  <si>
    <t>Other interventions for sex workers and their clients</t>
  </si>
  <si>
    <t>Programmes de prévention complets destinés aux consommateurs de drogues injectables et à leurs partenaires</t>
  </si>
  <si>
    <t>Programas de prevención integral para personas que consumen drogas y sus parejas</t>
  </si>
  <si>
    <t>Community empowerment for people who inject drugs</t>
  </si>
  <si>
    <t>Programmes de prévention complets destinés aux professionnels du sexe et à leurs clients</t>
  </si>
  <si>
    <t>Programas de prevención integral para trabajadores del sexo y sus clientes</t>
  </si>
  <si>
    <t>Addressing stigma, discrimination and violence against people who inject drugs</t>
  </si>
  <si>
    <t>Programmes de prévention complets destinés aux transgenres</t>
  </si>
  <si>
    <t>Programas de prevención integral para personas transgénero</t>
  </si>
  <si>
    <t>Behavioral interventions for people who inject drugs</t>
  </si>
  <si>
    <t>Programmes complets destinés aux personnes en détention ou se trouvant dans d'autres lieux fermés</t>
  </si>
  <si>
    <t>Programas integrales para personas privadas de libertad en centros penitenciarios y otros lugares de reclusión</t>
  </si>
  <si>
    <t>Condoms and lubricant programming for people who inject drugs</t>
  </si>
  <si>
    <t>Services de dépistage du VIH</t>
  </si>
  <si>
    <t>Servicios de diagnóstico de VIH</t>
  </si>
  <si>
    <t>Case management</t>
  </si>
  <si>
    <t>Overdose prevention and management</t>
  </si>
  <si>
    <t>Prévention de la transmission de la mère à l'enfant (PTME)</t>
  </si>
  <si>
    <t>PTMI</t>
  </si>
  <si>
    <t>HIV testing services for people who inject drugs</t>
  </si>
  <si>
    <t>Programmes de prévention destinés aux adolescents et aux jeunes, scolarisés ou non</t>
  </si>
  <si>
    <t>Programas de prevención para adolescentes y jóvenes, dentro y fuera de los centros educativos</t>
  </si>
  <si>
    <t>Specific prevention interventions</t>
  </si>
  <si>
    <t>Diagnosis and treatment of sexually transmitted infections and other sexual health services for people who inject drugs</t>
  </si>
  <si>
    <t>Programmes de prévention destinés à la population générale</t>
  </si>
  <si>
    <t>Programas de prevención para la población general</t>
  </si>
  <si>
    <t>Vector control</t>
  </si>
  <si>
    <t>Needle and syringe programs for people who inject drugs and their partners</t>
  </si>
  <si>
    <t>Programmes de prévention destinés aux autres populations vulnérables</t>
  </si>
  <si>
    <t>Programas de prevención para otras poblaciones vulnerables</t>
  </si>
  <si>
    <t>Opioid substitution therapy and other drug dependence treatment for people who inject drugs</t>
  </si>
  <si>
    <t>Gestion de programme</t>
  </si>
  <si>
    <t>Gestión de programas</t>
  </si>
  <si>
    <t>Prevention and management of co-infections and comorbidities for people who inject drugs</t>
  </si>
  <si>
    <t>Programmes visant à réduire les obstacles liés aux droits humains qui entravent l'accès aux services VIH</t>
  </si>
  <si>
    <t>Programas para reducir las barreras relacionadas a los derechos humanos para acceder a los servicios de VIH</t>
  </si>
  <si>
    <t>Interventions for young people who inject drugs</t>
  </si>
  <si>
    <t>Other interventions for people who inject drugs and their partners</t>
  </si>
  <si>
    <t>Traitement, prise en charge et soutien</t>
  </si>
  <si>
    <t>Tratamiento, atención y apoyo</t>
  </si>
  <si>
    <t>Community empowerment for transgender people</t>
  </si>
  <si>
    <t>SRPS: Systèmes de gestion des achats et de la chaîne d'approvisionnement</t>
  </si>
  <si>
    <t>SRSS: Sistemas de gestión de la cadena de adquisiciones y suministros</t>
  </si>
  <si>
    <t>Addressing stigma, discrimination and violence against transgender people</t>
  </si>
  <si>
    <t>SRPS: Système de gestion et d'information sanitaire et suivi et évaluation</t>
  </si>
  <si>
    <t>SRSS: Sistemas de información en salud y monitoreo y evaluación</t>
  </si>
  <si>
    <t>Behavioral interventions for transgender people</t>
  </si>
  <si>
    <t>SRPS: Ressources humaines pour la santé, y compris agents de santé communautaires</t>
  </si>
  <si>
    <t>SRSS: Recursos humanos para la salud, incluidos trabajadores de salud comunitarios</t>
  </si>
  <si>
    <t>Condoms and lubricant programming for transgender people</t>
  </si>
  <si>
    <t>SRPS: Prestation de services intégrés et amélioration de la qualité</t>
  </si>
  <si>
    <t>SRSS: Prestación de servicios integrados y mejora de la calidad</t>
  </si>
  <si>
    <t>Pre-exposure prophylaxis (PrEP) and other biomedical interventions for transgender people</t>
  </si>
  <si>
    <t>SRPS: Système de gestion financière</t>
  </si>
  <si>
    <t>SRSS: Sistemas de gestión financiera</t>
  </si>
  <si>
    <t>Harm reduction interventions for transgender people with substance use</t>
  </si>
  <si>
    <t>SRPS: Stratégies nationales de santé</t>
  </si>
  <si>
    <t>SRSS: Estrategias nacionales de salud</t>
  </si>
  <si>
    <t>HIV testing services for transgender people</t>
  </si>
  <si>
    <t>SRPS: Ripostes et systèmes communautaires</t>
  </si>
  <si>
    <t>SRSS: Respuestas y sistemas comunitarios</t>
  </si>
  <si>
    <t>Diagnosis and treatment of sexually transmitted infections and sexual health services for transgender people</t>
  </si>
  <si>
    <t>SRPS: Gestion de programme</t>
  </si>
  <si>
    <t>SRSS: Gestión de programas</t>
  </si>
  <si>
    <t>Prevention and management of co-infections and co-morbidities for transgender people</t>
  </si>
  <si>
    <t>Tuberculose multirésistante</t>
  </si>
  <si>
    <t>Tuberculosis multirresistente</t>
  </si>
  <si>
    <t>Interventions for young transgender people</t>
  </si>
  <si>
    <t>Prise en charge et prévention de la tuberculose</t>
  </si>
  <si>
    <t>Atención y prevención de la tuberculosis</t>
  </si>
  <si>
    <t>Other interventions for transgender people</t>
  </si>
  <si>
    <t>Prise en charge des cas</t>
  </si>
  <si>
    <t>Gestión de casos</t>
  </si>
  <si>
    <t>Community empowerment for people in prisons and other closed settings</t>
  </si>
  <si>
    <t>Interventions de prévention spécifiques</t>
  </si>
  <si>
    <t>Intervenciones de prevención específicas</t>
  </si>
  <si>
    <t>Addressing stigma, discrimination and violence against people in prisons and other closed settings</t>
  </si>
  <si>
    <t>Lutte antivectorielle</t>
  </si>
  <si>
    <t>Control de vectores</t>
  </si>
  <si>
    <t>Behavioral interventions for people in prisons and other closed settings</t>
  </si>
  <si>
    <t>Changement de comportement dans le cadre des programmes destinés à la population générale</t>
  </si>
  <si>
    <t>Cambio del comportamiento como parte de programas para la población general</t>
  </si>
  <si>
    <t>Condoms and lubricant programming for people in prisons and other closed settings</t>
  </si>
  <si>
    <t>Préservatifs dans le cadre des programmes destinés à la population générale</t>
  </si>
  <si>
    <t>Preservativos como parte de programas para la población general</t>
  </si>
  <si>
    <t>Pre-exposure prophylaxis (PrEP) for people in prisons and other closed settings</t>
  </si>
  <si>
    <t>Circoncision masculine</t>
  </si>
  <si>
    <t>Circuncisión masculina</t>
  </si>
  <si>
    <t>Harm reduction interventions for people in prisons and other closed settings</t>
  </si>
  <si>
    <t>Diagnostic et traitement des infections sexuellement transmissibles et autres services liés à la santé sexuelle pour la population générale</t>
  </si>
  <si>
    <t>Diagnóstico y tratamiento de ITS y otros servicios de salud sexual y reproductiva para la población general</t>
  </si>
  <si>
    <t>HIV testing services for people in prisons and other closed settings</t>
  </si>
  <si>
    <t>Paquet d'interventions pour les orphelins et les enfants vulnérables (OEV)</t>
  </si>
  <si>
    <t>Paquete para huérfanos y niños vulnerables</t>
  </si>
  <si>
    <t>Diagnosis and treatment of sexually transmitted infections and other sexual and reproductive health services for people in prisons and other closed settings</t>
  </si>
  <si>
    <t>Liens entre les programmes de lutte contre le VIH, et la santé reproductive maternelle, néonatale et infantile</t>
  </si>
  <si>
    <t>Vínculos entre programas de VIH y la salud sexual y reproductiva, materna, neonatal e infantil</t>
  </si>
  <si>
    <t>Prevention and management of coinfections and comorbidities for people in prisons and other closed settings</t>
  </si>
  <si>
    <t>Programmes de prévention et de traitement de la violence basée sur le genre</t>
  </si>
  <si>
    <t>Programas de prevención y tratamiento de la violencia de género para la población general</t>
  </si>
  <si>
    <t>Other interventions for people in prisons and other closed settings</t>
  </si>
  <si>
    <t>Autres interventions réalisées auprès de la population générale</t>
  </si>
  <si>
    <t>Otras intervenciones para la población general</t>
  </si>
  <si>
    <t>Behavioral interventions for other vulnerable populations</t>
  </si>
  <si>
    <t>Lutte contre la stigmatisation, la discrimination et la violence contre les HSH</t>
  </si>
  <si>
    <t>Empoderamiento de las comunidades a favor de los hombres que tienen relaciones sexuales con hombres</t>
  </si>
  <si>
    <t>Male and female condoms for other vulnerable populations</t>
  </si>
  <si>
    <t>Abordar el estigma, la discriminación y la violencia contra los hombres que tienen relaciones sexuales con hombres</t>
  </si>
  <si>
    <t>HIV testing services for other vulnerable populations</t>
  </si>
  <si>
    <t>Interventions pour le changement de comportement ciblant les HSH</t>
  </si>
  <si>
    <t>Intervenciones conductuales para hombres que tienen relaciones sexuales con hombres</t>
  </si>
  <si>
    <t>Diagnosis and treatment of sexually transmitted infections and other sexual health services for other vulnerable populations</t>
  </si>
  <si>
    <t>Interventions relatives aux préservatifs et aux lubrifiants pour les HSH</t>
  </si>
  <si>
    <t>Programas de preservativos y lubricantes para hombres que tienen relaciones sexuales con hombres</t>
  </si>
  <si>
    <t>Other interventions for other vulnerable populations</t>
  </si>
  <si>
    <t>Prophylaxie préexposition (PrEP) pour les HSH</t>
  </si>
  <si>
    <t>Profilaxis previa a la exposición para hombres que tienen relaciones sexuales con hombres</t>
  </si>
  <si>
    <t>Behavioral change as part of programs for adolescent and youth</t>
  </si>
  <si>
    <t>Interventions de réduction des risques parmi les HSH consommateurs de drogues injectables</t>
  </si>
  <si>
    <t>Intervenciones de reducción de daños para hombres que tienen relaciones sexuales con hombres que consumen drogas inyectables</t>
  </si>
  <si>
    <t>Male and female condoms for adolescents and youth, in and out of school</t>
  </si>
  <si>
    <t>Services de dépistage du VIH destinés au HSH</t>
  </si>
  <si>
    <t>Servicios de pruebas de VIH para hombres que tienen relaciones sexuales con hombres</t>
  </si>
  <si>
    <t>Gender-based violence prevention and treatment programs for adolescents and youth</t>
  </si>
  <si>
    <t>Diagnostic et traitement des infections sexuellement transmissibles et autres services liés à la santé sexuelle pour les HSH</t>
  </si>
  <si>
    <t>Diagnóstico y tratamiento de ITS y otros servicios de salud sexual y reproductiva para hombres que tienen relaciones sexuales con hombres</t>
  </si>
  <si>
    <t>Pre-exposure prophylaxis (PrEP) for adolescents and youth</t>
  </si>
  <si>
    <t>Prévention et gestion des co-infections et des comorbidités HSH</t>
  </si>
  <si>
    <t>Prevención y tratamiento de coinfecciones y comorbilidades para hombres que tienen relaciones sexuales con hombres</t>
  </si>
  <si>
    <t>HIV testing services for adolescents and youth, in and out of school</t>
  </si>
  <si>
    <t>Interventions destinées aux hjeunes hommes ayant des rapports sexuels avec des hommes</t>
  </si>
  <si>
    <t>Intervenciones para hombres jóvenes que tienen relaciones sexuales con hombres</t>
  </si>
  <si>
    <t>Community mobilization and norms change</t>
  </si>
  <si>
    <t>Autres interventions ciblant les HSH</t>
  </si>
  <si>
    <t>Otras intervenciones para hombres que tienen relaciones sexuales con hombres</t>
  </si>
  <si>
    <t>Addressing stigma, discrimination and legal barriers to care for adolescents and youth</t>
  </si>
  <si>
    <t>Autonomisation communautaire parmi les professionnels du sexe</t>
  </si>
  <si>
    <t>Empoderamiento de las comunidades a favor de los trabajadores sexuales</t>
  </si>
  <si>
    <t>Socioeconomic approaches</t>
  </si>
  <si>
    <t>Lutte contre la stigmatisation, la discrimination et la violence contre les professionnels du sexe</t>
  </si>
  <si>
    <t>Abordar el estigma, la discriminación y la violencia contra los trabajadores sexuales</t>
  </si>
  <si>
    <t>Interventions pour le changement de comportement ciblant les professionnels du sexe</t>
  </si>
  <si>
    <t>Intervenciones conductuales para trabajadores sexuales</t>
  </si>
  <si>
    <t>Keeping girls in school</t>
  </si>
  <si>
    <t>Interventions relatives aux préservatifs et aux lubrifiants pour les professionnels du sexe</t>
  </si>
  <si>
    <t>Programas de preservativos y lubricantes para trabajadores sexuales</t>
  </si>
  <si>
    <t>Other interventions for adolescent and youth</t>
  </si>
  <si>
    <t>Prophylaxie préexposition (PrEP) pour les professionnels de sexe</t>
  </si>
  <si>
    <t>Profilaxis previa a la exposición para trabajadores sexuales</t>
  </si>
  <si>
    <t>Prong 1: Primary prevention of HIV infection among women of childbearing age</t>
  </si>
  <si>
    <t>Interventions de réduction des risques parmi les professionnels du sexe consommateurs des drogues injectables</t>
  </si>
  <si>
    <t>Intervenciones de reducción de daños para trabajadores sexuales que se inyectan drogas</t>
  </si>
  <si>
    <t>Prong 2: Preventing unintended pregnancies among women living with HIV</t>
  </si>
  <si>
    <t>Services de dépistage du VIH destinés aux professionnels du sexe</t>
  </si>
  <si>
    <t>Servicios de pruebas de VIH para trabajadores sexuales</t>
  </si>
  <si>
    <t>Prong 3: Preventing vertical HIV transmission</t>
  </si>
  <si>
    <t>Diagnostic et traitement des IST et autres services liés à la santé sexuelle et reproductive pour les professionnels du sexe</t>
  </si>
  <si>
    <t>Diagnóstico y tratamiento de ITS y otros servicios de salud sexual y reproductiva para trabajadores sexuales</t>
  </si>
  <si>
    <t>Prong 4: Treatment, care and support to mothers living with HIV, their children and families</t>
  </si>
  <si>
    <t>Prévention et gestion des co-infections et des comorbidités pour les professionnels du sexe</t>
  </si>
  <si>
    <t>Prevención y tratamiento de coinfecciones y comorbilidades para trabajadores sexuales</t>
  </si>
  <si>
    <t>Other interventions for PMTCT</t>
  </si>
  <si>
    <t>Interventions destinées aux jeunes ayant des rapports sexuels payants</t>
  </si>
  <si>
    <t>Intervenciones para jóvenes trabajadores sexuales</t>
  </si>
  <si>
    <t>Differentiated HIV testing services</t>
  </si>
  <si>
    <t>Autres interventions ciblant les professionnels du sexe et de leurs clients</t>
  </si>
  <si>
    <t>Otras intervenciones para trabajadores sexuales y sus clientes</t>
  </si>
  <si>
    <t>HIV care</t>
  </si>
  <si>
    <t>Autonomisation communautaire parmi les consommateurs de drogues injectables</t>
  </si>
  <si>
    <t>Empoderamiento de las comunidades a favor de personas que se inyectan drogas</t>
  </si>
  <si>
    <t>Differentiated antiretroviral therapy service delivery</t>
  </si>
  <si>
    <t>Lutte contre la stigmatisation, la discrimination et la violence contre les consommateurs de drogues injectables</t>
  </si>
  <si>
    <t>Abordar el estigma, la discriminación y la violencia contra personas que consumen drogas inyectables</t>
  </si>
  <si>
    <t>Treatment monitoring - drug resistance surveillance</t>
  </si>
  <si>
    <t>Interventions pour le changement de comportement ciblant les usagers de drogues injectables</t>
  </si>
  <si>
    <t>Intervenciones conductuales para personas que consumen drogas inyectables</t>
  </si>
  <si>
    <t>Treatment monitoring – Viral load</t>
  </si>
  <si>
    <t>Programmes relatifs aux préservatifs et aux lubrifiants pour les consommateurs de drogues injectables</t>
  </si>
  <si>
    <t>Programas de preservativos y lubricantes para personas que consumen drogas inyectables</t>
  </si>
  <si>
    <t>Treatment adherence</t>
  </si>
  <si>
    <t>Prévention et gestion des overdoses</t>
  </si>
  <si>
    <t>Prevención y tratamiento de la sobredosis</t>
  </si>
  <si>
    <t>Prevention, diagnosis and treatment of opportunistic infections</t>
  </si>
  <si>
    <t>Services de dépistage du VIH destinés aux consommateurs de drogues injectables</t>
  </si>
  <si>
    <t>Servicios de pruebas de VIH para personas que consumen drogas inyectables</t>
  </si>
  <si>
    <t>Counseling and psycho-social support</t>
  </si>
  <si>
    <t>Diagnostic et traitement des infections sexuellement transmissibles et autres services liés à la santé sexuelle pour les consommateurs de drogues injectables</t>
  </si>
  <si>
    <t>Diagnóstico y tratamiento de ITS y otros servicios de salud sexual y reproductiva para personas que consumen drogas inyectables</t>
  </si>
  <si>
    <t>Other interventions for treatment</t>
  </si>
  <si>
    <t>Interventions liées aux aiguilles et aux seringues destinées aux consommateurs de drogues injectables et à leurs partenaires</t>
  </si>
  <si>
    <t>Programas de agujas y jeringas para personas que consumen drogas inyectables y sus parejas</t>
  </si>
  <si>
    <t>TB/HIV collaborative interventions</t>
  </si>
  <si>
    <t>Traitement de substitution aux opiacés et autre drogue de dépendance pour les consommateurs de drogues injectables</t>
  </si>
  <si>
    <t>Terapia de sustitución de opiáceos y otros tratamientos para la drogodependencia de personas que consumen drogas inyectables</t>
  </si>
  <si>
    <t>Engaging all care providers (TB/HIV)</t>
  </si>
  <si>
    <t>Prévention et gestion des co-infections et des comorbidités pour les consommateurs de drogues injectables</t>
  </si>
  <si>
    <t>Prevención y tratamiento de coinfecciones y comorbilidades para personas que consumen drogas inyectables</t>
  </si>
  <si>
    <t>Community TB/HIV care delivery</t>
  </si>
  <si>
    <t>Interventions destinées aux jeunes consommateurs de drogues injectables</t>
  </si>
  <si>
    <t>Intervenciones para jóvenes que consumen drogas inyectables</t>
  </si>
  <si>
    <t>Key populations (TB/HIV) – prisoners</t>
  </si>
  <si>
    <t>Autres interventions ciblant les consommateurs de drogues injectables et de leurs partenaires</t>
  </si>
  <si>
    <t>Otras intervenciones para personas que consumen drogas inyectables y sus parejas</t>
  </si>
  <si>
    <t>Key populations (TB/HIV) – Others</t>
  </si>
  <si>
    <t>Autonomisation communautaires parmi les transgenres</t>
  </si>
  <si>
    <t>Empoderamiento de las comunidades a favor de personas transgénero</t>
  </si>
  <si>
    <t>Collaborative activities with other programs and sectors (TB/HIV)</t>
  </si>
  <si>
    <t>Lutte contre la stigmatisation, la disrimination et la violence contre les transgenres</t>
  </si>
  <si>
    <t>Abordar el estigma, la discriminación y la violencia contra personas transgénero</t>
  </si>
  <si>
    <t>Removing human rights- and gender-related barriers to TB/ HIV collaborative programming</t>
  </si>
  <si>
    <t>Interventions pour le changement de comportement parmi les transgenres</t>
  </si>
  <si>
    <t>Intervenciones conductuales para personas transgénero</t>
  </si>
  <si>
    <t>Other TB/HIV intervention(s)</t>
  </si>
  <si>
    <t>Programmes relatifs aux préservatifs et aux lubrifiants pour les transgenres</t>
  </si>
  <si>
    <t>Programas de preservativos y lubricantes para personas transgénero</t>
  </si>
  <si>
    <t>Stigma and discrimination reduction</t>
  </si>
  <si>
    <t>Prophylaxie préexposition et autres interventions biomédicales pour les transgenres</t>
  </si>
  <si>
    <t>Profilaxis previa a la exposición y otras intervenciones biomédicas para personas transgénero</t>
  </si>
  <si>
    <t>Legal literacy (“Know Your Rights”)</t>
  </si>
  <si>
    <t>Interventions de réduction des risques liés à la consommation de drogues pour les transgenres</t>
  </si>
  <si>
    <t>Intervenciones de reducción de daños para personas transgénero que consumen drogas</t>
  </si>
  <si>
    <t>Training of health care providers on human rights and medical ethics related to HIV and HIV/TB</t>
  </si>
  <si>
    <t>Services de dépistage du VIH destinés aux transgenres</t>
  </si>
  <si>
    <t>Servicios de diagnóstico de VIH para personas transgénero</t>
  </si>
  <si>
    <t>HIV and HIV/TB-related legal services</t>
  </si>
  <si>
    <t>Diagnostic et traitement des IST et services liés à la santé sexuelle pour les transgenres</t>
  </si>
  <si>
    <t>Diagnóstico y tratamiento de ITS y servicios de salud sexual y reproductiva para personas transgénero</t>
  </si>
  <si>
    <t>Sensitization of lawmakers and law enforcement agents</t>
  </si>
  <si>
    <t>Prévention et gestion des co-infections et des comorbidités pour les transgenres</t>
  </si>
  <si>
    <t>Prevención y tratamiento de coinfecciones y comorbilidades para personas transgénero</t>
  </si>
  <si>
    <t>Improving laws, regulations and polices relating to HIV and HIV/TB</t>
  </si>
  <si>
    <t>Interventions destinées aux jeunes transgenres</t>
  </si>
  <si>
    <t>Intervenciones para jóvenes transgénero</t>
  </si>
  <si>
    <t>Reducing HIV-related gender discrimination, harmful gender norms and violence against women and girls in all their diversity</t>
  </si>
  <si>
    <t>Autres interventions ciblant les transgenres</t>
  </si>
  <si>
    <t>Otras intervenciones para personas transgénero</t>
  </si>
  <si>
    <t>Other intervention(s) to reduce human rightsrelated barriers to HIV services</t>
  </si>
  <si>
    <t>Autonomisation communautaire parmi les personnes en détention ou se trouvant dans d'autres lieux fermés</t>
  </si>
  <si>
    <t>Empoderamiento de las comunidades en favor de personas privadas de libertad en centros penitenciarios y otros lugares de reclusión</t>
  </si>
  <si>
    <t>Policy, planning, coordination and management of national disease control programs</t>
  </si>
  <si>
    <t>Lutte contre la stigmatisation, la discrimination et la violence contre les personnes en détention ou se trouvant dans d'autres lieux fermés</t>
  </si>
  <si>
    <t>Abordar el estigma, la discriminación y la violencia contra personas en centros penitenciarios y otros lugares de reclusión</t>
  </si>
  <si>
    <t>Grant management</t>
  </si>
  <si>
    <t>Interventions pour le changement de comportement parmi les personnes en détention ou se trouvant dans d'autres lieux fermés</t>
  </si>
  <si>
    <t>Intervenciones conductuales para personas privadas de libertad en centros penitenciarios y otros lugares de reclusión</t>
  </si>
  <si>
    <t>Other program management intervention(s)</t>
  </si>
  <si>
    <t>Programmes relatifs aux préservatifs et aux lubrifiants pour les personnes en détention ou se trouvant dans d'autres lieux fermés</t>
  </si>
  <si>
    <t>Programas de preservativos y lubricantes para personas en centros penitenciarios y otros lugares de reclusión</t>
  </si>
  <si>
    <t>Case detection and diagnosis</t>
  </si>
  <si>
    <t>Prophylaxie préexposition (PrEP) pour les personnes en détention ou se trouvant dans d'autres lieux fermés</t>
  </si>
  <si>
    <t>Profilaxis previa a la exposición (PrEP) para personas privadas de libertad en centros penitenciarios y otros lugares de reclusión</t>
  </si>
  <si>
    <t>Treatment</t>
  </si>
  <si>
    <t>Interventions de réduction des risques parmi les personnes en détention ou se trouvant dans d'autres lieux fermés</t>
  </si>
  <si>
    <t>Intervenciones de reducción de daños para personas privadas de libertad en centros penitenciarios y otros lugares de reclusión</t>
  </si>
  <si>
    <t>Prevention</t>
  </si>
  <si>
    <t>Services de dépistage du VIH destinés aux personnes en détention ou se trouvant dans d'autres lieux fermés</t>
  </si>
  <si>
    <t>Servicios de diagnóstico de VIH para personas privadas de libertad en centros penitenciarios y otros lugares de reclusión</t>
  </si>
  <si>
    <t>Engaging all care providers (TB care and prevention)</t>
  </si>
  <si>
    <t>Diagnostic et traitement des IST et autres srvices liés à la santé sexuelle et reproductive pour les personnes en détention ou se trouvant dans d'autres lieux fermés</t>
  </si>
  <si>
    <t>Diagnóstico y tratamiento de ITS y otros servicios de salud sexual y reproductiva para personas privadas de libertad en centros penitenciarios y otros lugares de reclusión</t>
  </si>
  <si>
    <t>Community TB care delivery</t>
  </si>
  <si>
    <t>Prévention et gestion des co-infections et des comorbidités pour les personnes en détention ou se trouvant dans d'autres lieux fermés</t>
  </si>
  <si>
    <t>Prevención y tratamiento de coinfecciones y comorbilidades para personas privadas de libertad en centros penitenciarios y otros lugares de reclusión</t>
  </si>
  <si>
    <t>Key populations (TB care and prevention) – Prisoners</t>
  </si>
  <si>
    <t>Autres interventions ciblant les personnes en détention ou se trouvant dans d'autres lieux fermés</t>
  </si>
  <si>
    <t>Otras intervenciones para personas privadas de libertad en centros penitenciarios y otros lugares de reclusión</t>
  </si>
  <si>
    <t>Key populations (TB care and prevention) – Others</t>
  </si>
  <si>
    <t>Interventions pour le changement de comportement parmi les autres populations vulnérables</t>
  </si>
  <si>
    <t>Intervenciones conductuales para otras poblaciones vulnerables</t>
  </si>
  <si>
    <t>Collaborative activities with other programs and sectors (TB care and prevention)</t>
  </si>
  <si>
    <t>Préservatifs féminins et masculins pour les autres populations vulnérables</t>
  </si>
  <si>
    <t>Preservativos masculinos y femeninos para otras poblaciones vulnerables</t>
  </si>
  <si>
    <t>Removing human rights- and gender-related barriers to TB care and prevention</t>
  </si>
  <si>
    <t>Services de dépistage du VIH destinés aux autres populations vulnérables</t>
  </si>
  <si>
    <t>Servicios de diagnósticos de VIH para otras poblaciones vulnerables</t>
  </si>
  <si>
    <t>Other TB care and prevention intervention(s)</t>
  </si>
  <si>
    <t>Diagnostic et traitement dees IST et autres services liés à la santé sexuelle pour les autres populations vulnérables</t>
  </si>
  <si>
    <t>Diagnóstico y tratamiento de ITS y otros servicios de salud sexual y reproductiva para otras poblaciones vulnerables</t>
  </si>
  <si>
    <t>Case detection and diagnosis: MDR-TB</t>
  </si>
  <si>
    <t>Autres interventions ciblant les autres populations vulnérables</t>
  </si>
  <si>
    <t>Otras intervenciones para otras poblaciones vulnerables</t>
  </si>
  <si>
    <t>Treatment: MDR-TB</t>
  </si>
  <si>
    <t>Changement des comportements dans le cadre des programmes destinés aux adolescents et aux jeunes</t>
  </si>
  <si>
    <t>Intervenciones para cambio del comportamiento como parte de programas para adolescentes y jóvenes</t>
  </si>
  <si>
    <t>Prevention for MDR-TB</t>
  </si>
  <si>
    <t>Préservatifs féminins et masculins pour les adolescents et les jeunes, scolarisés ou non</t>
  </si>
  <si>
    <t>Preservativos masculinos y femeninos para adolescentes y jóvenes, dentro y fuera de los centros educativos</t>
  </si>
  <si>
    <t>Engaging all care providers (MDR-TB)</t>
  </si>
  <si>
    <t>Programmes de prévention et de traitement de la violence basée sur le genre pour les adolescents et les jeunes</t>
  </si>
  <si>
    <t>Programas de prevención y tratamiento de la violencia de género para adolescentes y jóvenes</t>
  </si>
  <si>
    <t>Community MDR-TB care delivery</t>
  </si>
  <si>
    <t>Prophylaxie préexposition (PrEP) par voir orale pour les adolescents et les jeunes</t>
  </si>
  <si>
    <t>Profilaxis previa a la exposición para adolescentes y jóvenes</t>
  </si>
  <si>
    <t>Key populations (MDR-TB) – Prisoners</t>
  </si>
  <si>
    <t>Services de dépistage du VIH destinés aux adolescents et aux jeunes, scolarisés ou non</t>
  </si>
  <si>
    <t>Servicios de diagnóstico de VIH para adolescentes y jóvenes, dentro y fuera de los centros educativos</t>
  </si>
  <si>
    <t>Key populations (MDR-TB) – Others</t>
  </si>
  <si>
    <t>Mobilisation communautaire et changement des normes</t>
  </si>
  <si>
    <t>Movilización comunitaria y cambio de normas</t>
  </si>
  <si>
    <t>Collaborative activities with other programs and sectors (MDR-TB)</t>
  </si>
  <si>
    <t>Lutte contre la stigmatisation, la discrimination et les obstacles jurifiques à l'accès aux soins</t>
  </si>
  <si>
    <t>Abordar el estigma, la discriminación y las barreras jurídicas en la atención a adolescentes y jóvenes</t>
  </si>
  <si>
    <t>Removing human rights- and gender-related barriers to MDR-TB treatment</t>
  </si>
  <si>
    <t>Approches socio-économiques</t>
  </si>
  <si>
    <t>Enfoques socioeconómicos</t>
  </si>
  <si>
    <t>Other MDR-TB intervention(s)</t>
  </si>
  <si>
    <t>Liens entre les programmes de lutte contre le VIH, les programmes de santé reproductive, maternelle, néonatale et infantile</t>
  </si>
  <si>
    <t>Vinculación entre los programas de VIH, salud sexual y reproductiva, materna, neonatal e infantil y tuberculosis para adolescentes, niñas y mujeres jóvenes</t>
  </si>
  <si>
    <t>Long-lasting insecticidal nets – Mass campaign</t>
  </si>
  <si>
    <t>Maintien des filles à l'école</t>
  </si>
  <si>
    <t>Mantener a las niñas en la escuela</t>
  </si>
  <si>
    <t>Long-lasting insecticidal nets – Continuous distribution</t>
  </si>
  <si>
    <t>Autres interventions ciblant les adolescents et des jeunes</t>
  </si>
  <si>
    <t>Otras intervenciones para adolescentes y jóvenes</t>
  </si>
  <si>
    <t>Indoor residual spraying</t>
  </si>
  <si>
    <t>Volet 1: prévention primaire de l'infection au VIH chet les femmes en âge de procérer</t>
  </si>
  <si>
    <t>Vertiente 1: Prevención primaria de la infección por el VIH en mujeres en edad reproductiva</t>
  </si>
  <si>
    <t>Other vector control measures</t>
  </si>
  <si>
    <t>Volet 2: prévention des grossesses non désirées chez les femmes vivant avec le VIH</t>
  </si>
  <si>
    <t>Vertiente 2: Prevención de embarazos no deseados en mujeres que viven con el VIH</t>
  </si>
  <si>
    <t>Entomological monitoring</t>
  </si>
  <si>
    <t>Volet 3: prévention de la transmissio verticale du VIH</t>
  </si>
  <si>
    <t>Vertiente 3: Prevención de la transmisión maternoinfantil del VIH</t>
  </si>
  <si>
    <t>Information, education, communication/Behavior change communications (vector control)</t>
  </si>
  <si>
    <t>Volet 4: traitement, prise en charge et soutien des mères vivant avec le VIH, de leurs enfants et de leurs familles</t>
  </si>
  <si>
    <t>Vertiente 4: Atención, tratamiento y apoyo para madres que viven con el VIH, así como para sus hijos y familias</t>
  </si>
  <si>
    <t>Removing human rights- and gender-related barriers to vector control programs</t>
  </si>
  <si>
    <t>Autres interventions de prévention de la transmission de la mère à l'enfant</t>
  </si>
  <si>
    <t>Otras intervenciones de PTMI</t>
  </si>
  <si>
    <t>Facility-based treatment</t>
  </si>
  <si>
    <t>Services différenciés de dépistage du VIH</t>
  </si>
  <si>
    <t>Servicios diferenciados de diagnóstico de VIH</t>
  </si>
  <si>
    <t>Epidemic preparedness</t>
  </si>
  <si>
    <t>Prise en charge du VIH</t>
  </si>
  <si>
    <t>Atención para el VIH</t>
  </si>
  <si>
    <t>Integrated community case management (iCCM)</t>
  </si>
  <si>
    <t>Prestation de services différenciés pour les traitement antirétroviraux</t>
  </si>
  <si>
    <t>Prestación de servicios diferenciados de tratamiento antirretroviral</t>
  </si>
  <si>
    <t>Active case detection and investigation (elimination phase)</t>
  </si>
  <si>
    <t>Suivi du traitement - surveillance de la pharmacoérsistance</t>
  </si>
  <si>
    <t>Seguimiento del tratamiento: vigilancia de la farmacorresistencia</t>
  </si>
  <si>
    <t>Therapeutic efficacy surveillance</t>
  </si>
  <si>
    <t>Suivi du traitement - charge virale</t>
  </si>
  <si>
    <t>Seguimiento del tratamiento: carga vírica</t>
  </si>
  <si>
    <t>Severe malaria</t>
  </si>
  <si>
    <t>Observance du traitement</t>
  </si>
  <si>
    <t>Adherencia al tratamiento</t>
  </si>
  <si>
    <t>Private sector case management</t>
  </si>
  <si>
    <t>Prévention, diagnostic et traitement des infections opportunistes</t>
  </si>
  <si>
    <t>Prevención, diagnóstico y tratamiento de infecciones oportunistas</t>
  </si>
  <si>
    <t>Ensuring drug and other health product quality</t>
  </si>
  <si>
    <t>Conseil et soutien psycho-social</t>
  </si>
  <si>
    <t>Asesoramiento y apoyo psicosocial</t>
  </si>
  <si>
    <t>Information, education, communication/behavior change communication (case management)</t>
  </si>
  <si>
    <t>Autres interventions réalisées dans le cadre du traitement</t>
  </si>
  <si>
    <t>Otras intervenciones para el tratamiento</t>
  </si>
  <si>
    <t>Removing human rights- and gender-related barriers to case management</t>
  </si>
  <si>
    <t>Interventions conjointes de lutte contre la tuberculose et le VIH</t>
  </si>
  <si>
    <t>Intervenciones colaborativas de tuberculosis y VIH</t>
  </si>
  <si>
    <t>Other case management intervention(s)</t>
  </si>
  <si>
    <t>Implication de tous les prestataires de soins TB/HIV</t>
  </si>
  <si>
    <t>Incorporar a todos los proveedores de servicios de salud (TB/VIH)</t>
  </si>
  <si>
    <t>Intermittent preventive treatment – In pregnancy</t>
  </si>
  <si>
    <t>Prise en charge communautaire de la coinfection TB/HIV</t>
  </si>
  <si>
    <t>Prestación de atención comunitaria para la TB/VIH</t>
  </si>
  <si>
    <t>Intermittent preventive treatment – In infancy</t>
  </si>
  <si>
    <t>Populations clés (TB/VIH) - prisonniers ou personnes se trouvant dans d'autres lieux fermés</t>
  </si>
  <si>
    <t>Poblaciones clave (TB/VIH): personas privadas de libertad en centros penitenciarios y en otros lugares de reclusión</t>
  </si>
  <si>
    <t>Seasonal malaria chemoprevention</t>
  </si>
  <si>
    <t>Populations clàs (TB/VIH) - autres</t>
  </si>
  <si>
    <t>Poblaciones clave (TB/VIH): otras</t>
  </si>
  <si>
    <t>Mass drug administration</t>
  </si>
  <si>
    <t>Activtiés conjointes avec d'autres programmes et secteurs (TB/VIH)</t>
  </si>
  <si>
    <t>Actividades de colaboración con otros programas y sectores (TB/VIH)</t>
  </si>
  <si>
    <t>Information, education, communication/Behavior change communications (specific prevention interventions)</t>
  </si>
  <si>
    <t>Suppression des obstacles liés aux droits humains et au genre qui entravent les programmes conjoints de lutte contre la tuberculose/VIH</t>
  </si>
  <si>
    <t>Eliminar las barreras relacionadas a los derechos humanos y género para las actividades colaborativas TB/VIH</t>
  </si>
  <si>
    <t>Removing human rights- and gender-related barriers to specific prevention interventions</t>
  </si>
  <si>
    <t>Autres interventions relatives à la coinfection TB/VIH</t>
  </si>
  <si>
    <t>Otras intervenciones TB/VIH</t>
  </si>
  <si>
    <t>Other specific prevention intervention(s)</t>
  </si>
  <si>
    <t>Réduction de la stigmatisation et de la discrimination</t>
  </si>
  <si>
    <t>Reducción del estigma y la discriminación</t>
  </si>
  <si>
    <t>National costed supply chain master plan, and implementation</t>
  </si>
  <si>
    <t>Acquisition de notions de droit ("Connaissez vos droits")</t>
  </si>
  <si>
    <t>Conocimientos jurídicos (“Conoce tus derechos”)</t>
  </si>
  <si>
    <t>Procurement strategy</t>
  </si>
  <si>
    <t>Formation des professionnels de santé en matière de droits humans et d'éthique médicale liés à la lutte contre le VIH et à la lutte conjointe contre le VIH/la tuberculose</t>
  </si>
  <si>
    <t>Formación de los proveedores de servicios de salud sobre los derechos humanos y ética médica en relación con el VIH y la TB/VIH.</t>
  </si>
  <si>
    <t>Supply chain infrastructure and development of tools</t>
  </si>
  <si>
    <t>Services juridiques liés au VIH et à la co-infection VIH/tuberculose</t>
  </si>
  <si>
    <t>Servicios jurídicos relacionados con el VIH y la TB/VIH.</t>
  </si>
  <si>
    <t>National product selection, registration and quality monitoring</t>
  </si>
  <si>
    <t>Sensibilisation des législateurs et des agents de la force publique</t>
  </si>
  <si>
    <t>Sensibilización de los legisladores y cuerpos de seguridad</t>
  </si>
  <si>
    <t>Other procurement and supply chain management intervention(s)</t>
  </si>
  <si>
    <t>Amélioration des lois, des réglementations et des politiques relatives au VIH et à la co-infection VIH/tuberculose</t>
  </si>
  <si>
    <t>Mejora de leyes, reglamentos y políticas relacionadas con el VIH y la TB/VIH.</t>
  </si>
  <si>
    <t>Routine reporting</t>
  </si>
  <si>
    <t>Réduction de la discrimination basée sur le genre, des normes de genre nuisibles et de la violence contre les femmes et les filles dans toute leur diversité, en lien avec le VIH</t>
  </si>
  <si>
    <t>Reducir la discriminación relacionada con el género y el VIH, las normas de género dañinas y la violencia contra mujeres y niñas en toda su diversidad</t>
  </si>
  <si>
    <t>Program and data quality</t>
  </si>
  <si>
    <t>Autres interventions destinées à la réduction des barrières aux services de VIH relatives aux droits de l'Homme</t>
  </si>
  <si>
    <t>Otras intervenciones para reducir las barreras de derechos humanos para accesar a los servicios de VIH</t>
  </si>
  <si>
    <t>Analysis, review and transparency</t>
  </si>
  <si>
    <t>Politiques, planification, coordination et gestion des programmes nationaux de lutte contre les maladies</t>
  </si>
  <si>
    <t>Política, planificación, coordinación y gestión de los programas nacionales de control de enfermedades</t>
  </si>
  <si>
    <t>Surveys</t>
  </si>
  <si>
    <t>Gestion des subventions</t>
  </si>
  <si>
    <t>Gestión de subvenciones</t>
  </si>
  <si>
    <t>Administrative and financial data sources</t>
  </si>
  <si>
    <t>Autre gestion de programme</t>
  </si>
  <si>
    <t>Otro gestión de subvenciones</t>
  </si>
  <si>
    <t>Vital registration system</t>
  </si>
  <si>
    <t>Dépistage et diagnostic des cas</t>
  </si>
  <si>
    <t>Detección de casos y diagnóstico</t>
  </si>
  <si>
    <t>Other health information systems and monitoring and evaluation intervention(s)</t>
  </si>
  <si>
    <t>Traitement</t>
  </si>
  <si>
    <t>Tratamiento</t>
  </si>
  <si>
    <t>Capacity building for health workers, including those at community level</t>
  </si>
  <si>
    <t>Prévention</t>
  </si>
  <si>
    <t>Prevención</t>
  </si>
  <si>
    <t>Retention and scale-up of health workers, including for community health workers</t>
  </si>
  <si>
    <t>Participation de tous les prestataires de soins (prise en charge et prevention de la TB)</t>
  </si>
  <si>
    <t>Incorporar a todos los proveedores de servicios de salud (atención y prevención de la tuberculosis)</t>
  </si>
  <si>
    <t>Other health and community workforce intervention(s)</t>
  </si>
  <si>
    <t>Prise en charge communautaire de la tuberculose</t>
  </si>
  <si>
    <t>Prestación de atención comunitaria para la tuberculosis</t>
  </si>
  <si>
    <t>Supportive policy and programmatic environment</t>
  </si>
  <si>
    <t>Populations clés (prise en charge et prévention de la TB) - prisonniers</t>
  </si>
  <si>
    <t>Poblaciones clave (Atención y prevención de TB): personas privadas de libertad</t>
  </si>
  <si>
    <t>Service organization and facility management</t>
  </si>
  <si>
    <t>Populations clés (prise en charge et prévention de la TB) - autres</t>
  </si>
  <si>
    <t>Poblaciones clave (Atención y prevención de TB): Otros</t>
  </si>
  <si>
    <t>Laboratory systems for disease prevention, control, treatment and disease surveillance</t>
  </si>
  <si>
    <t>Activités conjointes avec d'autres programmes et secteurs (prise en charge et prévention de la TB)</t>
  </si>
  <si>
    <t>Actividades de colaboración con otros programas y sectores (Atención y prevención de TB)</t>
  </si>
  <si>
    <t>Improving service delivery infrastructure</t>
  </si>
  <si>
    <t>Suppression des obstacles liés aux droits humains et au genre qui entravent l'accès aux services de prévention et de prise en charge de la tuberculose</t>
  </si>
  <si>
    <t>Eliminar las barreras relacionadas a los derechos humanos y género para la atención y prevención de TB</t>
  </si>
  <si>
    <t>Provider-initiated feedback mechanisms</t>
  </si>
  <si>
    <t>Autres interventions relatives à la prise en charge et prévention de la TB</t>
  </si>
  <si>
    <t>Otras intervenciones para la atención y prevención de TB</t>
  </si>
  <si>
    <t>Other service delivery intervention(s)</t>
  </si>
  <si>
    <t>Détection et diagnostic des cas: tuberculose multirésistante</t>
  </si>
  <si>
    <t>Detección de casos y diagnóstico: TB-MDR</t>
  </si>
  <si>
    <t>Public financial management strengthening</t>
  </si>
  <si>
    <t>Traitement: tuberculose multirésistante</t>
  </si>
  <si>
    <t>Tratamiento: TB-MDR</t>
  </si>
  <si>
    <t>Routine financial management improvement (non-public financial management)</t>
  </si>
  <si>
    <t>Prévention de la tuberculose multirésistante</t>
  </si>
  <si>
    <t>Prevención de la TB-MDR</t>
  </si>
  <si>
    <t>Other financial management intervention(s)</t>
  </si>
  <si>
    <t>Participation de tous les prestataires de soins (TB-MR)</t>
  </si>
  <si>
    <t>Implicar a todos los proveedores de atención (TB-MDR)</t>
  </si>
  <si>
    <t>National health strategies, alignment with diseasespecific plans, health sector governance and financing</t>
  </si>
  <si>
    <t>Prise en charge communautaire de la TB-MR</t>
  </si>
  <si>
    <t>Prestación de atención comunitaria para TB-MDR</t>
  </si>
  <si>
    <t>Other policy and governance intervention(s)</t>
  </si>
  <si>
    <t>Populations clés (TB-MR) - prisonniers</t>
  </si>
  <si>
    <t>Poblaciones clave (TB-MDR): personas privadas de libertad</t>
  </si>
  <si>
    <t>Community-based monitoring</t>
  </si>
  <si>
    <t>Populations clés (TB-MR) - autres</t>
  </si>
  <si>
    <t>Poblaciones clave (TB-MDR): otros</t>
  </si>
  <si>
    <t>Community-led advocacy</t>
  </si>
  <si>
    <t>Activités conjointes avec d'autres programmes et secteurs (TB-MR)</t>
  </si>
  <si>
    <t>Actividades de colaboración con otros programas y sectores (TB-MDR)</t>
  </si>
  <si>
    <t>Social mobilization, building community linkages, collaboration and coordination</t>
  </si>
  <si>
    <t>Suppression des obstacles liés aux droits humains et au genre qui entravent l'accès au traitement l'accès au traitement de la tuberculose multirésistante</t>
  </si>
  <si>
    <t>Eliminar las barreras relacionadas a los derechos humanos y género para TB-MDR</t>
  </si>
  <si>
    <t>Institutional capacity building, planning and leadership development</t>
  </si>
  <si>
    <t>Autres interventions relatives à la TB-MR</t>
  </si>
  <si>
    <t>Otras intervenciones para TB-MDR</t>
  </si>
  <si>
    <t>Other other community responses and systems intervention(s)</t>
  </si>
  <si>
    <t>Moustiquaires imprégnées d'insecticide de longue durée d'action: campagne de masse</t>
  </si>
  <si>
    <t>Mosquiteros tratados con insecticida de larga duración (MILD) – Campaña a gran escala</t>
  </si>
  <si>
    <t>Moustiquaires imprégnées d'insecticide de longue durée d'action: distribution continue</t>
  </si>
  <si>
    <t>Mosquiteros tratados con insecticida de larga duración (MILD) – Distribución continua</t>
  </si>
  <si>
    <t>Pulvérisation intradomiciliaire à effet rémanent</t>
  </si>
  <si>
    <t>Fumigación de interiores con insecticida de acción residual (FIR)</t>
  </si>
  <si>
    <t>Autres mesures de lutte antivectorielle</t>
  </si>
  <si>
    <t>Otras medidas de control de vectores</t>
  </si>
  <si>
    <t>Surveillance entomologique</t>
  </si>
  <si>
    <t>Seguimiento entomológico</t>
  </si>
  <si>
    <t>IEC/CCC (lutte antivectorielle)</t>
  </si>
  <si>
    <t>IEC/CCC (Control de vectores)</t>
  </si>
  <si>
    <t>Suppression des obstacles liés aux droits humains et au genre entravant l'accès aux programmes de lutte antivectorielle</t>
  </si>
  <si>
    <t>Eliminar los obstáculos relacionados con los derechos humanos y el género en los programas de control de vectores</t>
  </si>
  <si>
    <t>Traitement en milieu hospitalier</t>
  </si>
  <si>
    <t>Tratamiento en centros sanitarios</t>
  </si>
  <si>
    <t>Préparation aux épidémies</t>
  </si>
  <si>
    <t>Preparación ante epidemias</t>
  </si>
  <si>
    <t>Prise en charge inétgrée des cas au niveau communautaire</t>
  </si>
  <si>
    <t>Gestión integrada de casos en la comunidad</t>
  </si>
  <si>
    <t>Dépistage actif des cas et investigation (phase d'élimination)</t>
  </si>
  <si>
    <t>Detección activa de casos e investigación (fase de eliminación)</t>
  </si>
  <si>
    <t>Surveillance de l'efficacité thérapeutique)</t>
  </si>
  <si>
    <t>Vigilancia de la eficacia terapéutica</t>
  </si>
  <si>
    <t>Paludisme grave</t>
  </si>
  <si>
    <t>Malaria grave</t>
  </si>
  <si>
    <t>Prise en charge dans le secteur privé</t>
  </si>
  <si>
    <t>Gestión de casos en el sector privado</t>
  </si>
  <si>
    <t>Assurance Qualité des médicaments et produits de santé</t>
  </si>
  <si>
    <t>Asegurando la calidad de medicamentos y otros productos de salud</t>
  </si>
  <si>
    <t>IEC/CCC (prise en charge)</t>
  </si>
  <si>
    <t>IEC/CCC Gestión de casos</t>
  </si>
  <si>
    <t>Suppression des obstacles liés aux droits humains et au genre qui entravent l'accès aux interventions de prise en charge</t>
  </si>
  <si>
    <t>Eliminar las barreras relacionadas a los derechos humanos y género para la gestión de casos</t>
  </si>
  <si>
    <t>Autres interventions relatives à la prise en charge</t>
  </si>
  <si>
    <t>Otras intervenciones para la gestión de casos</t>
  </si>
  <si>
    <t>Traitement préventif intermittent: femmes enceintes</t>
  </si>
  <si>
    <t>Tratamiento preventivo intermitente – Durante el embarazo</t>
  </si>
  <si>
    <t>Traitement préventif intermittent: nourrissons</t>
  </si>
  <si>
    <t>Tratamiento preventivo intermitente – Durante la infancia</t>
  </si>
  <si>
    <t>Chimioprévention du paludisme saisonnier</t>
  </si>
  <si>
    <t>Quimioprevención estacional de la malaria</t>
  </si>
  <si>
    <t>Administration de médicaments à grande échelle</t>
  </si>
  <si>
    <t>Administración masiva de medicamentos</t>
  </si>
  <si>
    <t>IEC/CCC (interventions de préventions spécifiques)</t>
  </si>
  <si>
    <t>IEC/CCC Intervenciones de prevención específicas</t>
  </si>
  <si>
    <t>Suppression des obstacles liés aux droits humains et au genre qui entravent l'accès aux interventions de préventions spécificiques</t>
  </si>
  <si>
    <t>Eliminar las barreras relacionadas a los derechos humanos y género para las intervenciones específicas de prevención</t>
  </si>
  <si>
    <t>Autres interventions de prévention spécifique</t>
  </si>
  <si>
    <t>Otras intervenciones específicas para la prevención</t>
  </si>
  <si>
    <t>Elaboration et mise en œuvre d'un plan national chiffé relatif à la chaîne d'approvisionnement</t>
  </si>
  <si>
    <t>Plan maestro nacional presupuestado de la cadena de suministros, e implementación</t>
  </si>
  <si>
    <t>Stratégie d'achat</t>
  </si>
  <si>
    <t>Estrategia de adquisiciones</t>
  </si>
  <si>
    <t>Infrastructure de la cha'ine d'approvisionnement et élabortion d'outils</t>
  </si>
  <si>
    <t>Infraestructura de la cadena de suministros y desarrollo de herramientas</t>
  </si>
  <si>
    <t>Processus nationaux de sélection, d'homologation et de suivi de la qualité des produits</t>
  </si>
  <si>
    <t>Selección, registro y monitoreo de la calidad de productos nacionales</t>
  </si>
  <si>
    <t>Autres interventions relatives aux achats et à la chaîne d'approvisionnement</t>
  </si>
  <si>
    <t>Otras intervenciones para la gestión de adquisiciones y cadena de suministros</t>
  </si>
  <si>
    <t>Rapportage des données de routine</t>
  </si>
  <si>
    <t>Presentación de informes rutinarios</t>
  </si>
  <si>
    <t>Qualité du programme et des données</t>
  </si>
  <si>
    <t>Calidad de los programas y de los datos</t>
  </si>
  <si>
    <t>Analyse, revues et transparence</t>
  </si>
  <si>
    <t>Análisis, revisión y transparencia</t>
  </si>
  <si>
    <t>Enquêtes</t>
  </si>
  <si>
    <t>Encuestas</t>
  </si>
  <si>
    <t>Sources de données administratives et financières</t>
  </si>
  <si>
    <t>Fuentes de datos administrativos y financieros</t>
  </si>
  <si>
    <t>Système d'enregistrement de l'état civil</t>
  </si>
  <si>
    <t>Sistema de registro civil</t>
  </si>
  <si>
    <t>Autres interventions relatives aux systèmes d'informations sanitaires et S&amp;E</t>
  </si>
  <si>
    <t>Otras intervenciones para sistemas de información en salud y monitoreo y evaluación</t>
  </si>
  <si>
    <t>Renforcement des capacités des prestataires de santé, y compris au niveau communautaire</t>
  </si>
  <si>
    <t>Desarrollo de capacidad para trabajadores de salud, incluyendo los del nivel comunitario</t>
  </si>
  <si>
    <t>Rétention et renforcement des effectifs du secteur de la santé, y compris des agents de santé communautaires</t>
  </si>
  <si>
    <t>Retención y ampliación del número de trabajadores de salud, incluidos los trabajadores comunitarios</t>
  </si>
  <si>
    <t>Autres interventions relatives aux effectifs du secteur de santé y compris au  niveau communautaire</t>
  </si>
  <si>
    <t>Otras intervenciones para recursos humanos de salud, incluyendo los trabajadores comunitarios</t>
  </si>
  <si>
    <t>Environnement politique et programmatique favorable</t>
  </si>
  <si>
    <t>Entorno político y programático propicio</t>
  </si>
  <si>
    <t>Organisation des services et gestion des établissessments</t>
  </si>
  <si>
    <t>Organización de servicios y gestión de salud</t>
  </si>
  <si>
    <t>Réseaux de laboratoires pour la prévention, le contrôle, la prise en charge et la surveillance des maladies</t>
  </si>
  <si>
    <t>Sistemas de laboratorio para la prevención, el control, el tratamiento y la vigilancia de enfermedades</t>
  </si>
  <si>
    <t>Amélioration de l'infrastructure de prestation de services</t>
  </si>
  <si>
    <t>Mejorar la infraestructura de la prestación de servicios</t>
  </si>
  <si>
    <t>Dispositifs de retour d'information à l'initiative des prestataires</t>
  </si>
  <si>
    <t>Mecanismos de retroalimentación iniciados por los prestadores de servicios</t>
  </si>
  <si>
    <t>Autres interventions relatives à la prestation de services</t>
  </si>
  <si>
    <t>Otras intervenciones para la prestación de servicios</t>
  </si>
  <si>
    <t>Renforcement de la gestion des finances publiques</t>
  </si>
  <si>
    <t>Fortalecimiento de la gestión financiera pública</t>
  </si>
  <si>
    <t>Amélioration de la gestion des finances courantes (hors dépenses publiques)</t>
  </si>
  <si>
    <t>Mejora de la gestión financiera rutinaria (no pública)</t>
  </si>
  <si>
    <t>Autres interventions relatives à la gestion financier</t>
  </si>
  <si>
    <t>Otras intervenciones para sistemas de gestión financiera</t>
  </si>
  <si>
    <t>Stratégies sanitaires nationales, alignement avec les plans maladie spécifiques, gouvernance du secteur de la santé et financement</t>
  </si>
  <si>
    <t>Estrategias nacionales en salud, alineamiento con planes específicos de enfermedades, gobernanza y financiamiento en el ector salud</t>
  </si>
  <si>
    <t>Autres interventions relatives à la politique et à la gouvernance</t>
  </si>
  <si>
    <t>Otras intervenciones para política y gobernanza</t>
  </si>
  <si>
    <t>Suivi au niveau communautaire</t>
  </si>
  <si>
    <t>Monitoreo a nivel comunitario</t>
  </si>
  <si>
    <t>Plaidoyer communautaire</t>
  </si>
  <si>
    <t>Abogacía comunitaria</t>
  </si>
  <si>
    <t>Mobilisation sociale, renforcement des liens communautaires, de la collaboration et de la coordination</t>
  </si>
  <si>
    <t>Movilización social, establecimiento de vínculos comunitarios, colaboración y coordinación</t>
  </si>
  <si>
    <t>Renforcement des capacités institutionnelles, de planification et de direction</t>
  </si>
  <si>
    <t>Desarrollo de capacidades institucionales, planificación y liderazgo</t>
  </si>
  <si>
    <t>Autres interventions relatives aux réponses et systèmes communautaires</t>
  </si>
  <si>
    <t>Otras intervenciones para respuestas y sistemas comunitarios</t>
  </si>
  <si>
    <t>Políticas, planificación, coordinación y gestión de programas nacionales de control de enfermedades</t>
  </si>
  <si>
    <t>Name</t>
  </si>
  <si>
    <t>Record ID</t>
  </si>
  <si>
    <t>Name - Eng</t>
  </si>
  <si>
    <t>Name - FR</t>
  </si>
  <si>
    <t>Name - SP</t>
  </si>
  <si>
    <t>Country (Name)</t>
  </si>
  <si>
    <t>Group of Countries (Name)</t>
  </si>
  <si>
    <t>Funding Request Name</t>
  </si>
  <si>
    <t>Component Name</t>
  </si>
  <si>
    <t>Funding Request Currency</t>
  </si>
  <si>
    <t>[Record ID]</t>
  </si>
  <si>
    <t>[Name]</t>
  </si>
  <si>
    <t>[Name - FR]</t>
  </si>
  <si>
    <t>[Name - ES]</t>
  </si>
  <si>
    <t>Module Name</t>
  </si>
  <si>
    <t>[Module (Name)]</t>
  </si>
  <si>
    <t>Module (Name)</t>
  </si>
  <si>
    <t>[Name ID]</t>
  </si>
  <si>
    <t>Name ID</t>
  </si>
  <si>
    <t>Name - ES</t>
  </si>
  <si>
    <t>Allocation Cycle</t>
  </si>
  <si>
    <t>Group of Countries</t>
  </si>
  <si>
    <t>Country or Group of Countries</t>
  </si>
  <si>
    <t>Amount Requested (USD)</t>
  </si>
  <si>
    <t>Amount Requested (Allocation Currency)</t>
  </si>
  <si>
    <t>Brief Rationale (Translated)</t>
  </si>
  <si>
    <t>Parent Paar Record ID</t>
  </si>
  <si>
    <t xml:space="preserve"> Module Name</t>
  </si>
  <si>
    <t>Column1</t>
  </si>
  <si>
    <t>TRP Notes</t>
  </si>
  <si>
    <t>Brief Rationale</t>
  </si>
  <si>
    <t>records to upload</t>
  </si>
  <si>
    <t>[External ID]</t>
  </si>
  <si>
    <t>External ID</t>
  </si>
  <si>
    <t>PAAR Line external id</t>
  </si>
  <si>
    <t>External Id</t>
  </si>
  <si>
    <t>Intervention id</t>
  </si>
  <si>
    <t>external ID</t>
  </si>
  <si>
    <t>intervention id</t>
  </si>
  <si>
    <t>Module Id</t>
  </si>
  <si>
    <t>High</t>
  </si>
  <si>
    <t>Medium</t>
  </si>
  <si>
    <t>Low</t>
  </si>
  <si>
    <t>Moyen</t>
  </si>
  <si>
    <t>Faible</t>
  </si>
  <si>
    <t>Alto</t>
  </si>
  <si>
    <t>Bajo</t>
  </si>
  <si>
    <t>Medio</t>
  </si>
  <si>
    <t>country name</t>
  </si>
  <si>
    <t>group country name</t>
  </si>
  <si>
    <t>allocation name</t>
  </si>
  <si>
    <t>TRP Comment</t>
  </si>
  <si>
    <t>Pays ou groupe de pays</t>
  </si>
  <si>
    <t>País o grupo de países</t>
  </si>
  <si>
    <t>Niveau de priorité PRT</t>
  </si>
  <si>
    <t>Nivel de prioridad PRT</t>
  </si>
  <si>
    <t>TRP amount approved (allocation currency)</t>
  </si>
  <si>
    <t>Montant approuvé par PRT (devise d’allocation)</t>
  </si>
  <si>
    <t>Cantidad aprobada por PRT (divisa de alocación)</t>
  </si>
  <si>
    <t>TRP amount approved (USD)</t>
  </si>
  <si>
    <t>Montant approuvé par PRT (US$)</t>
  </si>
  <si>
    <t>Cantidad aprobada por PRT (US$)</t>
  </si>
  <si>
    <t>Notes PRT</t>
  </si>
  <si>
    <t>Notas PRT</t>
  </si>
  <si>
    <t>Brief Rationale (translated)</t>
  </si>
  <si>
    <t>Brève justification (traduite)</t>
  </si>
  <si>
    <t>Breve justificación (traducida)</t>
  </si>
  <si>
    <t>Intervention Reference Id (Name)</t>
  </si>
  <si>
    <t>Module Reference Id (Name)</t>
  </si>
  <si>
    <t>PAAR Intervention Name</t>
  </si>
  <si>
    <t>Requested Amount</t>
  </si>
  <si>
    <t>Status</t>
  </si>
  <si>
    <t>Active</t>
  </si>
  <si>
    <t>RRSH</t>
  </si>
  <si>
    <t>[Module-Coverage-Intervention Reference (Name)]</t>
  </si>
  <si>
    <t>Module-Coverage-Intervention Reference (Name)</t>
  </si>
  <si>
    <t>[EUR &gt; USD]</t>
  </si>
  <si>
    <t>EUR &gt; USD</t>
  </si>
  <si>
    <t>Currency Ratio</t>
  </si>
  <si>
    <t>Elevé</t>
  </si>
  <si>
    <t>Applicant Priority Rating(re-translated)</t>
  </si>
  <si>
    <t>TRP priority rating(retranslated)</t>
  </si>
  <si>
    <t>TRP Approved</t>
  </si>
  <si>
    <t>94ba0d93-3574-4c2a-9e5c-27b0aa380139</t>
  </si>
  <si>
    <t>Row number</t>
  </si>
  <si>
    <t>Total Above Allocation Request (Allocation Currency)</t>
  </si>
  <si>
    <t>conditional formating</t>
  </si>
  <si>
    <t>unused formulas to update</t>
  </si>
  <si>
    <t>Module name</t>
  </si>
  <si>
    <t>intervention start</t>
  </si>
  <si>
    <t>intervention end</t>
  </si>
  <si>
    <t>[Component (Name)]</t>
  </si>
  <si>
    <t>Component (Name)</t>
  </si>
  <si>
    <t>[Soft Delete]</t>
  </si>
  <si>
    <t>Soft Delete</t>
  </si>
  <si>
    <t>Montant total de la demande de financement hiérarchisée au-delà de la somme allouée (devise de demande)</t>
  </si>
  <si>
    <t>Total de la solicitud de fondos por encima del Monto asignado PAAR (divisa de solicitud)</t>
  </si>
  <si>
    <t>Not Recommended</t>
  </si>
  <si>
    <t>TRP Priority</t>
  </si>
  <si>
    <t>Non recommandé</t>
  </si>
  <si>
    <t>No recomendado</t>
  </si>
  <si>
    <t>[Record Type (Name)]</t>
  </si>
  <si>
    <t>Record Type (Name)</t>
  </si>
  <si>
    <t xml:space="preserve">   </t>
  </si>
  <si>
    <t>TRP Review Outcome</t>
  </si>
  <si>
    <t>Profile (Name)</t>
  </si>
  <si>
    <t>Instructions</t>
  </si>
  <si>
    <t>Instructions for applicants
Applicants are first requested to provide contextual information about the Prioritized Above Allocation Request in the field “Contextual Information” at the top of the PAAR tab.  This field should include information about why the selected modules were identified and prioritized for additional funding.  
The full list of PAAR interventions should be entered in the table “Prioritized Above Allocation Request (PAAR)”.  Applicants should enter data into columns A, B, D, F and H, starting from the “Applicant Priority Rating” and ending with the “Brief Rationale”. The content for the three first columns is selected from pick-up lists. Ensure that the correct priority rating, module and intervention are selected for each individual line. The column “Amount Requested (USD)” is automatically completed once the value of the prior column is entered.
Please note: The fields “Brief Rationale (Translated)” and the last three green columns are not to be filled in by the applicants.
Please ensure that all applicant fields have been entered in the “Prioritized Above Allocation Request (PAAR)” table. Once the contextual information and columns A-F are completed, please save the Excel file and include it as part of documents submitted with the Funding Request.</t>
  </si>
  <si>
    <t>Instructions pour les candidats
Sélectionnez la langue avec laquelle vous allez travailler avant de commencer le remplissage de ce format.
Les candidats sont d’abord invités à fournir des informations contextuelles sur la demande hiérarchisée de financement au-delà de la somme allouée (PAAR) dans le champ «Information contextuelle» en haut de l’onglet PAAR. Ce champ doit inclure des informations sur les raisons pour lesquelles les modules sélectionnés ont été identifiés et classés par ordre de priorité pour un financement supplémentaire.
La liste complète des interventions PAAR doit être inscrite dans le tableau «demande hiérarchisée de financement au-delà de la somme allouée (PAAR)». Les candidats doivent saisir les données dans les colonnes A, B, D, F et H, en commençant par «la cote de priorité» et en finissant par «la brève justification». Le contenu des trois premières colonnes est sélectionné dans les listes de contrôle. Assurez-vous que le classement de priorité, le module et l'intervention corrects sont sélectionnés pour chaque ligne. La colonne «Montant demandé (USD)» est automatiquement remplie une fois la valeur de la colonne précédente saisie.
Remarque: les champs «brève justification (traduite)» et les trois dernières colonnes vertes ne doivent pas être remplis par les candidats.
Assurez-vous que tous les champs du demandeur ont été entrés dans le tableau «demande hiérarchisée de financement au-delà de la somme allouée (PAAR)». Une fois les informations contextuelles et les colonnes A à F complétées, sauvegardez le fichier Excel et intégrez-le dans les documents joints à la demande de financement.</t>
  </si>
  <si>
    <t>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t>
  </si>
  <si>
    <t>Indique, para los módulos VIH, la población objetivo relevante.</t>
  </si>
  <si>
    <t>Brief Rationale, including expected outcomes and impact (explain how the request builds on the allocation). 
Indicate the relevant population for HIV modules.</t>
  </si>
  <si>
    <t xml:space="preserve">Une courte explication, comprenant les résultats et l’impact attendus (montrer en quoi la requête se base sur l’allocation).
Pour les modules VIH, indiquer la population pertinente. </t>
  </si>
  <si>
    <t>Breve justificación, incluidos resultados e impacto previstos (explique cómo se basa la solicitud en la asignación)
Indique, para los módulos VIH, la población objetivo relevante.</t>
  </si>
  <si>
    <t>Import PAAR</t>
  </si>
  <si>
    <t>Version Number</t>
  </si>
  <si>
    <t>Date</t>
  </si>
  <si>
    <t>Incidents</t>
  </si>
  <si>
    <t>Description</t>
  </si>
  <si>
    <t>US-3982</t>
  </si>
  <si>
    <t>Enabled Instructions sheet and provided translations in English, French, Spanish languages</t>
  </si>
  <si>
    <t>INC123523</t>
  </si>
  <si>
    <t>Blocking the import when 'TRP Review Outcome' is in 'Grant Making' and Profile is 'Country Team'</t>
  </si>
  <si>
    <t>INC124066</t>
  </si>
  <si>
    <t>Formula modification in PAAR sheet at F117 location</t>
  </si>
  <si>
    <t>Version 1.3</t>
  </si>
  <si>
    <t>Modified Formula at  'PaarLineToUpsert' Sheet X1 cell.
Existing : =COUNTA(PAAR!D29:D213)-SUMPRODUCT(COUNTIF(PAAR!D29:D213,"--select--"))
Modified: =COUNTA(PAAR!$B$30:$B$116)</t>
  </si>
  <si>
    <t>INC124942</t>
  </si>
  <si>
    <t>PAAR Sheet, F29:F116, G29:G116, L29:L116 formatted cells to enter only whole numbers</t>
  </si>
  <si>
    <t>INC126081</t>
  </si>
  <si>
    <t>Adjusted Column widths and provided access by enabling Format Cells and Format Rows options.</t>
  </si>
  <si>
    <t xml:space="preserve">     </t>
  </si>
  <si>
    <t>AIM_Funding_Request__c.AIM_Funding_Request_Currency__c</t>
  </si>
  <si>
    <t>CHF</t>
  </si>
  <si>
    <t>AFN</t>
  </si>
  <si>
    <t>AMD</t>
  </si>
  <si>
    <t>AUD</t>
  </si>
  <si>
    <t>BAM</t>
  </si>
  <si>
    <t>BDT</t>
  </si>
  <si>
    <t>BGN</t>
  </si>
  <si>
    <t>BTN</t>
  </si>
  <si>
    <t>CNY</t>
  </si>
  <si>
    <t>COP</t>
  </si>
  <si>
    <t>DOP</t>
  </si>
  <si>
    <t>GBP</t>
  </si>
  <si>
    <t>GEL</t>
  </si>
  <si>
    <t>GHS</t>
  </si>
  <si>
    <t>GNF</t>
  </si>
  <si>
    <t>GTQ</t>
  </si>
  <si>
    <t>IDR</t>
  </si>
  <si>
    <t>ILS</t>
  </si>
  <si>
    <t>INR</t>
  </si>
  <si>
    <t>JMD</t>
  </si>
  <si>
    <t>JOD</t>
  </si>
  <si>
    <t>JPY</t>
  </si>
  <si>
    <t>KES</t>
  </si>
  <si>
    <t>KZT</t>
  </si>
  <si>
    <t>MAD</t>
  </si>
  <si>
    <t>MGA</t>
  </si>
  <si>
    <t>MKD</t>
  </si>
  <si>
    <t>MUR</t>
  </si>
  <si>
    <t>NAD</t>
  </si>
  <si>
    <t>NGN</t>
  </si>
  <si>
    <t>NZD</t>
  </si>
  <si>
    <t>PGK</t>
  </si>
  <si>
    <t>PHP</t>
  </si>
  <si>
    <t>PYG</t>
  </si>
  <si>
    <t>RSD</t>
  </si>
  <si>
    <t>RUB</t>
  </si>
  <si>
    <t>SLL</t>
  </si>
  <si>
    <t>SRD</t>
  </si>
  <si>
    <t>SZL</t>
  </si>
  <si>
    <t>THB</t>
  </si>
  <si>
    <t>TND</t>
  </si>
  <si>
    <t>TZS</t>
  </si>
  <si>
    <t>UAH</t>
  </si>
  <si>
    <t>XAF</t>
  </si>
  <si>
    <t>XOF</t>
  </si>
  <si>
    <t>YER</t>
  </si>
  <si>
    <t>ZAR</t>
  </si>
  <si>
    <t>CAD</t>
  </si>
  <si>
    <t>SEK</t>
  </si>
  <si>
    <t>NOK</t>
  </si>
  <si>
    <t>DKK</t>
  </si>
  <si>
    <t>ISK</t>
  </si>
  <si>
    <t>EGP</t>
  </si>
  <si>
    <t>AED</t>
  </si>
  <si>
    <t>ALL</t>
  </si>
  <si>
    <t>AOA</t>
  </si>
  <si>
    <t>ARS</t>
  </si>
  <si>
    <t>AWG</t>
  </si>
  <si>
    <t>AZN</t>
  </si>
  <si>
    <t>BBD</t>
  </si>
  <si>
    <t>BHD</t>
  </si>
  <si>
    <t>BIF</t>
  </si>
  <si>
    <t>BND</t>
  </si>
  <si>
    <t>BOB</t>
  </si>
  <si>
    <t>BRL</t>
  </si>
  <si>
    <t>BSD</t>
  </si>
  <si>
    <t>BWP</t>
  </si>
  <si>
    <t>BZD</t>
  </si>
  <si>
    <t>CDF</t>
  </si>
  <si>
    <t>CLP</t>
  </si>
  <si>
    <t>CRC</t>
  </si>
  <si>
    <t>CUC</t>
  </si>
  <si>
    <t>CVE</t>
  </si>
  <si>
    <t>CZK</t>
  </si>
  <si>
    <t>DJF</t>
  </si>
  <si>
    <t>DZD</t>
  </si>
  <si>
    <t>EEK</t>
  </si>
  <si>
    <t>ERN</t>
  </si>
  <si>
    <t>ETB</t>
  </si>
  <si>
    <t>FJD</t>
  </si>
  <si>
    <t>FKP</t>
  </si>
  <si>
    <t>GIP</t>
  </si>
  <si>
    <t>GMD</t>
  </si>
  <si>
    <t>GYD</t>
  </si>
  <si>
    <t>HKD</t>
  </si>
  <si>
    <t>HNL</t>
  </si>
  <si>
    <t>HRK</t>
  </si>
  <si>
    <t>HTG</t>
  </si>
  <si>
    <t>HUF</t>
  </si>
  <si>
    <t>IQD</t>
  </si>
  <si>
    <t>IRR</t>
  </si>
  <si>
    <t>KGS</t>
  </si>
  <si>
    <t>KHR</t>
  </si>
  <si>
    <t>KMF</t>
  </si>
  <si>
    <t>KPW</t>
  </si>
  <si>
    <t>KRW</t>
  </si>
  <si>
    <t>KWD</t>
  </si>
  <si>
    <t>KYD</t>
  </si>
  <si>
    <t>LAK</t>
  </si>
  <si>
    <t>LBP</t>
  </si>
  <si>
    <t>LKR</t>
  </si>
  <si>
    <t>LRD</t>
  </si>
  <si>
    <t>LSL</t>
  </si>
  <si>
    <t>LTL</t>
  </si>
  <si>
    <t>LVL</t>
  </si>
  <si>
    <t>LYD</t>
  </si>
  <si>
    <t>MDL</t>
  </si>
  <si>
    <t>MMK</t>
  </si>
  <si>
    <t>MNT</t>
  </si>
  <si>
    <t>MOP</t>
  </si>
  <si>
    <t>MVR</t>
  </si>
  <si>
    <t>MWK</t>
  </si>
  <si>
    <t>MXN</t>
  </si>
  <si>
    <t>MYR</t>
  </si>
  <si>
    <t>NIO</t>
  </si>
  <si>
    <t>NPR</t>
  </si>
  <si>
    <t>OMR</t>
  </si>
  <si>
    <t>PAB</t>
  </si>
  <si>
    <t>PEN</t>
  </si>
  <si>
    <t>PKR</t>
  </si>
  <si>
    <t>PLN</t>
  </si>
  <si>
    <t>QAR</t>
  </si>
  <si>
    <t>RON</t>
  </si>
  <si>
    <t>RWF</t>
  </si>
  <si>
    <t>SAR</t>
  </si>
  <si>
    <t>SBD</t>
  </si>
  <si>
    <t>SCR</t>
  </si>
  <si>
    <t>SDG</t>
  </si>
  <si>
    <t>SGD</t>
  </si>
  <si>
    <t>SHP</t>
  </si>
  <si>
    <t>SKK</t>
  </si>
  <si>
    <t>SOS</t>
  </si>
  <si>
    <t>SYP</t>
  </si>
  <si>
    <t>TJS</t>
  </si>
  <si>
    <t>TOP</t>
  </si>
  <si>
    <t>TRY</t>
  </si>
  <si>
    <t>TTD</t>
  </si>
  <si>
    <t>TWD</t>
  </si>
  <si>
    <t>UGX</t>
  </si>
  <si>
    <t>UYU</t>
  </si>
  <si>
    <t>UZS</t>
  </si>
  <si>
    <t>VND</t>
  </si>
  <si>
    <t>VUV</t>
  </si>
  <si>
    <t>WST</t>
  </si>
  <si>
    <t>XCD</t>
  </si>
  <si>
    <t>XPF</t>
  </si>
  <si>
    <t>MZN</t>
  </si>
  <si>
    <t>TMT</t>
  </si>
  <si>
    <t>ZMW</t>
  </si>
  <si>
    <t>SSP</t>
  </si>
  <si>
    <t>AIM_Funding_Request__c.AIM_TRP_Review_Outcome__c</t>
  </si>
  <si>
    <t>Grant Making</t>
  </si>
  <si>
    <t>Iteration</t>
  </si>
  <si>
    <t>Revised review approach</t>
  </si>
  <si>
    <t>L1FR_PAAR_UQD_Intervention__c.L1FR_TRP_Priority__c</t>
  </si>
  <si>
    <t>L1FR_PAAR_UQD_Intervention__c.L1FR_Applicant_Priority_Rating__c</t>
  </si>
  <si>
    <t>L1FR_PAAR_UQD_Intervention__c.L1FR_Status__c</t>
  </si>
  <si>
    <t>Inactive</t>
  </si>
  <si>
    <t>Expired</t>
  </si>
  <si>
    <t>Not Approved</t>
  </si>
  <si>
    <t>PickListValue</t>
  </si>
  <si>
    <t>PickListKey</t>
  </si>
  <si>
    <t>BYN</t>
  </si>
  <si>
    <t>MRU</t>
  </si>
  <si>
    <t>STN</t>
  </si>
  <si>
    <t>VES</t>
  </si>
  <si>
    <t>ANG</t>
  </si>
  <si>
    <t>BMD</t>
  </si>
  <si>
    <t>CUP</t>
  </si>
  <si>
    <t>a443p000000g7eXAAQ</t>
  </si>
  <si>
    <t>El Salvador</t>
  </si>
  <si>
    <t>FR979-SLV-H</t>
  </si>
  <si>
    <t>a3p1R0000018qtDQAQ</t>
  </si>
  <si>
    <t>a1A360000013M3WEAU</t>
  </si>
  <si>
    <t>Country Team</t>
  </si>
  <si>
    <t>MCI-00648</t>
  </si>
  <si>
    <t>a13360000026QHDAA2</t>
  </si>
  <si>
    <t>PMTCT</t>
  </si>
  <si>
    <t>MCI-00649</t>
  </si>
  <si>
    <t>PTME</t>
  </si>
  <si>
    <t>Differentiated HIV Testing Services</t>
  </si>
  <si>
    <t>MCI-00650</t>
  </si>
  <si>
    <t>Services de dépistage différencié du VIH</t>
  </si>
  <si>
    <t>Servicios diferenciados de diagnóstico del VIH</t>
  </si>
  <si>
    <t>MCI-00651</t>
  </si>
  <si>
    <t>Reducing human rights-related barriers to HIV/TB services</t>
  </si>
  <si>
    <t>MCI-00652</t>
  </si>
  <si>
    <t>Réduction des obstacles liés aux droits humains qui entravent l’accès aux services de lutte contre le VIH/la tuberculose</t>
  </si>
  <si>
    <t>Reducción de las barreras relacionadas con los derechos humanos para acceder a los servicios del VIH y la tuberculosis</t>
  </si>
  <si>
    <t>MCI-00656</t>
  </si>
  <si>
    <t>Tuberculose/VIH</t>
  </si>
  <si>
    <t>MCI-00660</t>
  </si>
  <si>
    <t>RSSH: Health products management systems</t>
  </si>
  <si>
    <t>MCI-00661</t>
  </si>
  <si>
    <t>SRPS: Systèmes de gestion des produits de santé</t>
  </si>
  <si>
    <t>SSRS: sistemas de gestión de productos para la salud</t>
  </si>
  <si>
    <t>MCI-00664</t>
  </si>
  <si>
    <t>SRPS : Fourniture de service intégré et amélioration de la qualité</t>
  </si>
  <si>
    <t>SSRS: mejora de la calidad y la prestación de servicios integrados</t>
  </si>
  <si>
    <t>MCI-00665</t>
  </si>
  <si>
    <t>SRPS : Systèmes de gestion financière</t>
  </si>
  <si>
    <t>SSRS: Sistemas de gestión financiera</t>
  </si>
  <si>
    <t>RSSH: Health sector governance and planning</t>
  </si>
  <si>
    <t>MCI-00666</t>
  </si>
  <si>
    <t>SRPS : Gouvernance et planification du secteur de la santé</t>
  </si>
  <si>
    <t>SSRS: gobernanza y planificación del sector de la salud</t>
  </si>
  <si>
    <t>RSSH: Health management information systems and M&amp;E</t>
  </si>
  <si>
    <t>MCI-00662</t>
  </si>
  <si>
    <t>SRPS : Système de gestion de l’information sanitaire et suivi et évaluation</t>
  </si>
  <si>
    <t>SSRS: Sistemas de información de gestión de salud y M&amp;E (Monitoria y Evaluación)</t>
  </si>
  <si>
    <t>RSSH: Community systems strengthening</t>
  </si>
  <si>
    <t>MCI-00667</t>
  </si>
  <si>
    <t>SRPS : Renforcement des systèmes communautaires</t>
  </si>
  <si>
    <t>SSRS: fortalecimiento de los sistemas comunitarios</t>
  </si>
  <si>
    <t>RSSH: Laboratory systems</t>
  </si>
  <si>
    <t>MCI-00668</t>
  </si>
  <si>
    <t>SRPS : Systèmes de laboratoire</t>
  </si>
  <si>
    <t>SSRS: sistemas de laboratorio</t>
  </si>
  <si>
    <t>Payment for results</t>
  </si>
  <si>
    <t>MCI-00669</t>
  </si>
  <si>
    <t>Financement basé sur les résultats</t>
  </si>
  <si>
    <t>Financiación basada en los resultados</t>
  </si>
  <si>
    <t>MCI-00663</t>
  </si>
  <si>
    <t>SRPS : Ressources humaines pour la santé, y compris agents de santé communautaires</t>
  </si>
  <si>
    <t>SSRS: recursos humanos para la salud  incluidos los trabajadores de la salud comunitarios</t>
  </si>
  <si>
    <t>COVID-19</t>
  </si>
  <si>
    <t>MCI-01236</t>
  </si>
  <si>
    <t>Condom and lubricant programing</t>
  </si>
  <si>
    <t>MCI-00670</t>
  </si>
  <si>
    <t>a1O1R000006c5MZUAY</t>
  </si>
  <si>
    <t>Programmation relative aux préservatifs et aux lubrifiants</t>
  </si>
  <si>
    <t>Programas de preservativos y lubricantes</t>
  </si>
  <si>
    <t>FunOpp_15:ActAre_444</t>
  </si>
  <si>
    <t>Pre-exposure prophylaxis</t>
  </si>
  <si>
    <t>MCI-00671</t>
  </si>
  <si>
    <t>Prophylaxie préexposition</t>
  </si>
  <si>
    <t>PrEP</t>
  </si>
  <si>
    <t>FunOpp_15:ActAre_441</t>
  </si>
  <si>
    <t>Behavior change interventions</t>
  </si>
  <si>
    <t>MCI-00672</t>
  </si>
  <si>
    <t>Interventions pour le changement de comportement</t>
  </si>
  <si>
    <t>Intervenciones para cambio de comportamiento</t>
  </si>
  <si>
    <t>FunOpp_15:ActAre_445</t>
  </si>
  <si>
    <t>Community empowerment</t>
  </si>
  <si>
    <t>MCI-00673</t>
  </si>
  <si>
    <t>Autonomisation des communautés</t>
  </si>
  <si>
    <t>Empoderamiento comunitario</t>
  </si>
  <si>
    <t>FunOpp_15:ActAre_453</t>
  </si>
  <si>
    <t>Sexual and reproductive health services, including STIs</t>
  </si>
  <si>
    <t>MCI-00674</t>
  </si>
  <si>
    <t>Services de santé sexuelle et reproductive, y compris les IST</t>
  </si>
  <si>
    <t>Servicios de salud sexual y reproductiva, incluyendo las ITS</t>
  </si>
  <si>
    <t>FunOpp_15:ActAre_446</t>
  </si>
  <si>
    <t>Harm reduction interventions for drug use</t>
  </si>
  <si>
    <t>MCI-00675</t>
  </si>
  <si>
    <t>Interventions de réduction des risques liées à la consommation de drogues</t>
  </si>
  <si>
    <t>Intervenciones de reducción de daño por consumo de drogas</t>
  </si>
  <si>
    <t>FunOpp_15:ActAre_457</t>
  </si>
  <si>
    <t>Needle and syringe programs</t>
  </si>
  <si>
    <t>MCI-00679</t>
  </si>
  <si>
    <t>Programmes d’échange d’aiguilles et de seringues</t>
  </si>
  <si>
    <t>Programas de agujas y jeringuillas</t>
  </si>
  <si>
    <t>FunOpp_15:ActAre_461</t>
  </si>
  <si>
    <t>Opioid substitution therapy and other medically assisted drug dependence treatment</t>
  </si>
  <si>
    <t>MCI-00680</t>
  </si>
  <si>
    <t>Traitement de substitution aux opiacés et autres traitements médicalement assistés contre la toxicomanie</t>
  </si>
  <si>
    <t>Tratamiento de sustitución de opiáceos y otros tratamientos de la drogodependencia que requieren atención médica</t>
  </si>
  <si>
    <t>FunOpp_15:ActAre_462</t>
  </si>
  <si>
    <t>MCI-00681</t>
  </si>
  <si>
    <t>Prévention et prise en charge des overdoses</t>
  </si>
  <si>
    <t>FunOpp_15:ActAre_463</t>
  </si>
  <si>
    <t>Addressing stigma, discrimination and violence</t>
  </si>
  <si>
    <t>MCI-00676</t>
  </si>
  <si>
    <t>Lutte contre la stigmatisation, la discrimination et la violence</t>
  </si>
  <si>
    <t>Abordaje del estigma, la discriminación y la violencia</t>
  </si>
  <si>
    <t>FunOpp_15:ActAre_452</t>
  </si>
  <si>
    <t>Interventions for young key populations</t>
  </si>
  <si>
    <t>MCI-00677</t>
  </si>
  <si>
    <t>Interventions en faveur des jeunes populations clés</t>
  </si>
  <si>
    <t>Intervenciones para poblaciones jóvenes clave</t>
  </si>
  <si>
    <t>FunOpp_15:ActAre_458</t>
  </si>
  <si>
    <t>Comprehensive sexuality education</t>
  </si>
  <si>
    <t>MCI-00682</t>
  </si>
  <si>
    <t>Éducation complète  à la sexualité</t>
  </si>
  <si>
    <t>Educación sexual integral</t>
  </si>
  <si>
    <t>FunOpp_15:ActAre_442</t>
  </si>
  <si>
    <t>Gender-based violence prevention and post violence care</t>
  </si>
  <si>
    <t>MCI-00683</t>
  </si>
  <si>
    <t>Prévention de la violence fondée sur le genre et soins apportés aux rescapées des violences</t>
  </si>
  <si>
    <t>Prevención de la violencia de género y atención posterior a un episodio de violencia</t>
  </si>
  <si>
    <t>FunOpp_15:ActAre_456</t>
  </si>
  <si>
    <t>Social protection interventions</t>
  </si>
  <si>
    <t>MCI-00684</t>
  </si>
  <si>
    <t>Mesures de protection sociale</t>
  </si>
  <si>
    <t>Intervenciones de protección social</t>
  </si>
  <si>
    <t>FunOpp_15:ActAre_459</t>
  </si>
  <si>
    <t>Integration into national multi-sectoral responses of AGYW programs</t>
  </si>
  <si>
    <t>MCI-00685</t>
  </si>
  <si>
    <t>Intégration des programmes à destination des adolescentes et des jeunes femmes dans les interventions multisectorielles nationales</t>
  </si>
  <si>
    <t>Integración de los programas para niñas adolescentes y mujeres jóvenes en las respuestas nacionales multisectoriales</t>
  </si>
  <si>
    <t>FunOpp_15:ActAre_443</t>
  </si>
  <si>
    <t>Voluntary Medical Male Circumcision</t>
  </si>
  <si>
    <t>MCI-00686</t>
  </si>
  <si>
    <t>Circoncision masculine médicale volontaire</t>
  </si>
  <si>
    <t>Circuncisión médica masculina voluntaria</t>
  </si>
  <si>
    <t>FunOpp_15:ActAre_460</t>
  </si>
  <si>
    <t>National condom program management and stewardship</t>
  </si>
  <si>
    <t>MCI-00687</t>
  </si>
  <si>
    <t>Programmation et gestion du préservatif au niveau national</t>
  </si>
  <si>
    <t>Gestión de programas nacionales para preservativos</t>
  </si>
  <si>
    <t>FunOpp_15:ActAre_454</t>
  </si>
  <si>
    <t>Linkages between HIV programs and RMNCAH</t>
  </si>
  <si>
    <t>MCI-00688</t>
  </si>
  <si>
    <t>Liens entre les programmes de lutte contre le VIH, et la santé reproductive maternelle, du nouveau-né, de l'enfant et de l'adolescent</t>
  </si>
  <si>
    <t>Integración de los programas de VIH y la salud reproductiva, materna, adolescente, infantil y neonatal</t>
  </si>
  <si>
    <t>FunOpp_15:ActAre_455</t>
  </si>
  <si>
    <t>Prevention and management of co-infections and co-morbidities (Prevention)</t>
  </si>
  <si>
    <t>MCI-00678</t>
  </si>
  <si>
    <t>Prévention et prise en charge des co-infections et des co-morbidités (Prévention)</t>
  </si>
  <si>
    <t>Prevención y manejo de coinfecciones y comorbilidades (Prevención)</t>
  </si>
  <si>
    <t>FunOpp_15:ActAre_464</t>
  </si>
  <si>
    <t>MCI-00689</t>
  </si>
  <si>
    <t>a1O1R000006c5MaUAI</t>
  </si>
  <si>
    <t>Volet 1 : Prévention primaire de l’infection au VIH chez les femmes en âge de procréer</t>
  </si>
  <si>
    <t>Vertiente 1: Prevención primaria de la infección por el VIH en mujeres en edad fecunda</t>
  </si>
  <si>
    <t>FunOpp_15:ActAre_73</t>
  </si>
  <si>
    <t>MCI-00690</t>
  </si>
  <si>
    <t>Volet 2 : Prévention des grossesses non désirées chez les femmes vivant avec le VIH</t>
  </si>
  <si>
    <t>FunOpp_15:ActAre_74</t>
  </si>
  <si>
    <t>MCI-00692</t>
  </si>
  <si>
    <t>Volet 4 : Traitement, prise en charge et soutien des mères vivant avec le VIH, de leurs enfants et de leur famille</t>
  </si>
  <si>
    <t>Vertiente 4: Tratamiento, atención y apoyo para madres que viven con el VIH, así como para sus hijos y familias</t>
  </si>
  <si>
    <t>FunOpp_15:ActAre_76</t>
  </si>
  <si>
    <t>MCI-00691</t>
  </si>
  <si>
    <t>Volet 3 : Prévention de la transmission verticale du VIH</t>
  </si>
  <si>
    <t>Vertiente 3: Prevención de la transmisión vertical del VIH</t>
  </si>
  <si>
    <t>FunOpp_15:ActAre_75</t>
  </si>
  <si>
    <t>Facility-based testing</t>
  </si>
  <si>
    <t>MCI-00693</t>
  </si>
  <si>
    <t>a1O1R000006c5MbUAI</t>
  </si>
  <si>
    <t>Dépistage en centre de santé</t>
  </si>
  <si>
    <t>Pruebas a nivel de establecimientos de salud</t>
  </si>
  <si>
    <t>FunOpp_15:ActAre_416</t>
  </si>
  <si>
    <t>Community-based testing</t>
  </si>
  <si>
    <t>MCI-00694</t>
  </si>
  <si>
    <t>Dépistage communautaire</t>
  </si>
  <si>
    <t>Pruebas a nivel comunitario</t>
  </si>
  <si>
    <t>FunOpp_15:ActAre_417</t>
  </si>
  <si>
    <t>Self-testing</t>
  </si>
  <si>
    <t>MCI-00695</t>
  </si>
  <si>
    <t>Autodépistage</t>
  </si>
  <si>
    <t>Autoprueba (self testing)</t>
  </si>
  <si>
    <t>FunOpp_15:ActAre_418</t>
  </si>
  <si>
    <t>Differentiated ART service delivery and HIV care</t>
  </si>
  <si>
    <t>MCI-00696</t>
  </si>
  <si>
    <t>a1O1R000006c5McUAI</t>
  </si>
  <si>
    <t>Services différenciés de traitements antirétroviraux et prise en charge du VIH</t>
  </si>
  <si>
    <t>Prestación de servicios diferenciados de tratamiento antirretroviral y atención para el VIH</t>
  </si>
  <si>
    <t>FunOpp_15:ActAre_422</t>
  </si>
  <si>
    <t>Treatment monitoring - Drug resistance</t>
  </si>
  <si>
    <t>MCI-00697</t>
  </si>
  <si>
    <t>Suivi du traitement – Pharmacorésistance</t>
  </si>
  <si>
    <t>Seguimiento del tratamiento: farmacorresistencia</t>
  </si>
  <si>
    <t>FunOpp_15:ActAre_80</t>
  </si>
  <si>
    <t>Treatment monitoring - ARV toxicity</t>
  </si>
  <si>
    <t>MCI-00698</t>
  </si>
  <si>
    <t>Suivi du traitement – Toxicité des antirétroviraux</t>
  </si>
  <si>
    <t>Seguimiento del tratamiento: toxicidad de la terapia antirretroviral</t>
  </si>
  <si>
    <t>FunOpp_15:ActAre_419</t>
  </si>
  <si>
    <t>Treatment monitoring - Viral load</t>
  </si>
  <si>
    <t>MCI-00699</t>
  </si>
  <si>
    <t>Suivi du traitement – Charge virale</t>
  </si>
  <si>
    <t>Seguimiento del tratamiento: carga viral</t>
  </si>
  <si>
    <t>FunOpp_15:ActAre_219</t>
  </si>
  <si>
    <t>Prevention and management of co-infections and co-morbidities (Treatment, care and support)</t>
  </si>
  <si>
    <t>MCI-00700</t>
  </si>
  <si>
    <t>Prévention et prise en charge des co-infections et des co-morbidités (Traitement, prise en charge et soutien)</t>
  </si>
  <si>
    <t>Prevención y manejo de coinfecciones y comorbilidades (Tratamiento, atención y apoyo)</t>
  </si>
  <si>
    <t>FunOpp_15:ActAre_420</t>
  </si>
  <si>
    <t>MCI-00701</t>
  </si>
  <si>
    <t>Conseil et soutien psychosocial</t>
  </si>
  <si>
    <t>Consejería y apoyo psicosocial</t>
  </si>
  <si>
    <t>FunOpp_15:ActAre_83</t>
  </si>
  <si>
    <t>MCI-00702</t>
  </si>
  <si>
    <t>Paquet de services à destination des orphelins et des enfants vulnérables</t>
  </si>
  <si>
    <t>FunOpp_15:ActAre_421</t>
  </si>
  <si>
    <t>Stigma and discrimination reduction (HIV/TB)</t>
  </si>
  <si>
    <t>MCI-00703</t>
  </si>
  <si>
    <t>a1O1R000006c5MdUAI</t>
  </si>
  <si>
    <t>Réduction du rejet social et de la discrimination (VIH/Tuberculose)</t>
  </si>
  <si>
    <t>Reducción del estigma y la discriminación (VIH/TB)</t>
  </si>
  <si>
    <t>FunOpp_15:ActAre_222</t>
  </si>
  <si>
    <t>Legal Literacy (“Know Your Rights")</t>
  </si>
  <si>
    <t>MCI-00704</t>
  </si>
  <si>
    <t>Éducation juridique (« Connaissez vos droits »)</t>
  </si>
  <si>
    <t>Conocimientos jurídicos («Conoce tus derechos»)</t>
  </si>
  <si>
    <t>FunOpp_15:ActAre_223</t>
  </si>
  <si>
    <t>Human rights and medical ethics related to HIV and HIV/TB for health care providers</t>
  </si>
  <si>
    <t>MCI-00705</t>
  </si>
  <si>
    <t>Droits humains et éthique médicale liée au VIH et à la co-infection VIH/tuberculose pour les prestataires de soins de santé</t>
  </si>
  <si>
    <t>Derechos humanos y ética médica en relación con el VIH y la tuberculosis y el VIH para personal sanitario</t>
  </si>
  <si>
    <t>FunOpp_15:ActAre_224</t>
  </si>
  <si>
    <t>MCI-00706</t>
  </si>
  <si>
    <t>Servicios jurídicos relacionados con el VIH y la TB/VIH</t>
  </si>
  <si>
    <t>FunOpp_15:ActAre_225</t>
  </si>
  <si>
    <t>Sensitization of law-makers and law-enforcement agents</t>
  </si>
  <si>
    <t>MCI-00707</t>
  </si>
  <si>
    <t>Sensibilisation des législateurs et des agents des forces de l’ordre</t>
  </si>
  <si>
    <t>Sensibilización de los cuerpos de seguridad y cuerpos de seguridad</t>
  </si>
  <si>
    <t>FunOpp_15:ActAre_226</t>
  </si>
  <si>
    <t>MCI-00708</t>
  </si>
  <si>
    <t>Amélioration des lois, des règlements et des politiques liés au VIH et à la co-infection VIH/tuberculose</t>
  </si>
  <si>
    <t>Mejora de leyes, reglamentos y políticas relacionadas con el VIH y la TB/VIH</t>
  </si>
  <si>
    <t>FunOpp_15:ActAre_227</t>
  </si>
  <si>
    <t>Community mobilization and advocacy (HIV/TB)</t>
  </si>
  <si>
    <t>MCI-00710</t>
  </si>
  <si>
    <t>Mobilisation et sensibilisation des communautés (VIH/Tuberculose)</t>
  </si>
  <si>
    <t>Movilización y promoción comunitarias (VIH/TB)</t>
  </si>
  <si>
    <t>FunOpp_15:ActAre_423</t>
  </si>
  <si>
    <t>MCI-00709</t>
  </si>
  <si>
    <t>Réduction de la discrimination fondée sur le genre, des normes de genre nocives et de la violence contre les femmes et les filles dans toute leur diversité, en lien avec le VIH</t>
  </si>
  <si>
    <t>Reducción de la discriminación de género relacionada con el VIH, las normas de género perjudiciales y la violencia contra las mujeres y las niñas en toda su diversidad</t>
  </si>
  <si>
    <t>FunOpp_15:ActAre_228</t>
  </si>
  <si>
    <t>MCI-00738</t>
  </si>
  <si>
    <t>a1O1R000006c5MhUAI</t>
  </si>
  <si>
    <t>Activités conjointes de lutte contre la tuberculose et le VIH</t>
  </si>
  <si>
    <t>Actividades de colaboración en materia de TB/VIH</t>
  </si>
  <si>
    <t>FunOpp_15:ActAre_95</t>
  </si>
  <si>
    <t>Screening, testing and diagnosis</t>
  </si>
  <si>
    <t>MCI-00739</t>
  </si>
  <si>
    <t>Dépistage, test et diagnostic</t>
  </si>
  <si>
    <t>Tamizaje, prueba y diagnóstico</t>
  </si>
  <si>
    <t>FunOpp_15:ActAre_410</t>
  </si>
  <si>
    <t>Treatment (TB/HIV)</t>
  </si>
  <si>
    <t>MCI-00740</t>
  </si>
  <si>
    <t>Traitement (Tuberculose/VIH)</t>
  </si>
  <si>
    <t>Tratamiento (TB/VIH)</t>
  </si>
  <si>
    <t>FunOpp_15:ActAre_411</t>
  </si>
  <si>
    <t>Prevention (TB/HIV)</t>
  </si>
  <si>
    <t>MCI-00741</t>
  </si>
  <si>
    <t>Prévention (Tuberculose/VIH)</t>
  </si>
  <si>
    <t>Prevención (TB/VIH)</t>
  </si>
  <si>
    <t>FunOpp_15:ActAre_412</t>
  </si>
  <si>
    <t>MCI-00742</t>
  </si>
  <si>
    <t>Implication de tous les prestataires de soins (Tuberculose/VIH)</t>
  </si>
  <si>
    <t>Involucramiento de todos los proveedores de salud (TB/VIH)</t>
  </si>
  <si>
    <t>FunOpp_15:ActAre_96</t>
  </si>
  <si>
    <t>MCI-00743</t>
  </si>
  <si>
    <t>Prise en charge communautaire de la coïnfection TB/VIH</t>
  </si>
  <si>
    <t>Prestación de servicios comunitarios de TB/VIH</t>
  </si>
  <si>
    <t>FunOpp_15:ActAre_97</t>
  </si>
  <si>
    <t>Key Populations (TB/HIV) - Children</t>
  </si>
  <si>
    <t>MCI-00744</t>
  </si>
  <si>
    <t>Populations clés (Tuberculose/VIH) - Enfants</t>
  </si>
  <si>
    <t>Poblaciones clave (TB/VIH): niños</t>
  </si>
  <si>
    <t>FunOpp_15:ActAre_407</t>
  </si>
  <si>
    <t>Key populations (TB/HIV) - Prisoners</t>
  </si>
  <si>
    <t>MCI-00745</t>
  </si>
  <si>
    <t>Populations clés (Tuberculose/VIH) - Détenus</t>
  </si>
  <si>
    <t>Poblaciones clave (TB/VIH): personas privadas de libertad</t>
  </si>
  <si>
    <t>FunOpp_15:ActAre_220</t>
  </si>
  <si>
    <t>Key populations (TB/HIV) - Mobile populations: refugees, migrants and internally displaced people</t>
  </si>
  <si>
    <t>MCI-00746</t>
  </si>
  <si>
    <t>Populations clés (Tuberculose/VIH) - Populations mobiles : réfugiés, migrants et personnes déplacées à l’intérieur de leur pays</t>
  </si>
  <si>
    <t>Poblaciones clave (TB/VIH): poblaciones móviles (refugiados, migrantes y personas desplazadas internamente)</t>
  </si>
  <si>
    <t>FunOpp_15:ActAre_408</t>
  </si>
  <si>
    <t>Key populations (TB/HIV) - Miners and mining communities</t>
  </si>
  <si>
    <t>MCI-00747</t>
  </si>
  <si>
    <t>Populations clés (Tuberculose/VIH) - Mineurs et communautés minières</t>
  </si>
  <si>
    <t>Poblaciones clave (TB/VIH): mineros y comunidades mineras</t>
  </si>
  <si>
    <t>FunOpp_15:ActAre_409</t>
  </si>
  <si>
    <t>Key populations (TB/HIV) - Others</t>
  </si>
  <si>
    <t>MCI-00748</t>
  </si>
  <si>
    <t>Populations clés (Tuberculose/VIH) - Autres</t>
  </si>
  <si>
    <t>Poblaciones clave (TB/VIH): otros</t>
  </si>
  <si>
    <t>FunOpp_15:ActAre_98</t>
  </si>
  <si>
    <t>MCI-00749</t>
  </si>
  <si>
    <t>Activités conjointes avec d’autres programmes et secteurs (Tuberculose/VIH)</t>
  </si>
  <si>
    <t>FunOpp_15:ActAre_99</t>
  </si>
  <si>
    <t>Coordination and management of national disease control programs</t>
  </si>
  <si>
    <t>MCI-00778</t>
  </si>
  <si>
    <t>a1O1R000006c5MlUAI</t>
  </si>
  <si>
    <t>Coordination et gestion des programmes nationaux de lutte contre les maladies</t>
  </si>
  <si>
    <t>Coordinación y gestión de los programas nacionales de control de enfermedades</t>
  </si>
  <si>
    <t>FunOpp_15:ActAre_167</t>
  </si>
  <si>
    <t>MCI-00779</t>
  </si>
  <si>
    <t>FunOpp_15:ActAre_168</t>
  </si>
  <si>
    <t>Policy, strategy, governance</t>
  </si>
  <si>
    <t>MCI-00780</t>
  </si>
  <si>
    <t>a1O1R000006c5MmUAI</t>
  </si>
  <si>
    <t>Politique, stratégie, gouvernance</t>
  </si>
  <si>
    <t>Política, estrategia, gobernanza</t>
  </si>
  <si>
    <t>FunOpp_15:ActAre_465</t>
  </si>
  <si>
    <t>Storage and distribution capacity</t>
  </si>
  <si>
    <t>MCI-00781</t>
  </si>
  <si>
    <t>Capacité de stockage et de distribution</t>
  </si>
  <si>
    <t>Capacidad de almacenamiento y distribución</t>
  </si>
  <si>
    <t>FunOpp_15:ActAre_433</t>
  </si>
  <si>
    <t>Procurement capacity</t>
  </si>
  <si>
    <t>MCI-00782</t>
  </si>
  <si>
    <t>Capacité en matière d’approvisionnement</t>
  </si>
  <si>
    <t>Capacidad de adquisición</t>
  </si>
  <si>
    <t>FunOpp_15:ActAre_434</t>
  </si>
  <si>
    <t>Regulatory/quality assurance support</t>
  </si>
  <si>
    <t>MCI-00783</t>
  </si>
  <si>
    <t>Soutien en matière d’assurance qualité/réglementation</t>
  </si>
  <si>
    <t>Apoyo regulador/aseguramiento de la calidad</t>
  </si>
  <si>
    <t>FunOpp_15:ActAre_466</t>
  </si>
  <si>
    <t>Avoidance, reduction and management of health care waste</t>
  </si>
  <si>
    <t>MCI-00784</t>
  </si>
  <si>
    <t>Prévention, réduction et gestion des déchets médicaux</t>
  </si>
  <si>
    <t>Gestión de los residuos de la atención sanitaria</t>
  </si>
  <si>
    <t>FunOpp_15:ActAre_424</t>
  </si>
  <si>
    <t>MCI-00785</t>
  </si>
  <si>
    <t>a1O1R000006c5MnUAI</t>
  </si>
  <si>
    <t>Informes rutinarios</t>
  </si>
  <si>
    <t>FunOpp_15:ActAre_161</t>
  </si>
  <si>
    <t>MCI-00786</t>
  </si>
  <si>
    <t>Qualité des données et programmes</t>
  </si>
  <si>
    <t>Calidad del programa y los datos</t>
  </si>
  <si>
    <t>FunOpp_15:ActAre_239</t>
  </si>
  <si>
    <t>Analysis, evaluations, reviews and transparency</t>
  </si>
  <si>
    <t>MCI-00787</t>
  </si>
  <si>
    <t>Analyse, évaluations, revue et transparence</t>
  </si>
  <si>
    <t>Análisis, evaluaciones, revisión y transparencia</t>
  </si>
  <si>
    <t>FunOpp_15:ActAre_162</t>
  </si>
  <si>
    <t>MCI-00788</t>
  </si>
  <si>
    <t>FunOpp_15:ActAre_163</t>
  </si>
  <si>
    <t>Administrative and finance data sources</t>
  </si>
  <si>
    <t>MCI-00789</t>
  </si>
  <si>
    <t>Fuentes de los datos financieros y administrativos</t>
  </si>
  <si>
    <t>FunOpp_15:ActAre_164</t>
  </si>
  <si>
    <t>Civil registration and vital statistics</t>
  </si>
  <si>
    <t>MCI-00790</t>
  </si>
  <si>
    <t>Registre et statistiques de l'état civil</t>
  </si>
  <si>
    <t>Registro civil y estadísticas vitales</t>
  </si>
  <si>
    <t>FunOpp_15:ActAre_165</t>
  </si>
  <si>
    <t>Education and production of new health workers (excluding community health workers)</t>
  </si>
  <si>
    <t>MCI-00791</t>
  </si>
  <si>
    <t>a1O1R000006c5MoUAI</t>
  </si>
  <si>
    <t>Éducation et production de nouveaux travailleurs de santé (à l’exception des agents de santé communautaires)</t>
  </si>
  <si>
    <t>Educación y producción de nuevos trabajadores de  salud (excepto los trabajadores de la salud comunitarios)</t>
  </si>
  <si>
    <t>FunOpp_15:ActAre_425</t>
  </si>
  <si>
    <t>Remuneration &amp; deployment of existing/new staff (excluding community health workers)</t>
  </si>
  <si>
    <t>MCI-00792</t>
  </si>
  <si>
    <t>Rémunération et déploiement de personnel existant/nouveau personnel (à l’exception des agents de santé communautaires)</t>
  </si>
  <si>
    <t>Remuneración y despliegue de personal nuevo/existente (excepto los trabajadores de la salud comunitarios)</t>
  </si>
  <si>
    <t>FunOpp_15:ActAre_426</t>
  </si>
  <si>
    <t>In-service training (excluding community health workers)</t>
  </si>
  <si>
    <t>MCI-00793</t>
  </si>
  <si>
    <t>Formation continue (à l’exception des agents de santé communautaires)</t>
  </si>
  <si>
    <t>Formación durante la prestación de servicios (excepto los trabajadores de  salud comunitarios)</t>
  </si>
  <si>
    <t>FunOpp_15:ActAre_427</t>
  </si>
  <si>
    <t>HRH policy and governance</t>
  </si>
  <si>
    <t>MCI-00794</t>
  </si>
  <si>
    <t>Politiques et gouvernance relatives aux ressources humaines pour la santé (RHS)</t>
  </si>
  <si>
    <t>Política y gobernanza de Recursos Humanos de Salud</t>
  </si>
  <si>
    <t>FunOpp_15:ActAre_428</t>
  </si>
  <si>
    <t>Community health workers: Education and production</t>
  </si>
  <si>
    <t>MCI-00795</t>
  </si>
  <si>
    <t>Agents de santé communautaires : Éducation et production</t>
  </si>
  <si>
    <t>Trabajadores de salud comunitarios: educación y producción</t>
  </si>
  <si>
    <t>FunOpp_15:ActAre_429</t>
  </si>
  <si>
    <t>Community health workers: Remuneration and deployment</t>
  </si>
  <si>
    <t>MCI-00796</t>
  </si>
  <si>
    <t>Agents de santé communautaires : Rémunération et déploiement</t>
  </si>
  <si>
    <t>Trabajadores de salud comunitarios: remuneración y despliegue</t>
  </si>
  <si>
    <t>FunOpp_15:ActAre_430</t>
  </si>
  <si>
    <t>Community health workers: In-service training</t>
  </si>
  <si>
    <t>MCI-00797</t>
  </si>
  <si>
    <t>Agents de santé communautaires : Formation continue</t>
  </si>
  <si>
    <t>Trabajadores de salud comunitarios: formación durante la prestación de los servicios</t>
  </si>
  <si>
    <t>FunOpp_15:ActAre_431</t>
  </si>
  <si>
    <t>Quality of care</t>
  </si>
  <si>
    <t>MCI-00798</t>
  </si>
  <si>
    <t>a1O1R000006c5MpUAI</t>
  </si>
  <si>
    <t>Qualité des soins</t>
  </si>
  <si>
    <t>Calidad de la atención</t>
  </si>
  <si>
    <t>FunOpp_15:ActAre_435</t>
  </si>
  <si>
    <t>MCI-00799</t>
  </si>
  <si>
    <t>Organisation des services et gestion des établissements de santré</t>
  </si>
  <si>
    <t>Organización de los servicios y gestión de establecimientos de salud</t>
  </si>
  <si>
    <t>FunOpp_15:ActAre_131</t>
  </si>
  <si>
    <t>Service delivery infrastructure</t>
  </si>
  <si>
    <t>MCI-00800</t>
  </si>
  <si>
    <t>Infrastructures de prestation de services</t>
  </si>
  <si>
    <t>Infraestructura de la prestación de servicios</t>
  </si>
  <si>
    <t>FunOpp_15:ActAre_133</t>
  </si>
  <si>
    <t>Public financial management (country or donor harmonized) systems</t>
  </si>
  <si>
    <t>MCI-00801</t>
  </si>
  <si>
    <t>a1O1R000006c5MqUAI</t>
  </si>
  <si>
    <t>Systèmes de gestion financière publique (nationaux ou harmonisés par les donateurs)</t>
  </si>
  <si>
    <t>Sistemas de gestión financiera pública (nacionales o armonizados de donantes)</t>
  </si>
  <si>
    <t>FunOpp_15:ActAre_148</t>
  </si>
  <si>
    <t>Routine grant financial management</t>
  </si>
  <si>
    <t>MCI-00802</t>
  </si>
  <si>
    <t>Gestion financière courante des subventions</t>
  </si>
  <si>
    <t>Gestión financiera ordinaria de las subvenciones</t>
  </si>
  <si>
    <t>FunOpp_15:ActAre_242</t>
  </si>
  <si>
    <t>National health sector strategies and financing</t>
  </si>
  <si>
    <t>MCI-00803</t>
  </si>
  <si>
    <t>a1O1R000006c5MrUAI</t>
  </si>
  <si>
    <t>Financement et stratégies du secteur national de la santé</t>
  </si>
  <si>
    <t>Estrategias y financiamiento del sector nacional de la salud</t>
  </si>
  <si>
    <t>FunOpp_15:ActAre_253</t>
  </si>
  <si>
    <t>Policy and planning for national disease control programs</t>
  </si>
  <si>
    <t>MCI-00804</t>
  </si>
  <si>
    <t>Politique et planification des programmes nationaux de lutte contre la maladie</t>
  </si>
  <si>
    <t>Política y planificación para los programas nacionales de control de enfermedades</t>
  </si>
  <si>
    <t>FunOpp_15:ActAre_432</t>
  </si>
  <si>
    <t>MCI-00805</t>
  </si>
  <si>
    <t>a1O1R000006c5MsUAI</t>
  </si>
  <si>
    <t>Suivi réalisé par la communauté</t>
  </si>
  <si>
    <t>FunOpp_15:ActAre_156</t>
  </si>
  <si>
    <t>Community-led advocacy and research</t>
  </si>
  <si>
    <t>MCI-00806</t>
  </si>
  <si>
    <t>Plaidoyer mené par la communauté et recherche</t>
  </si>
  <si>
    <t>Sensibilización e investigación dirigidas por la comunidad</t>
  </si>
  <si>
    <t>FunOpp_15:ActAre_157</t>
  </si>
  <si>
    <t>Social mobilization, building community linkages and coordination</t>
  </si>
  <si>
    <t>MCI-00807</t>
  </si>
  <si>
    <t>Mobilisation sociale, établissement de liens avec la communauté et coordination</t>
  </si>
  <si>
    <t>Movilización social, creación de vínculos comunitarios y coordinación</t>
  </si>
  <si>
    <t>FunOpp_15:ActAre_158</t>
  </si>
  <si>
    <t>MCI-00808</t>
  </si>
  <si>
    <t>Renforcement de la capacité institutionnelle, planification de développement du leadership</t>
  </si>
  <si>
    <t>Creación de capacidad institucional, planificación y desarrollo del liderazgo</t>
  </si>
  <si>
    <t>FunOpp_15:ActAre_159</t>
  </si>
  <si>
    <t>National laboratory governance and management structures</t>
  </si>
  <si>
    <t>MCI-00809</t>
  </si>
  <si>
    <t>a1O1R000006c5MtUAI</t>
  </si>
  <si>
    <t>Structures de gestion et de gouvernance du laboratoire national</t>
  </si>
  <si>
    <t>Estructuras de gestión y gobernanza de los laboratorios nacionales</t>
  </si>
  <si>
    <t>FunOpp_15:ActAre_447</t>
  </si>
  <si>
    <t>Infrastructure and equipment management systems</t>
  </si>
  <si>
    <t>MCI-00810</t>
  </si>
  <si>
    <t>Infrastructure et systèmes de gestion de l’équipement</t>
  </si>
  <si>
    <t>Sistemas de gestión de infraestructuras y equipos</t>
  </si>
  <si>
    <t>FunOpp_15:ActAre_448</t>
  </si>
  <si>
    <t>Quality management systems and accreditation</t>
  </si>
  <si>
    <t>MCI-00811</t>
  </si>
  <si>
    <t>Systèmes de gestion de la qualité et homologation</t>
  </si>
  <si>
    <t>Sistemas de gestión de la calidad y acreditación</t>
  </si>
  <si>
    <t>FunOpp_15:ActAre_449</t>
  </si>
  <si>
    <t>Information systems and integrated specimen transport networks</t>
  </si>
  <si>
    <t>MCI-00812</t>
  </si>
  <si>
    <t>Systèmes d’information et réseaux intégrés de transports d’échantillons</t>
  </si>
  <si>
    <t>Sistemas de información y redes de transporte de muestras integradas</t>
  </si>
  <si>
    <t>FunOpp_15:ActAre_450</t>
  </si>
  <si>
    <t>Laboratory supply chain systems</t>
  </si>
  <si>
    <t>MCI-00813</t>
  </si>
  <si>
    <t>Systèmes de chaînes d’approvisionnement des laboratoires</t>
  </si>
  <si>
    <t>Sistemas de cadena de suministros para los laboratorios</t>
  </si>
  <si>
    <t>FunOpp_15:ActAre_451</t>
  </si>
  <si>
    <t>MCI-00814</t>
  </si>
  <si>
    <t>a1O1R000006c5MuUAI</t>
  </si>
  <si>
    <t>FunOpp_15:ActAre_171</t>
  </si>
  <si>
    <t>COVID-19 control and containment including health systems strengthening</t>
  </si>
  <si>
    <t>MCI-01237</t>
  </si>
  <si>
    <t>a1O3p000003OASdEAO</t>
  </si>
  <si>
    <t>Contrôle et confinement relatif au COVID-19, y compris le renforcement des systèmes de santé</t>
  </si>
  <si>
    <t>Control y contención relacionada a COVID-19, incluyendo el fortalecimiento de los sistemas de salud</t>
  </si>
  <si>
    <t>FunOpp_15:ActAre_287</t>
  </si>
  <si>
    <t>Risk mitigation for disease programs</t>
  </si>
  <si>
    <t>MCI-01238</t>
  </si>
  <si>
    <t>Atténuation des risques pour les programmes de lutte contre les maladies</t>
  </si>
  <si>
    <t>Mitigación de riesgos para los programas de las enfermedades</t>
  </si>
  <si>
    <t>FunOpp_15:ActAre_292</t>
  </si>
  <si>
    <t>a6R3p000000g3KDEAY</t>
  </si>
  <si>
    <t>Geography_82/FundingOpportunity_15</t>
  </si>
  <si>
    <t>Contratación de organizaciones de personas con VH para coordinar con PEpFAR de TAR domiciliar;</t>
  </si>
  <si>
    <t>Descripción de la actividad</t>
  </si>
  <si>
    <t>Categoría de Gastos</t>
  </si>
  <si>
    <t>Entidad ejecutora</t>
  </si>
  <si>
    <t>population</t>
  </si>
  <si>
    <t>Descripción del producto a comprar</t>
  </si>
  <si>
    <t>Y1 Costo Unitario (moneda de la subvención)</t>
  </si>
  <si>
    <t xml:space="preserve"> Cantidad</t>
  </si>
  <si>
    <t xml:space="preserve"> Salida de efectivo</t>
  </si>
  <si>
    <t>Y2 Costo Unitario (moneda de la subvención)</t>
  </si>
  <si>
    <t>Cantidad</t>
  </si>
  <si>
    <t>c</t>
  </si>
  <si>
    <t>Y3 Costo Unitario (moneda de la subvención)</t>
  </si>
  <si>
    <t>Salida de efectivo</t>
  </si>
  <si>
    <t>total de Presupuesto 3 años</t>
  </si>
  <si>
    <t>JUSTIFICACION</t>
  </si>
  <si>
    <t>referencia a los servicios de prevención, diagnóstico, tratamiento, atención y seguimiento clínico del VIH y las ITS, a la vacunación contra la hepatitis B y a otros servicios de atención primaria de salud.</t>
  </si>
  <si>
    <t>5.0 Productos sanitarios: productos no farmacéuticos</t>
  </si>
  <si>
    <t>Ministry of Health of the Republic of El Salvador</t>
  </si>
  <si>
    <t>Trabajadores sexuales y sus clientes</t>
  </si>
  <si>
    <t>VIH</t>
  </si>
  <si>
    <t>SIFILIS</t>
  </si>
  <si>
    <t>HEP B</t>
  </si>
  <si>
    <t>HEP C</t>
  </si>
  <si>
    <t>PCR Clamidia t</t>
  </si>
  <si>
    <t>PCR Neisseria</t>
  </si>
  <si>
    <t>PCR Herpes</t>
  </si>
  <si>
    <t>PCR VPH</t>
  </si>
  <si>
    <t>Insumos para procesamiento y de bioseguridad individuales y colectivos para la realizacion de las pruebas</t>
  </si>
  <si>
    <t>2.0 Costos relacionados con viajes</t>
  </si>
  <si>
    <t>10.0 Material de comunicación y publicaciones</t>
  </si>
  <si>
    <t>alojamiento</t>
  </si>
  <si>
    <t>alimentación</t>
  </si>
  <si>
    <t>Kit Promocional-material educativo</t>
  </si>
  <si>
    <t>Logistica y montaje del foro</t>
  </si>
  <si>
    <t>Plan Internacional.INC</t>
  </si>
  <si>
    <t>gastos de movilización</t>
  </si>
  <si>
    <t>Reuniones para sesiones/alimentacion</t>
  </si>
  <si>
    <t>Abogacia para la contratación Social</t>
  </si>
  <si>
    <t>Capacitación de actores a todos los niveles</t>
  </si>
  <si>
    <t>Diseño del mecanismo de contratación social</t>
  </si>
  <si>
    <t>implementación del proyecto</t>
  </si>
  <si>
    <t>Actividades de prevención relativas a poblaciones jóvenes</t>
  </si>
  <si>
    <t>HSH</t>
  </si>
  <si>
    <t xml:space="preserve">Kit </t>
  </si>
  <si>
    <t>Se considera la  adquisicion de  condoneras  y dotacion de condones  y lubricantes para colocarlos en los espacios amigables de las USCF identificados  para la  adquisisión de los insumos de salud  para los y las jovenes, para tal efecto se han considerado 30 establecimientos de  salud  priorizados, los 3 años de intervención del proyecto. Son las condoneras más insumos de salud para 30 establecimientos de salud, una vez al año, durante 3 años/dotación de los KIT en otros espacios seguros</t>
  </si>
  <si>
    <t>8.0 Infraestructuras</t>
  </si>
  <si>
    <t>Remodelaciones</t>
  </si>
  <si>
    <t>Se pretende  ampliar  los servicios  de salud amigables  atraves de  el equipamiento de espacios dentro de las USCF  priorizadas que garanticen una atencion integral  y confidencial de jovenes y adolescentes , incluye  equipo material educativo, kit de papeleria y readecuaciones  de los espacios de  los establecimeinto de salud</t>
  </si>
  <si>
    <t>Impresión de documentos</t>
  </si>
  <si>
    <t>Inlcuye la reproduccion del material formativo para alumnos y docentes  de 7 a 9 grado ,  que asegurara  la enseñanza de la EIS . Se hara un  piloto cada año  con maestros  y alumnos de zonas priorizadas con alta carga  de   enfermedad  de VIH y  embarazo en adolescente , se hara un piloto cada año por los tres años de  intervecnion del proyecto. El piloto  se desarrollara con 150 docentes  formados en EIS, implemente con  un promedio de 35 estudiantes  el ibro del estudiante ha sido elaborado por el MINEDUCYT para tercer ciclo  7°,  8 ° y 9 °.</t>
  </si>
  <si>
    <t>RRHH</t>
  </si>
  <si>
    <t>Se ha considerado la necesidad de inclusion de 1 RRHH, con el objeto que pueda darle seguimiento a las actividades relacionadas a poblaciones jóvenes clave, dentro de sus funciones estará la coordinación de reuniones de trabajo con personal del MINSAL, MINED, INJUVE, maestros de centros escolares y otros actores claves, con el propósito de definir las tareas necesarias para el cumplimiento de la estrategia aqui priorizada. El costo propuesto incluye, salarios y beneficios de ley, Plan Internacional propone generar una contrapartida para cubrir los costos institucionales que se deriven de la contratación de este RRHH.</t>
  </si>
  <si>
    <t>Talleres</t>
  </si>
  <si>
    <t>Se ha considerado la realización de 3 talleres anuales para potenciar el trabajo de difusion de mensajes de prevención a través de redes de jovenes existentes, provenientes de los jovenes como del equipo de proyecto - Formación de redes de jóvenes en temas de manejo de redes sociales para comunicación en prevención.</t>
  </si>
  <si>
    <t>3.0 Servicios profesionales externos (SPE)</t>
  </si>
  <si>
    <t>Poblaciones claves jóvenes</t>
  </si>
  <si>
    <t>Consultoria</t>
  </si>
  <si>
    <t>Elaboración de estudios de talla poblacional, socialización e impresión de documentos
Elaboración de estudios de comportamientos, actitudes y prácticas, (CAP) y prevalencia, para poblaciones jóvenes clave</t>
  </si>
  <si>
    <t>Reacondicionamiento de las instalaciones, mobiliario/ Descentralización de la TAR</t>
  </si>
  <si>
    <t>9.0 Equipamiento no sanitario</t>
  </si>
  <si>
    <t>Escritorios</t>
  </si>
  <si>
    <t>Silla para médico</t>
  </si>
  <si>
    <t>Silla para pacientes</t>
  </si>
  <si>
    <t>Archivero de 4 cuerpos</t>
  </si>
  <si>
    <t>Tensiometro anaeroide adulto con brazalete</t>
  </si>
  <si>
    <t>Balde metalico para uso hospitalario de acero inoxidable capacidad de 12 a 15 litros</t>
  </si>
  <si>
    <t>Computadora de escritorio de prestaciones medias con sistema operativo privativo</t>
  </si>
  <si>
    <t>UPS de 800 Va</t>
  </si>
  <si>
    <t>impresor laser blanco y negro</t>
  </si>
  <si>
    <t>Con el fin de descentralizar la atención integral a las personas con VIH, se aperturarán Clínicas de Atención Integral en los hospitales de segundo nivel de atención por lo que se requiere la adquisición de un escritorio para los médicos que atenderán a las personas con VIH que asistan a la CAI.</t>
  </si>
  <si>
    <t>Con el fin de descentralizar la atención integral a las personas con VIH, se aperturarán Clínicas de Atención Integral en los hospitales de segundo nivel de atención por lo que se requiere la adquisición de sillas para los médicos que atenderán a las personas con VIH que asistan a la CAI.</t>
  </si>
  <si>
    <t>Con el fin de descentralizar la atención integral a las personas con VIH, se aperturarán Clínicas de Atención Integral en los hospitales de segundo nivel de atención por lo que se requiere la adquisición de sillas para pacientes a ser atendidos en eI consultorio de la CAI.</t>
  </si>
  <si>
    <t>Con el fin de descentralizar la atención integral a las personas con VIH, se aperturarán Clínicas de Atención Integral en los hospitales de segundo nivel de atención por lo que se requiere la adquisición de archiveros para guardar documentación propia de la CAI en la atención de los usuarios.</t>
  </si>
  <si>
    <t>Con el fin de descentralizar la atención integral a las personas con VIH, se aperturarán Clínicas de Atención Integral en los hospitales de segundo nivel de atención por lo que se requiere la adquisición de tensiómetros  para la realización del examen físico a los usuarios de la CAI.</t>
  </si>
  <si>
    <t>Con el fin de descentralizar la atención integral a las personas con VIH, se aperturarán Clínicas de Atención Integral en los hospitales de segundo nivel de atención por lo que se requiere la adquisición de baldes donde se coloquen insumos utilizados durante el examen físico a los usuarios de la CAI.</t>
  </si>
  <si>
    <t xml:space="preserve">Para ampliar la cobertura de la terapia antirretroviral se incorporarán los hospitales de segundo nivel, 4 en el año 1, 5 en el año 2 y 2 en el año 3 (se espera que en 2024 ya se tenga el hospital periférico de Apopa), por lo que se dotará del equipamiento mínimo necesario para fortalecer su servicio, se requiere de un  UPS que proteja los equipos de cómputo de la Clínica de Atención Integral a fin de que se dañen por descargas de energía eléctrica. </t>
  </si>
  <si>
    <t>Silla para enfermera</t>
  </si>
  <si>
    <t>Silla para pacientes en espera</t>
  </si>
  <si>
    <t>Para ampliar la cobertura de la terapia antirretroviral se incorporarán los hospitales de segundo nivel, 4 en el año 1, 5 en el año 2 y 2 en el año 3 (se espera que en 2024 ya se tenga el hospital periférico de Apopa), por lo que se dotará del equipamiento mínimo necesario para fortalecer su servicio, se requiere de un equipo de cómputo para la Clínica de Atención Integral a fin de que puedan registrar su información de manera oportuna; se distribuira para enfermera y encargado de farmacia</t>
  </si>
  <si>
    <t>Aires Acondicionados</t>
  </si>
  <si>
    <t xml:space="preserve">Para ampliar la cobertura de la terapia antirretroviral se incorporarán los hospitales de segundo nivel, 40 en el año 1, 70 en el año 2 y 2 en el año 3: 60 (se espera que en 2024 ya se tenga el hospital periférico de Apopa), por lo que se dotará del equipamiento mínimo necesario para fortalecer su servicio, se requiere aires acondicionados para la Clínica de Atención Integral, el área de enfermeria, área de farmacia y área de laboratorio a fin de que puedan registrar su información de manera oportuna. </t>
  </si>
  <si>
    <t>Readecuación de la CAI del hospital de Santa Ana</t>
  </si>
  <si>
    <t>Líneas Telefonica y datos moviles para establecimientos de la CAI y VICITS</t>
  </si>
  <si>
    <t>Estos Insumos para procesamiento, bioseguridad individuales y colectivos para la toma, manejo y realización de las pruebas, se han incluido para desarrollar adecuadamente las pruebas diagnósticas  dentro de la nueva normalidad  a las personas de las poblaciones clave de mujeres TRANS, tanto en diagnóstico como en seguimiento de VIH y otras ITS dentro de la intervención de PRep</t>
  </si>
  <si>
    <t>Reducción del Estigma y Discriminación</t>
  </si>
  <si>
    <t xml:space="preserve">Medición del Índice de estigma y discriminación hacia las personas con </t>
  </si>
  <si>
    <t>PVV</t>
  </si>
  <si>
    <t>Consultoría</t>
  </si>
  <si>
    <t xml:space="preserve">  </t>
  </si>
  <si>
    <t xml:space="preserve">Las personas que viven con VIH son más estigmatizadas y vulneradas por su condicion de vivir con el virus, con el objeto de identificar los temas que más impactan en las personas se realizará la medición del índice de Estigma y discriminación a nivel nacional tanto en los hospitales del Ministerio de Salud como en el Seguro Social y abarcará aspectos relacionados con los servicios de salud en temas centrales como son; los servicios de salud sexual y reproductiva, de atención médica, de acceso a la Terapia Antirretroviral (TAR) y otros temas relacionados con el estigma y la discriminación en los ámbitos laboral, educativo y comunitario, el auto-estigma, la autopercepción como personas con VIH, el conocimiento de
sus derechos, de las leyes y políticas que los protegen como personas con VIH y de las acciones generadoras de cambios, así como de su participación en la toma de decisiones para mejorar sus condiciones de vida. Se solicitará que los encuestadores de esta medición sean personas con VIH capacitados para este proceso.
</t>
  </si>
  <si>
    <t xml:space="preserve">Dado que se aperturarán nuevas CAI para descentralizar la TAR y que las Clínicas VICITS y amigables ampliarán las estrategias de atención a PrEP y promoción del auto test, búsqueda de contactos, así como la referencia a vinculación a hospitales de los casos positivos diagnosticados, se necesita que cuenten con una línea telefónica móvil que le facilite contactar a los usuarios de la clínica y recordar citas, enviar mensajes educativos sobre adherencia, cambio de comportamiento, entre otros. </t>
  </si>
  <si>
    <t>Se necesita un mejor conocimiento de la prevalencia de VIH en las poblaciones clave, con el presupuesto asignado se actualizará la medición del tamaño de cada una de las poblaciones, con este fondo adicional se hará la medición de la prevalencia en cada una de las poblaciones que con la medición realizada en 2014 y 2016  se tiene una prevalencia de 14.1 % en la población de mujeres trans (año 2014), para HSH 10.5 % y para mujeres trabajadoras sexuales 8.1 % (ambas año 2016). El conocer la prevalencia nos permitirá medir el impacto de las diferentes estrategias e implementar intervenciones que contribuyan al logro de las metas 95-95-95</t>
  </si>
  <si>
    <t>Estipendio para la movilización de los participantes de la sociedad civili que provengan del interior del país para participar en el foro de gestión del conocimiento.</t>
  </si>
  <si>
    <t>Adquisición de servicios de alimentación para participantes en el foro de gestion del conocimiento (refrigerios y almuerzo)</t>
  </si>
  <si>
    <t xml:space="preserve">Alojamiento que incluya el desayuno y la cena para el personal de salud   y de organizaciones de la sociedad civil que provienen de la región oriental que participarán en el foro de gestión del conocimiento </t>
  </si>
  <si>
    <t>Adquisición de mochila, cartapacio con presentaciones y material educativo para cada participante.</t>
  </si>
  <si>
    <t>Contratación de empresa experta en montaje de eventos con equipos audiovisuales y de sonido, pantallas gigantes para visualización de ponencias.</t>
  </si>
  <si>
    <t>Para el fortalecimiento de las capacidades del personal de salud y de las organizaciones de sociedad civil que trabajan en VIH, se realizará un foro anual de gestión del conocimiento que permita el intercambio de experiencias y actualización de conocimientos, para garantizar la participación de personal que vive en ciudades y pueblos alejados de la capital se les proporcionará alojamiento para garantizar la asistencia a tiempo completo los dos días que dure el foro.</t>
  </si>
  <si>
    <t>Para el fortalecimiento de las capacidades del personal de salud y de las organizaciones de sociedad civil que trabajan en VIH, se realizará un foro anual de gestión del conocimiento que permita el intercambio de experiencias y actualización de conocimientos, para garantizar la participación de personal que vive en ciudades y pueblos alejados de la capital se les proporcionará viáticos para el transporte de su ciudad a la capital y viceversa.</t>
  </si>
  <si>
    <t>Para el fortalecimiento de las capacidades del personal de salud y de las organizaciones de sociedad civil que trabajan en VIH, se realizará un foro anual de gestión del conocimiento que permita el intercambio de experiencias y actualización de conocimientos, se requiere un almuerzo y dos refrigerios para los participantes</t>
  </si>
  <si>
    <t>Para el fortalecimiento de las capacidades del personal de salud y de las organizaciones de sociedad civil que trabajan en VIH, se realizará un foro anual de gestión del conocimiento que permita el intercambio de experiencias y actualización de conocimientos, se proveerá de un kit con material educativo y promocional a cada participante.</t>
  </si>
  <si>
    <t>Para el fortalecimiento de las capacidades del personal de salud y de las organizaciones de sociedad civil que trabajan en VIH, se realizará un foro anual de gestión del conocimiento que permita el intercambio de experiencias y actualización de conocimientos, se requiere de los servicios especializados de una empresa experta en montaje de eventos para garantizar el desarrollo de las ponencias sin ningún contratiempo</t>
  </si>
  <si>
    <t>Dado que se cuenta con sistemas de información que facilitan la sistematización de las intervenciones realizadas, es necesario contar con espacios para análisis, evaluación o revisión  de la información entre los diferentes actores que contribuyen a la respuesta nacional al VIH, en atención a las medidas de bioseguridad por COVID-19 se trabajará en modalidad mixta, virtual y presencial desarrollando sesiones con la subcomisión de monitoreo y evaluación integrada por MINSAL, ISSS, COSAM, INJUVE, CSSP, Organizaciones de Sociedad Civil y de personas con VIH, el análisis de la información estratégica permitirá tomar decisiones que fortalezcan la respuesta al VIH. Se desarrollarán 5 sesiones por año con 20 participantes.</t>
  </si>
  <si>
    <t>Este presupuesto incluye los gastos necesarios para financiar la asistencia técnica requerida (consultoría) para motivar, guiar y responsabilizar a los actores estatales y de la Sociedad Civil en la contratación social para la oferta de servicios de salud en VIH, así como diseñar un plan de capacitación para las OSC</t>
  </si>
  <si>
    <t>Para la contratación social se requiere implementar un plan de capacitación para los actores involucrados, tanto por parte del Estado como por parte de las OSC, de modo que estén preparados para lanzar el mecanismo en 2023. Se trabajará en modalidad virtual y semipresencial para discusiones de grupo sobre las diferentes temáticas de contratación social</t>
  </si>
  <si>
    <t>Se contratará una consultoría para el desarrollo del protocolo normativo y del paquete de servicios que se contratarán por mecanismos competitivos y transparentes para dar la oportunidad de participar a las organizaciones que se hayan capacitado. Esto incluirá validación de instrumentos previa oficialización.</t>
  </si>
  <si>
    <t xml:space="preserve">Para la implementación del proyecto de contratación se desarrollarán dialogos de país con a participación de representantes del sector estatal y de las OSC para dar a conocer todos los mecanismos de convocatoria, servicios a adquirir, se harán diálogos a media implementación de la estrategia y un diálogo de evaluación al finalizar el primer año de implementación para la rendición de cuentas y conocimiento de los logros y dificultades encontradas para corregir en el siguiente período. </t>
  </si>
  <si>
    <t>Entrega domiciliar de medicamentos</t>
  </si>
  <si>
    <t>Se contrararán organizaciones de sociedad civil, de preferencia de personas con VIH, para la entrega domiciliar de medicamentos a aquellas personas adherentes que tienen limitaciones para desplazarse a retirar medicamentos a las diferentes CAI. Se considera elaborar un contrato que contemple las tarifas por entrega de ARV de acuerdo a distancia recorrida, se harán enlaces a través del personal de la CAI para verificar la entrega de medicamentos y las organizaciones contratadas deberán retirar los medicamentos en la farmacia de la cAI según listado proporcionado por el personal clínico, en farmacia verificarán listado de entrega  y para el siguiente retiro deberán entregar comprobantes de recepción</t>
  </si>
  <si>
    <t>Intervenciones para el cambio de comportamiento</t>
  </si>
  <si>
    <t>Apoyo para el diseño e implementación y capacitación de las personas privadas de libertad y el personal penitenciario.</t>
  </si>
  <si>
    <t>Personas privadas de libertad en centros penitenciarios y otros lugares de reclusión</t>
  </si>
  <si>
    <t>Servicios de alimentación para promotores pares</t>
  </si>
  <si>
    <t>Actividades de información, educación y comunicación (IEC);</t>
  </si>
  <si>
    <t>Material de comunicación e información</t>
  </si>
  <si>
    <t xml:space="preserve">Para el desarrollo de actividades de promoción y prevención del VIH que incluyan actividades para el cambio de comportamiento y  la promoción de la toma de pruebas de VIH y sífilis así como la promoción de la adherencia a la terapia antirretroviral es necesario capacitar a personas privadas de libertad como promotores pares. El personal del Programa de ITS/VIH junto a los equipos multidisciplinarios  de las UCSF capacitarán anualmente a 500 promotores pares en 5 jornadas por centro penal, proporcionando un refrigerio y almuerzo a cada participante en cada sesión de formación. Se dotará de  un kit de promoción para el promotor par: </t>
  </si>
  <si>
    <t>Kit de promoción para promotor par</t>
  </si>
  <si>
    <t>Para el desarrollo de actividades de promoción y prevención del VIH que incluyan actividades para el cambio de comportamiento y  la promoción de la toma de pruebas de VIH y sífilis así como la promoción de la adherencia a la terapia antirretroviral es necesario capacitar a personas privadas de libertad como promotores pares. Se dotará al promotor par de un kit de promoción cada año: camiseta, cuadernos, lapiceros-El costo del kit es de $10.00</t>
  </si>
  <si>
    <t>Capacitacion a personas prvadas de libertad como promotores pares a fin de que realicen actividades de sensibilización, promoción y prevención del VIH en la población recluida en 31 centros de detención,</t>
  </si>
  <si>
    <t>Contratación social
Este presupuesto incluye los gastos necesarios para financiar la asistencia técnica requerida (consultoría) para motivar, guiar y responsabilizar a los actores estatales y de la Sociedad Civil para llegar a la contración de organizaciones para que brinden servicios de VIH. Se requieren reuniones informativas, elaborar un plan de abogacía y un plan de capacitación a persona de diferentes instituciones estatales y de OSC.</t>
  </si>
  <si>
    <t>Se desarrollarán jornadas de sensibilización y prevención del VIH y otras ITS cambio de comportamiento, impartidas por los promotores pares previo a las jornadas de tamizaje en cada centro penal. Los promotores pares organizarán grupos de PPL para el desarrollo de estas actividades. con una partiipación de 25 a 40 PPL, se les proporcionará material de apoyo para desarrollar estas actividades: papel bond, cartulinas, plumones, pintura, bolígrafos, el paquete de papelería por centro penal es de $200.00 por año (27 CP, 2 centros intermedios y 2 centros de menores, total: 31 centros.</t>
  </si>
  <si>
    <r>
      <t>El hospital San Juan de Dios de Santa Ana es un edificio antiguo que data de principios del siglo XIX, el área donde funciona la CAI es un pabellón que no tiene ventanas ni ventilación, por la pandemia de COVID-19 el comité de seguridad ocupacional ha evaluado las condiciones de funcionamiento y por ser un espacio cerrado el riesgo de contagio de COVID-19 es muy alto, por lo que han recomendado trasladar la clínica a otro espacio, sin embargo no existe en el edificio actual ningún lugar donde se pueda ubicar, por lo que se solicita readecuar un área del hospital para ubicar 7 consultorios, ára de enfermeria para preparación de pacientes, área del digitador, odontología, sala de reuniones, bodega y sala de espera de los pacientes, los servicios que prestan son medicina interna, psiquiatría, psicología, neumología, nutrición, trabajadora social y educadora, servicios sanitarios y área de comedor para el personal. El hospital atiende alrededor de 1,048</t>
    </r>
    <r>
      <rPr>
        <b/>
        <sz val="12"/>
        <rFont val="Calibri"/>
        <family val="2"/>
        <scheme val="minor"/>
      </rPr>
      <t xml:space="preserve"> </t>
    </r>
    <r>
      <rPr>
        <sz val="12"/>
        <rFont val="Calibri"/>
        <family val="2"/>
        <scheme val="minor"/>
      </rPr>
      <t>pacientes y se espera incrementar este número de pacientes.</t>
    </r>
  </si>
  <si>
    <t xml:space="preserve">Medición del Índice de Estigma y discriminación
Las personas que viven con VIH son más estigmatizadas y vulneradas por su condicion de vivir con el virus, con el objeto de identificar los temas que más impactan en las personas se realizará la medición del índice de Estigma y discriminación a nivel nacional tanto en los hospitales del Ministerio de Salud como en el Seguro Social y abarcará aspectos relacionados con los servicios de salud en temas centrales como son; los servicios de salud sexual y reproductiva, de atención médica, de acceso a la Terapia Antirretroviral (TAR) y otros temas relacionados con el estigma y la discriminación en los ámbitos laboral, educativo y comunitario, el auto-estigma, la autopercepción como personas con VIH, el conocimiento de
sus derechos, de las leyes y políticas que los protegen como personas con VIH y de las acciones generadoras de cambios, así como de su participación en la toma de decisiones para mejorar sus condiciones de vida. Se solicitará que los encuestadores de esta medición sean personas con VIH capacitados para este proceso.
</t>
  </si>
  <si>
    <t>Teniendo en cuenta los servicios de salud especializados en población clave a nivel nacional e intervenciones de Prep con referencia a los servicios de prevención, diagnóstico, tratamiento, atención y seguimiento clínico del VIH y las ITS,  en 7 servicios de atención primaria de salud, es importante disponer de pruebas de tamizaje para VIH en la población de trabajadoras(es) sexuales, que opten a profilaxis pre-exposición y evaluar infecciones pasadas o cambios de estatus serológicos  con una meta de: AÑO 1: 1202   AÑO 2: 2,590   AÑO 3: 4,166</t>
  </si>
  <si>
    <t>PrEP para TS
Teniendo en cuenta los servicios de salud especializados en población clave a nivel nacional e intervenciones de Prep con referencia a los servicios de prevención, diagnóstico, tratamiento, atención y seguimiento clínico del VIH y las ITS,  en 7 servicios de atención primaria de salud, es importante disponer de pruebas de tamizaje para VIH en la población de trabajadoras(es) sexuales, que opten a profilaxis pre-exposición y evaluar infecciones pasadas o cambios de estatus serológicos  con una meta de: AÑO 1: 1202   AÑO 2: 2,590   AÑO 3: 4,166</t>
  </si>
  <si>
    <t>Contratación de organizaciones de personas con VH para coordinar con PEpFAR de TAR domiciliar;
Se contrararán organizaciones de sociedad civil, de preferencia de personas con VIH, para la entrega domiciliar de medicamentos a aquellas personas adherentes que tienen limitaciones para desplazarse a retirar medicamentos a las diferentes CAI. Se considera elaborar un contrato que contemple las tarifas por entrega de ARV de acuerdo a distancia recorrida, se harán enlaces a través del personal de la CAI para verificar la entrega de medicamentos y las organizaciones contratadas deberán retirar los medicamentos en la farmacia de la cAI según listado proporcionado por el personal clínico, en farmacia verificarán listado de entrega  y para el siguiente retiro deberán entregar comprobantes de recepción</t>
  </si>
  <si>
    <t xml:space="preserve">
Descentralización de la TAR: El 42 % de las personas con VIH vive en áreas rurales, las largas distancias que tienen que recorrer hasta los hospitales en las cabeceras departamentales y la capital suponen una dificultad añadida para poder acceder regularmente a los tratamientos que necesitan. Fortalecer la descentralización de la oferta de tratamiento antirretroviral a escala nacional en los hospitales de segundo nivel de atención, permitirá promover el continuo de la atención y la adherencia a la terapia ARV así como incrementar el número de personas con supresión viral. Con el fortalecimiento de las CAI se tendrá un acceso ampliado y equitativo a servicios de calidad a las personas con VIH y reducirá el tiempo e inversión económica para buscar su tratamiento y acceso a pruebas de laboratorio y  monitoreo de la carga viral. Dado que la temperatura promedio de El Salvador oscila entre los 28 y 32 grados, es necesario dotar a los establecimientos de equipos de aire acondicionado en los consultorios, área de farmacia y laboratorio para que tanto los pacientes como el equipo multidisciplinario que les atienda estén confortables, sillas para la sala de espera y mobiliario para el personal de enfermería, farmacia y laboratorio, en estos últimos, no disponen de áreas de trabajo adecuadas por lo que se requiere dotar de mesas de acero inoxidable que permitan preparar material de trabajo en condiciones adecuadas y fácil de sanitizar</t>
  </si>
  <si>
    <t>Considerando la alta incidencia en poblaciones jóvenes, y particularmente en la de jóvenes clave, se proponen intervenciones de Educación, Comunicación e Información para la prevención con jóvenes, incluyendo de población clave, buscando a cambiar comportamiento, acompañadas de intervenciones para generar espacios seguros de discusión y de atención en EIS con servicios amigables para jóvenes, particularmente de población clave, dando así también acceso a insumos de prevención.</t>
  </si>
  <si>
    <t>Actividades de prevención relativas a poblaciones jóvenes
Talleres con jóvenes para potenciar trabajo de difusión de mensajes de prevención a través de redes de jóvenes existentes, provenientes de los jóvenes como del equipo de proyecto - Formación de redes de jóvenes en temas de manejo de redes sociales para comunicación en prevención</t>
  </si>
  <si>
    <t>RRHH para el seguimiento a actividades relativas a poblaciones jóvenes clave
Contratación de RRHH, el cual será el encargado de dar respuesta a esta estrategia en el RP Plan.</t>
  </si>
  <si>
    <t>1.0  Recursos Humanos</t>
  </si>
  <si>
    <t>Actividades de prevención relativas a poblaciones jóvenes
anual con enfoque geografico en areas con mayor prevalencia de VIH - libros de texto de estudiantes en 7°, 8°y 9° grado, guias metodologicas, actualizaciones curriculares y manuales de vinculacion EIS. Se ha considerado que 150 docentes formados en EIS implementen con los estudiantes el el libro de texto del MINEDUCYT este libro tiene por objetivo proporcionar al alumno en diversas materias tranversalizando el tema EIS en la curricula, guías metodológicas, actualizaciones curriculares y manuales de vinculación EIS</t>
  </si>
  <si>
    <t>Servios de Alimentación</t>
  </si>
  <si>
    <r>
      <t xml:space="preserve">En esta solicitud por encima del financiamiento aprobado pedimos apoyo para completar la cobertura de atención a las siguientes poblaciones y estrategias:
</t>
    </r>
    <r>
      <rPr>
        <b/>
        <sz val="11"/>
        <color theme="1"/>
        <rFont val="Arial"/>
        <family val="2"/>
      </rPr>
      <t>PrEP en Trabajadoras sexuales</t>
    </r>
    <r>
      <rPr>
        <sz val="11"/>
        <color theme="1"/>
        <rFont val="Arial"/>
        <family val="2"/>
      </rPr>
      <t xml:space="preserve">: Dado que las trabajadoras sexuales son parte de las poblaciones clave donde se concentra el VIH en El Salvador, es importante trabajar con ellas y sus parejas a fin de disminuir el riesgo de infección por VIH, es necesario comenzar por el diseño e implementación de los lineamientos técnicos para la prescripción de la PrEP, capacitar al personal del primer nivel de salud, que son la puerta de entrada al sistema de salud, y a las líderes de las organizaciones de trabajadoras sexuales para que conozcan los lineamientos y las ventajas de utilizar la PrEP. Inicialmente se implementará la PrEP a partir del segundo semestre del año 1 en clínicas VICITS de las ciudades donde hay más trabajadoras sexuales (San Salvador, Santa Ana, Sonsonate y San Miguel) para extender el servicio a 4 clínicas más en el año 3. En el primer semestre se trabajará en la preparación de los establecimientos y el personal para generar la demanda de este servicio y promover la adherencia al mismo. Se coordinará con las OSC de trabajadoras sexuales para desarrollar intervenciones conductuales y promoción de estrategias de fomento del uso de preservativos, prevención personal, protección contra la violencia.
</t>
    </r>
    <r>
      <rPr>
        <b/>
        <sz val="11"/>
        <color theme="1"/>
        <rFont val="Arial"/>
        <family val="2"/>
      </rPr>
      <t>Sistemas de información, monitoreo y evaluación</t>
    </r>
    <r>
      <rPr>
        <sz val="11"/>
        <color theme="1"/>
        <rFont val="Arial"/>
        <family val="2"/>
      </rPr>
      <t xml:space="preserve">: El Ministerio de Salud de El Salvador cuenta con sistemas de información que facilitan la sistematización de las intervenciones realizadas, es necesario contar con espacios para análisis, evaluación o revisión  de la información entre los diferentes actores que contribuyen a la respuesta nacional al VIH, en atención a las medidas de bioseguridad por COVID-19 se trabajará en modalidad mixta, virtual y presencial desarrollando sesiones con la subcomisión de monitoreo y evaluación integrada por MINSAL, ISSS, COSAM, INJUVE, CSSP, Organizaciones de Sociedad Civil y de personas con VIH, el análisis de la información estratégica permitirá tomar decisiones; actualmente no se cuenta con financiamiento para estas reuniones. En aras del empoderamiento del personal que trabaja en VIH se desarrollará un foro anual de gestión del conocimiento donde se den a conocer los avances en la atención al VIH a nivel de la comunidad o en los servicios de salud, esto es un estímulo para los equipos de trabajo que tendrán espacio para compartir experiencias y aprender de las lecciones implementadas en las diferentes intervenciones que se realicen en hospitales, unidades de salud y comunidades. En el foro se espera contar con la participación de referentes de cada región de salud y organizaciones de la sociedad civil, personas con VIH e instituciones formadoras de recursos humanos en salud.
</t>
    </r>
    <r>
      <rPr>
        <b/>
        <sz val="11"/>
        <color theme="1"/>
        <rFont val="Arial"/>
        <family val="2"/>
      </rPr>
      <t>Contratación Social</t>
    </r>
    <r>
      <rPr>
        <sz val="11"/>
        <color theme="1"/>
        <rFont val="Arial"/>
        <family val="2"/>
      </rPr>
      <t xml:space="preserve">: Contamos con una hoja de ruta para la implementación de la contratación social de OSC que brinden servicios de VIH, solicitamos financiamiento para contratar asistencia técnica para motivar, guiar y responsabilizar a los actores estatales y de la Sociedad Civil , capacitación de los diferentes actores, diseño e implementación de plan de abogacía para la movilización de recursos nacionales y  plan de capacitación para determinar la factibilidad de  mecanismos de adquisición pública  de modo que estén preparados para lanzar el mecanismo en 2023.Creación de  protocolo normativo y del paquete de servicios.
</t>
    </r>
    <r>
      <rPr>
        <b/>
        <sz val="11"/>
        <color theme="1"/>
        <rFont val="Arial"/>
        <family val="2"/>
      </rPr>
      <t xml:space="preserve">Descentralización de la TAR: </t>
    </r>
    <r>
      <rPr>
        <sz val="11"/>
        <color theme="1"/>
        <rFont val="Arial"/>
        <family val="2"/>
      </rPr>
      <t xml:space="preserve">El 42 % de las personas con VIH vive en áreas rurales, las largas distancias que tienen que recorrer hasta los hospitales en las cabeceras departamentales y la capital suponen una dificultad añadida para poder acceder regularmente a los tratamientos que necesitan. Fortalecer la descentralización de la oferta de tratamiento antirretroviral a escala nacional en los hospitales de segundo nivel de atención, permitirá promover el continuo de la atención y la adherencia a la terapia ARV así como incrementar el número de personas con supresión viral. Con el fortalecimiento de las CAI se tendrá un acceso ampliado y equitativo a servicios de calidad a las personas con VIH y reducirá el tiempo e inversión económica para buscar su tratamiento y acceso a pruebas de laboratorio y  monitoreo de la carga viral. Dado que la temperatura promedio de El Salvador oscila entre los 28 y 32 grados, es necesario dotar a los establecimientos de equipos de aire acondicionado en los consultorios, área de farmacia y laboratorio para que tanto los pacientes como el equipo multidisciplinario que les atienda estén confortables, sillas para la sala de espera y mobiliario para el personal de enfermería, farmacia y laboratorio, en estos últimos, no disponen de áreas de trabajo adecuadas por lo que se requiere dotar de mesas de acero inoxidable que permitan preparar material de trabajo en condiciones adecuadas y fácil de sanitizar. El Monto adicional es para equipamiento complementarios de las clinicas CAI. 
</t>
    </r>
    <r>
      <rPr>
        <b/>
        <sz val="11"/>
        <color theme="1"/>
        <rFont val="Arial"/>
        <family val="2"/>
      </rPr>
      <t xml:space="preserve">Prestación de servicios diferenciados de tratamiento antirretroviral y atención para el VIH: </t>
    </r>
    <r>
      <rPr>
        <sz val="11"/>
        <color theme="1"/>
        <rFont val="Arial"/>
        <family val="2"/>
      </rPr>
      <t xml:space="preserve">Contratación de organizaciones de personas con VH para coordinar con PEpFAR de TAR domiciliar;
Se contrararán organizaciones de sociedad civil, de preferencia de personas con VIH, para la entrega domiciliar de medicamentos a aquellas personas adherentes que tienen limitaciones para desplazarse a retirar medicamentos a las diferentes CAI. Se considera elaborar un contrato que contemple las tarifas por entrega de ARV de acuerdo a distancia recorrida, se harán enlaces a través del personal de la CAI para verificar la entrega de medicamentos y las organizaciones contratadas deberán retirar los medicamentos en la farmacia de la cAI según listado proporcionado por el personal clínico, en farmacia verificarán listado de entrega  y para el siguiente retiro deberán entregar comprobantes de recepción
</t>
    </r>
    <r>
      <rPr>
        <b/>
        <sz val="11"/>
        <color theme="1"/>
        <rFont val="Arial"/>
        <family val="2"/>
      </rPr>
      <t>Índice de Estigma y discriminación</t>
    </r>
    <r>
      <rPr>
        <sz val="11"/>
        <color theme="1"/>
        <rFont val="Arial"/>
        <family val="2"/>
      </rPr>
      <t xml:space="preserve">: dada la vulnerabilidad de las personas con VIH al estigma y la discriminación por su condición de vivir con VIH, es necesario medir periódicamente este índice en la prestación de servicios de salud, en el trabajo, la comunidad y la autopercepción de las mismas personas con VIH, esto será de utilidad para superar las dificultades que enfrentan las personas con VIH y fortalecer el acceso a la cobertura de sus servicios de salud y garantizar sus derechos humanos
</t>
    </r>
    <r>
      <rPr>
        <b/>
        <sz val="11"/>
        <color theme="1"/>
        <rFont val="Arial"/>
        <family val="2"/>
      </rPr>
      <t>Formación de personas privadas de libertad como promotores pares</t>
    </r>
    <r>
      <rPr>
        <sz val="11"/>
        <color theme="1"/>
        <rFont val="Arial"/>
        <family val="2"/>
      </rPr>
      <t xml:space="preserve">: el país ha desarrollado una estrategia exitosa en la atención a personas privadas de libertad a través de la formación de promotores pares para la prevención del VIH en los centros de reclusión, estos promotores desarrollan diferentes actividades de promoción y prevención del VIH y otras ITS, participan activamente en los tamizajes a PPL y promueven la conformación de grupos de apoyo para PPL con VIH así como también promueven el respeto a los derechos humanos de las PPL LGBTI. Dada la rotación de  PPL en los centros penales se debe capacitar periódicamente a los voluntarios que deseen capacitarse y poner en práctica los conocimientos adquiridos. El presupuesto solicitado fortalecerá las acciones de prevención en los centros de detención 
</t>
    </r>
    <r>
      <rPr>
        <b/>
        <sz val="11"/>
        <color theme="1"/>
        <rFont val="Arial"/>
        <family val="2"/>
      </rPr>
      <t>Poblaciones jovenes clave</t>
    </r>
    <r>
      <rPr>
        <sz val="11"/>
        <color theme="1"/>
        <rFont val="Arial"/>
        <family val="2"/>
      </rPr>
      <t>:  Según los datos epidemiológicos del pais se puede evidenciar que el número de casos de VIH e Infecciones de Transmisión sexual (ITS) en la población Adolescente y Joven es significativa, siendo del 2018 al 2020 de 141 Casos y un total de ITS de 234, siendo las más afectadas las adolescentes y mujeres Jóvenes. Según el estudio de Línea de Base del Proyecto “Servicios Integrales de Salud y Educación para Adolescentes y Jóvenes en El Salvador”,  el cual ha sido referido y esta anexo a la nota conceptual se visualiza que la mayoría de adolescentes y jóvenes no conocen de manera específica sobre métodos anticonceptivos, prevención de embarazo, ITS, entre otros. El acceso universal de las y los adolescentes y jóvenes a una atención integral y diferenciada en los Servicios de Salud Amigables para Adolescentes y Jóvenes (con especial énfasis en salud mental, salud sexual y reproductiva, derechos sexuales y reproductivos, prevención del VIH,  prevención y atención de violencia de género, familiar, sexual y social) sigue siendo aun limitada, debido a la baja cobertura de las Unidades Comunitarias de Salud Familiar, ya que estos servicios no son brindados por todos los centros de salud.  Otro aspecto importante de mencionar es la existencia muy marcada que persiste del estigma y discriminación en la atención y adolescentes por parte de los prestadores de servicios de salud, siendo evidente el trato y abordaje adulto centrista, que trae como consecuencia que las y los adolescentes y jóvenes no consulten por situaciones de salud como el VIH, ITS, violencia sexual entre otros temas más personales de las y los adolescentes y jóvenes, situación que se agrava cuando los adolescentes y jovenes pertenecen a las poblaciones claves como Hombres que tienen sexo con hombres y transgenero. Lo que ocasiona una resistencia de las poblaciones adolescentes y de juventud a acercarse a los servicios de salud. Tomando en cuenta estos aspectos, el país propone el trabajo con las juventudes, incluyendo las juventudes de las poblaciones claves, en la prevención de VIH y otras infecciones de transmisión sexual, en el marco de la educación  integral de la sexualidad, proceso por medio del cual se fortalecerán a las y los adolescentes y jóvenes (15 a 24 años) mediante el fortalecimiento de actitudes, conocimientos  y prácticas que disminuyan el riesgo a la adquisición del VIH y otras Infecciones de transmisión sexual, tanto en los contextos educativos como en comunidad. En las escuelas la focalización estará en las y los adolescentes y en los entornos comunitarios la prioridad será en los jóvenes. Cabe mencionar que estos aspectos de la propuesta PAAR estan directamente relacionados y copmlementan la estrategia propuesta en la nota conapetual para este tema.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</si>
</sst>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F800]dddd\,\ mmmm\ dd\,\ yyyy"/>
    <numFmt numFmtId="165" formatCode="_(* #,##0.00000000000000000_);_(* \(#,##0.00000000000000000\);_(@_)"/>
    <numFmt numFmtId="166" formatCode="_-&quot;$&quot;* #,##0_-;\-&quot;$&quot;* #,##0_-;_-&quot;$&quot;* &quot;-&quot;??_-;_-@_-"/>
  </numFmts>
  <fonts count="34" x14ac:knownFonts="1">
    <font>
      <sz val="11"/>
      <color theme="1"/>
      <name val="Calibri"/>
      <family val="2"/>
      <scheme val="minor"/>
    </font>
    <font>
      <sz val="11"/>
      <color theme="1"/>
      <name val="Calibri"/>
      <family val="2"/>
    </font>
    <font>
      <sz val="11"/>
      <color theme="1"/>
      <name val="Arial"/>
      <family val="2"/>
    </font>
    <font>
      <b/>
      <sz val="11"/>
      <color theme="0"/>
      <name val="Calibri"/>
      <family val="2"/>
      <scheme val="minor"/>
    </font>
    <font>
      <b/>
      <sz val="11"/>
      <color theme="1"/>
      <name val="Calibri"/>
      <family val="2"/>
      <scheme val="minor"/>
    </font>
    <font>
      <b/>
      <sz val="11"/>
      <color theme="0"/>
      <name val="Arial"/>
      <family val="2"/>
    </font>
    <font>
      <b/>
      <sz val="11"/>
      <color theme="1"/>
      <name val="Arial"/>
      <family val="2"/>
    </font>
    <font>
      <b/>
      <sz val="14"/>
      <color theme="0"/>
      <name val="Arial"/>
      <family val="2"/>
    </font>
    <font>
      <sz val="12"/>
      <color theme="1"/>
      <name val="Arial"/>
      <family val="2"/>
    </font>
    <font>
      <sz val="14"/>
      <color theme="1"/>
      <name val="Arial"/>
      <family val="2"/>
    </font>
    <font>
      <b/>
      <u/>
      <sz val="12"/>
      <color theme="1"/>
      <name val="Arial"/>
      <family val="2"/>
    </font>
    <font>
      <b/>
      <sz val="18"/>
      <color theme="0"/>
      <name val="Arial"/>
      <family val="2"/>
    </font>
    <font>
      <b/>
      <i/>
      <sz val="14"/>
      <color rgb="FFC00000"/>
      <name val="Arial"/>
      <family val="2"/>
    </font>
    <font>
      <b/>
      <sz val="11"/>
      <name val="Arial"/>
      <family val="2"/>
    </font>
    <font>
      <sz val="11"/>
      <color rgb="FFFF0000"/>
      <name val="Calibri"/>
      <family val="2"/>
      <scheme val="minor"/>
    </font>
    <font>
      <sz val="10"/>
      <name val="Arial"/>
      <family val="2"/>
    </font>
    <font>
      <b/>
      <sz val="10"/>
      <name val="Arial"/>
      <family val="2"/>
    </font>
    <font>
      <b/>
      <sz val="11"/>
      <color rgb="FFFF0000"/>
      <name val="Arial"/>
      <family val="2"/>
    </font>
    <font>
      <sz val="11"/>
      <color rgb="FFFF0000"/>
      <name val="Arial"/>
      <family val="2"/>
    </font>
    <font>
      <sz val="11"/>
      <name val="Calibri"/>
      <family val="2"/>
      <scheme val="minor"/>
    </font>
    <font>
      <sz val="11"/>
      <name val="Arial"/>
      <family val="2"/>
    </font>
    <font>
      <sz val="7"/>
      <color rgb="FF000000"/>
      <name val="Verdana"/>
      <family val="2"/>
      <charset val="238"/>
    </font>
    <font>
      <b/>
      <sz val="11"/>
      <color theme="1"/>
      <name val="Arial"/>
      <family val="2"/>
      <charset val="238"/>
    </font>
    <font>
      <sz val="11"/>
      <color rgb="FF000000"/>
      <name val="Arial"/>
      <family val="2"/>
      <charset val="238"/>
    </font>
    <font>
      <b/>
      <sz val="10"/>
      <name val="Arial"/>
      <family val="2"/>
      <charset val="238"/>
    </font>
    <font>
      <sz val="11"/>
      <color theme="1"/>
      <name val="Arial"/>
      <family val="2"/>
      <charset val="238"/>
    </font>
    <font>
      <sz val="12"/>
      <color theme="1"/>
      <name val="Calibri"/>
      <family val="2"/>
      <charset val="238"/>
      <scheme val="minor"/>
    </font>
    <font>
      <sz val="9"/>
      <color rgb="FF1D1C1D"/>
      <name val="Arial"/>
      <family val="2"/>
      <charset val="238"/>
    </font>
    <font>
      <b/>
      <sz val="11"/>
      <color rgb="FF000000"/>
      <name val="Arial"/>
      <family val="2"/>
      <charset val="238"/>
    </font>
    <font>
      <sz val="12"/>
      <color theme="1"/>
      <name val="Times New Roman"/>
      <family val="1"/>
    </font>
    <font>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s>
  <fills count="19">
    <fill>
      <patternFill patternType="none"/>
    </fill>
    <fill>
      <patternFill patternType="gray125"/>
    </fill>
    <fill>
      <patternFill patternType="solid">
        <fgColor theme="8"/>
        <bgColor theme="8"/>
      </patternFill>
    </fill>
    <fill>
      <patternFill patternType="solid">
        <fgColor rgb="FF003F7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s>
  <borders count="18">
    <border>
      <left/>
      <right/>
      <top/>
      <bottom/>
      <diagonal/>
    </border>
    <border>
      <left style="thin">
        <color theme="8"/>
      </left>
      <right/>
      <top style="thin">
        <color theme="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style="hair">
        <color indexed="64"/>
      </right>
      <top style="hair">
        <color auto="1"/>
      </top>
      <bottom style="hair">
        <color indexed="64"/>
      </bottom>
      <diagonal/>
    </border>
    <border>
      <left style="hair">
        <color theme="8"/>
      </left>
      <right style="hair">
        <color theme="8"/>
      </right>
      <top style="hair">
        <color theme="8"/>
      </top>
      <bottom style="hair">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
    <xf numFmtId="0" fontId="0" fillId="0" borderId="0"/>
    <xf numFmtId="0" fontId="15" fillId="0" borderId="0"/>
    <xf numFmtId="44" fontId="30" fillId="0" borderId="0" applyFont="0" applyFill="0" applyBorder="0" applyAlignment="0" applyProtection="0"/>
    <xf numFmtId="0" fontId="31" fillId="0" borderId="0"/>
    <xf numFmtId="44" fontId="31" fillId="0" borderId="0" applyFont="0" applyFill="0" applyBorder="0" applyAlignment="0" applyProtection="0"/>
    <xf numFmtId="44" fontId="31" fillId="0" borderId="0" applyFont="0" applyFill="0" applyBorder="0" applyAlignment="0" applyProtection="0"/>
  </cellStyleXfs>
  <cellXfs count="168">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5" borderId="0" xfId="0" applyFill="1" applyAlignment="1">
      <alignment horizontal="center" vertical="center"/>
    </xf>
    <xf numFmtId="0" fontId="0" fillId="5" borderId="0" xfId="0" applyFill="1" applyAlignment="1">
      <alignment horizontal="left" vertical="center"/>
    </xf>
    <xf numFmtId="0" fontId="0" fillId="9" borderId="0" xfId="0" applyFill="1" applyAlignment="1">
      <alignment horizontal="center" vertical="center" wrapText="1"/>
    </xf>
    <xf numFmtId="0" fontId="0" fillId="9" borderId="0" xfId="0" applyFill="1" applyAlignment="1">
      <alignment horizontal="center" vertical="center"/>
    </xf>
    <xf numFmtId="0" fontId="0" fillId="0" borderId="0" xfId="0" applyAlignment="1"/>
    <xf numFmtId="0" fontId="2" fillId="0" borderId="0" xfId="0" applyFont="1" applyAlignment="1" applyProtection="1">
      <alignment horizontal="center" vertical="center"/>
    </xf>
    <xf numFmtId="0" fontId="7" fillId="3" borderId="0" xfId="0" applyFont="1" applyFill="1" applyAlignment="1" applyProtection="1">
      <alignment horizontal="center" vertical="center"/>
    </xf>
    <xf numFmtId="0" fontId="9" fillId="6" borderId="2"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43" fontId="2" fillId="6" borderId="2" xfId="0" applyNumberFormat="1" applyFont="1" applyFill="1" applyBorder="1" applyAlignment="1" applyProtection="1">
      <alignment horizontal="center" vertical="center" wrapText="1"/>
    </xf>
    <xf numFmtId="43" fontId="2" fillId="0" borderId="2" xfId="0" applyNumberFormat="1" applyFont="1" applyFill="1" applyBorder="1" applyAlignment="1" applyProtection="1">
      <alignment horizontal="center" vertical="center" wrapText="1"/>
    </xf>
    <xf numFmtId="0" fontId="6" fillId="4" borderId="2" xfId="0" applyNumberFormat="1" applyFont="1" applyFill="1" applyBorder="1" applyAlignment="1" applyProtection="1">
      <alignment horizontal="center" vertical="center" wrapText="1"/>
    </xf>
    <xf numFmtId="43" fontId="6" fillId="4" borderId="2"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2" fillId="6" borderId="2" xfId="0" applyNumberFormat="1" applyFont="1" applyFill="1" applyBorder="1" applyAlignment="1" applyProtection="1">
      <alignment horizontal="left" vertical="center" wrapText="1"/>
    </xf>
    <xf numFmtId="0" fontId="2" fillId="6"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9" fillId="6" borderId="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6" borderId="2" xfId="0" applyNumberFormat="1" applyFont="1" applyFill="1" applyBorder="1" applyAlignment="1" applyProtection="1">
      <alignment horizontal="left" vertical="center" wrapText="1"/>
      <protection locked="0"/>
    </xf>
    <xf numFmtId="0" fontId="13" fillId="7" borderId="2"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16" fillId="12" borderId="9" xfId="1" applyNumberFormat="1" applyFont="1" applyFill="1" applyBorder="1" applyAlignment="1"/>
    <xf numFmtId="0" fontId="8" fillId="5"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protection locked="0"/>
    </xf>
    <xf numFmtId="0" fontId="17" fillId="13" borderId="2"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14" fillId="0" borderId="0" xfId="0" applyFont="1" applyAlignment="1">
      <alignment wrapText="1"/>
    </xf>
    <xf numFmtId="0" fontId="2" fillId="6" borderId="0" xfId="0" applyFont="1" applyFill="1" applyBorder="1" applyAlignment="1" applyProtection="1">
      <alignment horizontal="left" vertical="center" wrapText="1"/>
      <protection locked="0"/>
    </xf>
    <xf numFmtId="0" fontId="6" fillId="4" borderId="0" xfId="0" applyNumberFormat="1" applyFont="1" applyFill="1" applyBorder="1" applyAlignment="1" applyProtection="1">
      <alignment horizontal="center" vertical="center"/>
    </xf>
    <xf numFmtId="0" fontId="14" fillId="15" borderId="0" xfId="0" applyFont="1" applyFill="1" applyAlignment="1">
      <alignment wrapText="1"/>
    </xf>
    <xf numFmtId="0" fontId="16" fillId="12" borderId="0" xfId="1" applyNumberFormat="1" applyFont="1" applyFill="1" applyBorder="1" applyAlignment="1"/>
    <xf numFmtId="0" fontId="14" fillId="15" borderId="0" xfId="0" applyFont="1" applyFill="1"/>
    <xf numFmtId="0" fontId="17" fillId="16" borderId="0" xfId="0" applyFont="1" applyFill="1" applyAlignment="1" applyProtection="1">
      <alignment horizontal="left" vertical="center"/>
    </xf>
    <xf numFmtId="0" fontId="19" fillId="14" borderId="0" xfId="0" applyFont="1" applyFill="1"/>
    <xf numFmtId="0" fontId="21" fillId="0" borderId="0" xfId="0" applyFont="1"/>
    <xf numFmtId="0" fontId="22" fillId="6" borderId="2" xfId="0" applyFont="1" applyFill="1" applyBorder="1" applyAlignment="1" applyProtection="1">
      <alignment horizontal="center" vertical="center" wrapText="1"/>
      <protection locked="0"/>
    </xf>
    <xf numFmtId="0" fontId="0" fillId="0" borderId="0" xfId="0" applyFill="1"/>
    <xf numFmtId="1" fontId="0" fillId="0" borderId="0" xfId="0" applyNumberFormat="1"/>
    <xf numFmtId="0" fontId="0" fillId="0" borderId="0" xfId="0" applyNumberFormat="1"/>
    <xf numFmtId="0" fontId="16" fillId="12" borderId="10" xfId="1" applyNumberFormat="1" applyFont="1" applyFill="1" applyBorder="1" applyAlignment="1"/>
    <xf numFmtId="49" fontId="0" fillId="14" borderId="10" xfId="0" applyNumberFormat="1" applyFill="1" applyBorder="1"/>
    <xf numFmtId="0" fontId="0" fillId="14" borderId="10" xfId="0" applyFill="1" applyBorder="1"/>
    <xf numFmtId="0" fontId="16" fillId="12" borderId="10" xfId="1" applyNumberFormat="1" applyFont="1" applyFill="1" applyBorder="1" applyAlignment="1">
      <alignment wrapText="1"/>
    </xf>
    <xf numFmtId="49" fontId="0" fillId="0" borderId="10" xfId="0" applyNumberFormat="1" applyBorder="1"/>
    <xf numFmtId="0" fontId="0" fillId="0" borderId="0" xfId="0" applyAlignment="1">
      <alignment wrapText="1"/>
    </xf>
    <xf numFmtId="49" fontId="0" fillId="0" borderId="10" xfId="0" applyNumberFormat="1" applyFill="1" applyBorder="1"/>
    <xf numFmtId="0" fontId="0" fillId="0" borderId="10" xfId="0" applyFill="1" applyBorder="1"/>
    <xf numFmtId="0" fontId="6" fillId="17" borderId="2" xfId="0" applyFont="1" applyFill="1" applyBorder="1" applyAlignment="1" applyProtection="1">
      <alignment horizontal="center" vertical="center" wrapText="1"/>
    </xf>
    <xf numFmtId="0" fontId="23" fillId="0" borderId="0" xfId="0" applyFont="1"/>
    <xf numFmtId="0" fontId="0" fillId="14" borderId="10" xfId="0" applyNumberFormat="1" applyFill="1" applyBorder="1"/>
    <xf numFmtId="0" fontId="0" fillId="14" borderId="0" xfId="0" applyNumberFormat="1" applyFill="1"/>
    <xf numFmtId="0" fontId="20" fillId="6" borderId="2"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20" fillId="6" borderId="2"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hidden="1"/>
    </xf>
    <xf numFmtId="0" fontId="0" fillId="0" borderId="0" xfId="0" applyProtection="1">
      <protection hidden="1"/>
    </xf>
    <xf numFmtId="0" fontId="7" fillId="3" borderId="2" xfId="0" applyFont="1" applyFill="1" applyBorder="1" applyAlignment="1" applyProtection="1">
      <alignment vertical="center"/>
    </xf>
    <xf numFmtId="0" fontId="2" fillId="6" borderId="2" xfId="0" applyFont="1" applyFill="1"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0" fontId="0" fillId="0" borderId="10" xfId="0" applyNumberFormat="1" applyFill="1" applyBorder="1"/>
    <xf numFmtId="0" fontId="25" fillId="6" borderId="2"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xf>
    <xf numFmtId="0" fontId="26" fillId="0" borderId="0" xfId="0" applyFont="1" applyAlignment="1">
      <alignment wrapText="1"/>
    </xf>
    <xf numFmtId="0" fontId="27" fillId="0" borderId="0" xfId="0" applyFont="1"/>
    <xf numFmtId="2" fontId="0" fillId="0" borderId="0" xfId="0" applyNumberFormat="1"/>
    <xf numFmtId="0" fontId="23" fillId="0" borderId="0" xfId="0" applyFont="1" applyAlignment="1">
      <alignment vertical="center"/>
    </xf>
    <xf numFmtId="0" fontId="28" fillId="0" borderId="0" xfId="0" applyFont="1" applyAlignment="1">
      <alignment vertical="center"/>
    </xf>
    <xf numFmtId="0" fontId="22" fillId="0" borderId="0" xfId="0" applyFont="1" applyAlignment="1">
      <alignment horizontal="left" vertical="justify" wrapText="1" indent="1"/>
    </xf>
    <xf numFmtId="0" fontId="6" fillId="0" borderId="0" xfId="0" applyFont="1" applyAlignment="1">
      <alignment horizontal="left" vertical="center" wrapText="1"/>
    </xf>
    <xf numFmtId="0" fontId="29" fillId="0" borderId="0" xfId="0" applyFont="1" applyAlignment="1">
      <alignment vertical="center" wrapText="1"/>
    </xf>
    <xf numFmtId="0" fontId="6" fillId="0" borderId="0" xfId="0" applyFont="1" applyAlignment="1">
      <alignment horizontal="center" vertical="center" wrapText="1"/>
    </xf>
    <xf numFmtId="0" fontId="4" fillId="18" borderId="3" xfId="0" applyFont="1" applyFill="1" applyBorder="1" applyAlignment="1">
      <alignment horizontal="center" vertical="center" wrapText="1"/>
    </xf>
    <xf numFmtId="164" fontId="4" fillId="18" borderId="16" xfId="0" applyNumberFormat="1"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0" fillId="0" borderId="0" xfId="0" applyBorder="1" applyAlignment="1">
      <alignment horizontal="center" wrapText="1"/>
    </xf>
    <xf numFmtId="164" fontId="0" fillId="0" borderId="0" xfId="0" applyNumberFormat="1" applyBorder="1" applyAlignment="1">
      <alignment horizontal="center" wrapText="1"/>
    </xf>
    <xf numFmtId="0" fontId="0" fillId="0" borderId="0" xfId="0" applyFill="1" applyBorder="1" applyAlignment="1">
      <alignment horizontal="center" wrapText="1"/>
    </xf>
    <xf numFmtId="3" fontId="20" fillId="6" borderId="2" xfId="0" applyNumberFormat="1" applyFont="1" applyFill="1" applyBorder="1" applyAlignment="1" applyProtection="1">
      <alignment horizontal="left" vertical="center" wrapText="1"/>
      <protection locked="0"/>
    </xf>
    <xf numFmtId="3" fontId="20" fillId="0" borderId="2" xfId="0" applyNumberFormat="1" applyFont="1" applyFill="1" applyBorder="1" applyAlignment="1" applyProtection="1">
      <alignment horizontal="left" vertical="center" wrapText="1"/>
    </xf>
    <xf numFmtId="3" fontId="2" fillId="6" borderId="2" xfId="0" applyNumberFormat="1" applyFont="1" applyFill="1" applyBorder="1" applyAlignment="1" applyProtection="1">
      <alignment horizontal="center" vertical="center" wrapText="1"/>
      <protection locked="0"/>
    </xf>
    <xf numFmtId="0" fontId="0" fillId="0" borderId="0" xfId="0" applyAlignment="1">
      <alignment horizontal="center"/>
    </xf>
    <xf numFmtId="49" fontId="0" fillId="0" borderId="0" xfId="0" applyNumberFormat="1"/>
    <xf numFmtId="49" fontId="19" fillId="14" borderId="0" xfId="0" applyNumberFormat="1" applyFont="1" applyFill="1"/>
    <xf numFmtId="0" fontId="24" fillId="12" borderId="10" xfId="1" applyNumberFormat="1" applyFont="1" applyFill="1" applyBorder="1" applyAlignment="1"/>
    <xf numFmtId="0" fontId="0" fillId="0" borderId="10" xfId="0" applyBorder="1"/>
    <xf numFmtId="0" fontId="23" fillId="0" borderId="10" xfId="0" applyFont="1" applyBorder="1"/>
    <xf numFmtId="165" fontId="0" fillId="0" borderId="10" xfId="0" applyNumberFormat="1" applyFill="1" applyBorder="1"/>
    <xf numFmtId="44" fontId="16" fillId="0" borderId="2" xfId="2" applyFont="1" applyFill="1" applyBorder="1" applyAlignment="1">
      <alignment horizontal="center" vertical="center" wrapText="1"/>
    </xf>
    <xf numFmtId="1" fontId="16" fillId="0" borderId="2" xfId="2" applyNumberFormat="1" applyFont="1" applyFill="1" applyBorder="1" applyAlignment="1">
      <alignment horizontal="center" vertical="center" wrapText="1"/>
    </xf>
    <xf numFmtId="44" fontId="15" fillId="0" borderId="2" xfId="2" applyFont="1" applyFill="1" applyBorder="1" applyAlignment="1">
      <alignment horizontal="center" vertical="center"/>
    </xf>
    <xf numFmtId="1" fontId="15" fillId="0" borderId="2"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wrapText="1"/>
    </xf>
    <xf numFmtId="1" fontId="15" fillId="0" borderId="2" xfId="2" applyNumberFormat="1" applyFont="1" applyFill="1" applyBorder="1" applyAlignment="1">
      <alignment horizontal="center" vertical="center" wrapText="1"/>
    </xf>
    <xf numFmtId="0" fontId="16" fillId="0" borderId="2" xfId="0" applyFont="1" applyFill="1" applyBorder="1" applyAlignment="1">
      <alignment vertical="center" wrapText="1"/>
    </xf>
    <xf numFmtId="1" fontId="16" fillId="0" borderId="2" xfId="0" applyNumberFormat="1" applyFont="1" applyFill="1" applyBorder="1" applyAlignment="1">
      <alignment horizontal="center" vertical="center" wrapText="1"/>
    </xf>
    <xf numFmtId="0" fontId="33"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19" fillId="0" borderId="2" xfId="0" applyFont="1" applyFill="1" applyBorder="1" applyAlignment="1">
      <alignment horizontal="justify" vertical="center"/>
    </xf>
    <xf numFmtId="0" fontId="33" fillId="0" borderId="2" xfId="3" applyFont="1" applyFill="1" applyBorder="1" applyAlignment="1">
      <alignment vertical="center" wrapText="1"/>
    </xf>
    <xf numFmtId="0" fontId="19" fillId="0" borderId="2" xfId="4" applyNumberFormat="1" applyFont="1" applyFill="1" applyBorder="1" applyAlignment="1">
      <alignment vertical="center" wrapText="1"/>
    </xf>
    <xf numFmtId="166" fontId="16" fillId="0" borderId="2" xfId="2" applyNumberFormat="1" applyFont="1" applyFill="1" applyBorder="1" applyAlignment="1">
      <alignment horizontal="center" vertical="center" wrapText="1"/>
    </xf>
    <xf numFmtId="166" fontId="15" fillId="0" borderId="2" xfId="2" applyNumberFormat="1" applyFont="1" applyFill="1" applyBorder="1" applyAlignment="1">
      <alignment horizontal="center" vertical="center"/>
    </xf>
    <xf numFmtId="0" fontId="16" fillId="0" borderId="2" xfId="0" applyFont="1" applyFill="1" applyBorder="1" applyAlignment="1">
      <alignment horizontal="left" vertical="center" wrapText="1"/>
    </xf>
    <xf numFmtId="1" fontId="15" fillId="0" borderId="2" xfId="0" applyNumberFormat="1" applyFont="1" applyFill="1" applyBorder="1" applyAlignment="1" applyProtection="1">
      <alignment horizontal="left" vertical="center" wrapText="1"/>
      <protection locked="0"/>
    </xf>
    <xf numFmtId="0" fontId="32" fillId="0" borderId="2" xfId="0" applyFont="1" applyFill="1" applyBorder="1" applyAlignment="1">
      <alignment vertical="center" wrapText="1"/>
    </xf>
    <xf numFmtId="0" fontId="19" fillId="0" borderId="0" xfId="0" applyFont="1" applyFill="1" applyAlignment="1">
      <alignment vertical="center"/>
    </xf>
    <xf numFmtId="0" fontId="15" fillId="0" borderId="2" xfId="0" applyFont="1" applyFill="1" applyBorder="1" applyAlignment="1">
      <alignment vertical="center"/>
    </xf>
    <xf numFmtId="0" fontId="15" fillId="0" borderId="2" xfId="0" applyFont="1" applyFill="1" applyBorder="1" applyAlignment="1">
      <alignment horizontal="left" vertical="center" wrapText="1"/>
    </xf>
    <xf numFmtId="0" fontId="33" fillId="0" borderId="2" xfId="0" applyFont="1" applyFill="1" applyBorder="1" applyAlignment="1">
      <alignment vertical="center" wrapText="1"/>
    </xf>
    <xf numFmtId="44" fontId="19" fillId="0" borderId="2" xfId="4" applyFont="1" applyFill="1" applyBorder="1" applyAlignment="1">
      <alignment vertical="center"/>
    </xf>
    <xf numFmtId="0" fontId="33" fillId="0" borderId="2" xfId="3" applyFont="1" applyFill="1" applyBorder="1" applyAlignment="1">
      <alignment vertical="center"/>
    </xf>
    <xf numFmtId="166" fontId="33" fillId="0" borderId="2" xfId="3" applyNumberFormat="1" applyFont="1" applyFill="1" applyBorder="1" applyAlignment="1">
      <alignment vertical="center"/>
    </xf>
    <xf numFmtId="44" fontId="33" fillId="0" borderId="2" xfId="3" applyNumberFormat="1" applyFont="1" applyFill="1" applyBorder="1" applyAlignment="1">
      <alignment vertical="center"/>
    </xf>
    <xf numFmtId="0" fontId="33" fillId="0" borderId="2" xfId="3" applyFont="1" applyFill="1" applyBorder="1" applyAlignment="1">
      <alignment horizontal="left"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xf>
    <xf numFmtId="166" fontId="15" fillId="0" borderId="2" xfId="2" applyNumberFormat="1" applyFont="1" applyFill="1" applyBorder="1" applyAlignment="1">
      <alignment vertical="center"/>
    </xf>
    <xf numFmtId="0" fontId="19" fillId="0" borderId="0" xfId="0" applyFont="1" applyFill="1" applyAlignment="1">
      <alignment horizontal="left" vertical="center"/>
    </xf>
    <xf numFmtId="44" fontId="19" fillId="0" borderId="0" xfId="0" applyNumberFormat="1" applyFont="1" applyFill="1" applyAlignment="1">
      <alignment vertical="center"/>
    </xf>
    <xf numFmtId="166" fontId="19" fillId="0" borderId="0" xfId="0" applyNumberFormat="1" applyFont="1" applyFill="1" applyAlignment="1">
      <alignment vertical="center"/>
    </xf>
    <xf numFmtId="2" fontId="20" fillId="6" borderId="2" xfId="0" applyNumberFormat="1" applyFont="1" applyFill="1" applyBorder="1" applyAlignment="1" applyProtection="1">
      <alignment horizontal="left" vertical="center"/>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8" fillId="5" borderId="7"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8" fillId="5" borderId="6" xfId="0" applyFont="1" applyFill="1" applyBorder="1" applyAlignment="1" applyProtection="1">
      <alignment horizontal="left" vertical="center"/>
    </xf>
    <xf numFmtId="0" fontId="7" fillId="3" borderId="2" xfId="0" applyFont="1" applyFill="1" applyBorder="1" applyAlignment="1" applyProtection="1">
      <alignment horizontal="center" vertical="center"/>
    </xf>
    <xf numFmtId="0" fontId="20" fillId="6" borderId="2" xfId="0" applyFont="1" applyFill="1" applyBorder="1" applyAlignment="1" applyProtection="1">
      <alignment horizontal="left" vertical="center"/>
    </xf>
    <xf numFmtId="0" fontId="20" fillId="6" borderId="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2" fillId="6" borderId="14"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13" fillId="4" borderId="2" xfId="0" applyFont="1" applyFill="1" applyBorder="1" applyAlignment="1" applyProtection="1">
      <alignment horizontal="left" vertical="center" wrapText="1"/>
    </xf>
    <xf numFmtId="0" fontId="13" fillId="7" borderId="2" xfId="0" applyFont="1" applyFill="1" applyBorder="1" applyAlignment="1" applyProtection="1">
      <alignment horizontal="center" vertical="center" wrapText="1"/>
    </xf>
    <xf numFmtId="0" fontId="2" fillId="6" borderId="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2" fillId="6" borderId="2" xfId="0" applyFont="1" applyFill="1" applyBorder="1" applyAlignment="1" applyProtection="1">
      <alignment horizontal="center" vertical="center"/>
    </xf>
    <xf numFmtId="43"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cellXfs>
  <cellStyles count="6">
    <cellStyle name="Moneda" xfId="2" builtinId="4"/>
    <cellStyle name="Moneda 2" xfId="5" xr:uid="{B8F805D0-81B1-4BB6-A42A-979F20BD7B5F}"/>
    <cellStyle name="Moneda 4" xfId="4" xr:uid="{73D5D712-C9F7-4F7C-97A6-561D5D56592D}"/>
    <cellStyle name="Normal" xfId="0" builtinId="0"/>
    <cellStyle name="Normal 10" xfId="1" xr:uid="{00000000-0005-0000-0000-000001000000}"/>
    <cellStyle name="Normal 3" xfId="3" xr:uid="{C0F8CF50-0293-4873-BF8D-0AF7D5B38DDF}"/>
  </cellStyles>
  <dxfs count="62">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strike val="0"/>
        <outline val="0"/>
        <shadow val="0"/>
        <u val="none"/>
        <vertAlign val="baseline"/>
        <sz val="11"/>
        <color theme="1"/>
        <name val="Arial"/>
        <family val="2"/>
        <scheme val="none"/>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fill>
        <patternFill patternType="solid">
          <fgColor indexed="64"/>
          <bgColor theme="2" tint="-9.9978637043366805E-2"/>
        </patternFill>
      </fill>
    </dxf>
    <dxf>
      <numFmt numFmtId="0" formatCode="General"/>
      <fill>
        <patternFill patternType="solid">
          <fgColor indexed="64"/>
          <bgColor theme="2" tint="-9.9978637043366805E-2"/>
        </patternFill>
      </fill>
    </dxf>
    <dxf>
      <border outline="0">
        <top style="hair">
          <color auto="1"/>
        </top>
      </border>
    </dxf>
    <dxf>
      <fill>
        <patternFill patternType="solid">
          <fgColor indexed="64"/>
          <bgColor theme="2" tint="-9.9978637043366805E-2"/>
        </patternFill>
      </fill>
    </dxf>
    <dxf>
      <border outline="0">
        <bottom style="hair">
          <color indexed="64"/>
        </bottom>
      </border>
    </dxf>
    <dxf>
      <font>
        <b/>
        <i val="0"/>
        <strike val="0"/>
        <condense val="0"/>
        <extend val="0"/>
        <outline val="0"/>
        <shadow val="0"/>
        <u val="none"/>
        <vertAlign val="baseline"/>
        <sz val="10"/>
        <color auto="1"/>
        <name val="Arial"/>
        <scheme val="none"/>
      </font>
      <numFmt numFmtId="0" formatCode="General"/>
      <fill>
        <patternFill patternType="solid">
          <fgColor theme="4"/>
          <bgColor theme="4"/>
        </patternFill>
      </fill>
      <alignment horizontal="general" vertical="bottom"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mruColors>
      <color rgb="FF003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778459</xdr:colOff>
      <xdr:row>2</xdr:row>
      <xdr:rowOff>96086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4650"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627329</xdr:colOff>
      <xdr:row>2</xdr:row>
      <xdr:rowOff>82751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3328"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342900</xdr:colOff>
          <xdr:row>2</xdr:row>
          <xdr:rowOff>152400</xdr:rowOff>
        </xdr:to>
        <xdr:sp macro="" textlink="">
          <xdr:nvSpPr>
            <xdr:cNvPr id="13313" name="Apttus_App" hidden="1">
              <a:extLst>
                <a:ext uri="{63B3BB69-23CF-44E3-9099-C40C66FF867C}">
                  <a14:compatExt spid="_x0000_s13313"/>
                </a:ext>
                <a:ext uri="{FF2B5EF4-FFF2-40B4-BE49-F238E27FC236}">
                  <a16:creationId xmlns:a16="http://schemas.microsoft.com/office/drawing/2014/main" id="{00000000-0008-0000-0D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584200</xdr:colOff>
          <xdr:row>2</xdr:row>
          <xdr:rowOff>152400</xdr:rowOff>
        </xdr:to>
        <xdr:sp macro="" textlink="">
          <xdr:nvSpPr>
            <xdr:cNvPr id="13316" name="Apttus_AppData" hidden="1">
              <a:extLst>
                <a:ext uri="{63B3BB69-23CF-44E3-9099-C40C66FF867C}">
                  <a14:compatExt spid="_x0000_s13316"/>
                </a:ext>
                <a:ext uri="{FF2B5EF4-FFF2-40B4-BE49-F238E27FC236}">
                  <a16:creationId xmlns:a16="http://schemas.microsoft.com/office/drawing/2014/main" id="{00000000-0008-0000-0D00-000004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419100</xdr:colOff>
          <xdr:row>2</xdr:row>
          <xdr:rowOff>152400</xdr:rowOff>
        </xdr:to>
        <xdr:sp macro="" textlink="">
          <xdr:nvSpPr>
            <xdr:cNvPr id="13317" name="Apttus_AppDataTracker" hidden="1">
              <a:extLst>
                <a:ext uri="{63B3BB69-23CF-44E3-9099-C40C66FF867C}">
                  <a14:compatExt spid="_x0000_s13317"/>
                </a:ext>
                <a:ext uri="{FF2B5EF4-FFF2-40B4-BE49-F238E27FC236}">
                  <a16:creationId xmlns:a16="http://schemas.microsoft.com/office/drawing/2014/main" id="{00000000-0008-0000-0D00-000005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355600</xdr:colOff>
          <xdr:row>2</xdr:row>
          <xdr:rowOff>152400</xdr:rowOff>
        </xdr:to>
        <xdr:sp macro="" textlink="">
          <xdr:nvSpPr>
            <xdr:cNvPr id="13318" name="Apttus_DataProtection" hidden="1">
              <a:extLst>
                <a:ext uri="{63B3BB69-23CF-44E3-9099-C40C66FF867C}">
                  <a14:compatExt spid="_x0000_s13318"/>
                </a:ext>
                <a:ext uri="{FF2B5EF4-FFF2-40B4-BE49-F238E27FC236}">
                  <a16:creationId xmlns:a16="http://schemas.microsoft.com/office/drawing/2014/main" id="{00000000-0008-0000-0D00-000006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NDOS%20EXTERNOS/Desktop/2.-SLV-H-Presupuesto%2002012021_9am_ultimas%20actualiz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ersion History"/>
      <sheetName val="Setup"/>
      <sheetName val="Data Sheet"/>
      <sheetName val="Detailed Budget"/>
      <sheetName val="Budget Summary"/>
      <sheetName val="Budget Summary En"/>
      <sheetName val="Summary by Intervention"/>
      <sheetName val="Summary by Cost Input"/>
      <sheetName val="Additional Summary"/>
      <sheetName val="Population"/>
      <sheetName val="Summary ICR"/>
      <sheetName val="ICR Rate"/>
      <sheetName val="Admin Sheet"/>
      <sheetName val="Admin Sheet_Pop"/>
      <sheetName val="Recipient sheet"/>
      <sheetName val="Currencies"/>
      <sheetName val="Assumptions HR"/>
      <sheetName val="Assumptions TRC"/>
      <sheetName val="Assumptions Other"/>
      <sheetName val="Free sheet-enter what you need"/>
      <sheetName val="Free pivot table"/>
      <sheetName val="Investment Landscape Overview"/>
      <sheetName val="Action Plan – Key Activities"/>
      <sheetName val="Financial Triggers - Budget"/>
      <sheetName val="Translations"/>
      <sheetName val="Action Plan - Pivot"/>
      <sheetName val="Action Plan - Reference Data"/>
      <sheetName val="0. Refresh Pivot Tables"/>
      <sheetName val="Action Plan - Pivot Analytic"/>
      <sheetName val="2. Budget Granularity"/>
      <sheetName val="Dataset - Costing Dimensions"/>
      <sheetName val="apttusmetadata"/>
    </sheetNames>
    <sheetDataSet>
      <sheetData sheetId="0"/>
      <sheetData sheetId="1"/>
      <sheetData sheetId="2"/>
      <sheetData sheetId="3">
        <row r="255">
          <cell r="G255" t="str">
            <v>[Cost Grouping Number].[Cost Input Number] [Name - ES]</v>
          </cell>
        </row>
        <row r="256">
          <cell r="G256" t="str">
            <v>1.0 Recursos Humanos (RRHH)</v>
          </cell>
        </row>
        <row r="257">
          <cell r="G257" t="str">
            <v>1.1 Salarios - gestión de programas</v>
          </cell>
        </row>
        <row r="258">
          <cell r="G258" t="str">
            <v>1.2 Salarios - trabajadores sociales del campo, personal médico y otros proveedores de servicios</v>
          </cell>
        </row>
        <row r="259">
          <cell r="G259" t="str">
            <v>1.4 Otros costos de RRHH</v>
          </cell>
        </row>
        <row r="260">
          <cell r="G260" t="str">
            <v>1.5 Derechos devengados para indemnización por cese</v>
          </cell>
        </row>
        <row r="261">
          <cell r="G261" t="str">
            <v>2.0 Costos relacionados con viajes</v>
          </cell>
        </row>
        <row r="262">
          <cell r="G262" t="str">
            <v>2.1 Viáticos, transporte y otros costos relacionados con capacitaciones</v>
          </cell>
        </row>
        <row r="263">
          <cell r="G263" t="str">
            <v>2.2 Viáticos, transporte y otros costos relacionados con asistencia técnica</v>
          </cell>
        </row>
        <row r="264">
          <cell r="G264" t="str">
            <v>2.3 Viáticos, transporte y otros costos relacionados con supervisión/encuestas/recopilación de datos</v>
          </cell>
        </row>
        <row r="265">
          <cell r="G265" t="str">
            <v>2.4 Viáticos, transporte y otros costos relacionados con reuniones/defensa de la causa</v>
          </cell>
        </row>
        <row r="266">
          <cell r="G266" t="str">
            <v>2.5 Otros costos de transporte</v>
          </cell>
        </row>
        <row r="267">
          <cell r="G267" t="str">
            <v>3.0 Servicios profesionales externos (SPE)</v>
          </cell>
        </row>
        <row r="268">
          <cell r="G268" t="str">
            <v>3.1 Honorarios de asistencia técnica/consultores</v>
          </cell>
        </row>
        <row r="269">
          <cell r="G269" t="str">
            <v>3.2 Honorarios de agentes fiscales y fiduciarios</v>
          </cell>
        </row>
        <row r="270">
          <cell r="G270" t="str">
            <v>3.3 Honorarios de auditoría externa</v>
          </cell>
        </row>
        <row r="271">
          <cell r="G271" t="str">
            <v>3.4 Otros servicios profesionales externos</v>
          </cell>
        </row>
        <row r="272">
          <cell r="G272" t="str">
            <v>3.5 Costos relacionados con el seguro</v>
          </cell>
        </row>
        <row r="273">
          <cell r="G273" t="str">
            <v>4.0 Productos sanitarios: productos farmacéuticos</v>
          </cell>
        </row>
        <row r="274">
          <cell r="G274" t="str">
            <v>4.1 Medicamentos antirretrovirales</v>
          </cell>
        </row>
        <row r="275">
          <cell r="G275" t="str">
            <v>4.2 Medicamentos contra la tuberculosis</v>
          </cell>
        </row>
        <row r="276">
          <cell r="G276" t="str">
            <v>4.3 Medicamentos contra la malaria</v>
          </cell>
        </row>
        <row r="277">
          <cell r="G277" t="str">
            <v>4.4 Medicamentos de sustitución de opiáceos</v>
          </cell>
        </row>
        <row r="278">
          <cell r="G278" t="str">
            <v>4.5 Medicamentos contra infecciones oportunistas e infecciones de transmisión sexual</v>
          </cell>
        </row>
        <row r="279">
          <cell r="G279" t="str">
            <v>4.6 Subsidios del sector privado para la TCA (copago de 4.3)</v>
          </cell>
        </row>
        <row r="280">
          <cell r="G280" t="str">
            <v>4.7 Otros medicamentos</v>
          </cell>
        </row>
        <row r="281">
          <cell r="G281" t="str">
            <v>5.0 Productos sanitarios: productos no farmacéuticos</v>
          </cell>
        </row>
        <row r="282">
          <cell r="G282" t="str">
            <v>5.1 Mosquiteros tratados con insecticida (MILD/MTI)</v>
          </cell>
        </row>
        <row r="283">
          <cell r="G283" t="str">
            <v>5.2 Preservativos masculinos</v>
          </cell>
        </row>
        <row r="284">
          <cell r="G284" t="str">
            <v>5.3 Preservativos femeninos</v>
          </cell>
        </row>
        <row r="285">
          <cell r="G285" t="str">
            <v>5.4 Pruebas de diagnóstico rápido</v>
          </cell>
        </row>
        <row r="286">
          <cell r="G286" t="str">
            <v>5.5 Insecticidas</v>
          </cell>
        </row>
        <row r="287">
          <cell r="G287" t="str">
            <v>5.6 Reactivos de laboratorio</v>
          </cell>
        </row>
        <row r="288">
          <cell r="G288" t="str">
            <v>5.7 Agujas y jeringuillas</v>
          </cell>
        </row>
        <row r="289">
          <cell r="G289" t="str">
            <v>5.8 Otros productos fungibles</v>
          </cell>
        </row>
        <row r="290">
          <cell r="G290" t="str">
            <v>5.9 Subsidios del sector privado para pruebas de diagnóstico rápido (copago de 5.4)</v>
          </cell>
        </row>
        <row r="291">
          <cell r="G291" t="str">
            <v>6.0 Productos sanitarios: equipamiento</v>
          </cell>
        </row>
        <row r="292">
          <cell r="G292" t="str">
            <v>6.1 Analizador y accesorios para el recuento de células CD4</v>
          </cell>
        </row>
        <row r="293">
          <cell r="G293" t="str">
            <v>6.2 Analizador y accesorios para medir la carga vírica del VIH</v>
          </cell>
        </row>
        <row r="294">
          <cell r="G294" t="str">
            <v>6.3 Microscopios</v>
          </cell>
        </row>
        <row r="295">
          <cell r="G295" t="str">
            <v>6.4 Equipo de pruebas moleculares de la tuberculosis</v>
          </cell>
        </row>
        <row r="296">
          <cell r="G296" t="str">
            <v>6.5 Costos de servicio y mantenimiento del equipamiento sanitario</v>
          </cell>
        </row>
        <row r="297">
          <cell r="G297" t="str">
            <v>6.6 Otro equipamiento sanitario</v>
          </cell>
        </row>
        <row r="298">
          <cell r="G298" t="str">
            <v>7.0 Costos relacionados con la Gestión de Adquisiciones y Suministros (GAS)</v>
          </cell>
        </row>
        <row r="299">
          <cell r="G299" t="str">
            <v>7.1 Honorarios del agente de adquisiciones y relacionados con gastos de gestion de prodcuctos de salud</v>
          </cell>
        </row>
        <row r="300">
          <cell r="G300" t="str">
            <v>7.2 Costos de transporte y seguro (productos sanitarios)</v>
          </cell>
        </row>
        <row r="301">
          <cell r="G301" t="str">
            <v>7.3 Costos de almacenamiento</v>
          </cell>
        </row>
        <row r="302">
          <cell r="G302" t="str">
            <v>7.4 Costos de distribución en el país</v>
          </cell>
        </row>
        <row r="303">
          <cell r="G303" t="str">
            <v>7.5 Costos de aseguramiento de la calidad y de control de la calidad</v>
          </cell>
        </row>
        <row r="304">
          <cell r="G304" t="str">
            <v>7.6 Despacho de aduanas relacionado con productos de salud</v>
          </cell>
        </row>
        <row r="305">
          <cell r="G305" t="str">
            <v>7.7 Otros costos relacionados con GAS</v>
          </cell>
        </row>
        <row r="306">
          <cell r="G306" t="str">
            <v>8.0 Infraestructuras</v>
          </cell>
        </row>
        <row r="307">
          <cell r="G307" t="str">
            <v>8.1 Mobiliario</v>
          </cell>
        </row>
        <row r="308">
          <cell r="G308" t="str">
            <v>8.2 Renovaciones y construcciones</v>
          </cell>
        </row>
        <row r="309">
          <cell r="G309" t="str">
            <v>8.3 Costos de mantenimiento de las infraestructuras y otros costos de infraestructura</v>
          </cell>
        </row>
        <row r="310">
          <cell r="G310" t="str">
            <v>9.0 Equipamiento no sanitario</v>
          </cell>
        </row>
        <row r="311">
          <cell r="G311" t="str">
            <v>9.1 Informática: ordenadores, equipo informático, software y aplicaciones</v>
          </cell>
        </row>
        <row r="312">
          <cell r="G312" t="str">
            <v>9.2 Vehículos</v>
          </cell>
        </row>
        <row r="313">
          <cell r="G313" t="str">
            <v>9.3 Otro equipamiento no sanitario</v>
          </cell>
        </row>
        <row r="314">
          <cell r="G314" t="str">
            <v>9.4 Costos de servicio y mantenimiento del equipamiento no sanitario</v>
          </cell>
        </row>
        <row r="315">
          <cell r="G315" t="str">
            <v>10.0 Material de comunicación y publicaciones</v>
          </cell>
        </row>
        <row r="316">
          <cell r="G316" t="str">
            <v>10.1 Material impreso (formularios, libros, directrices, folletos,…)</v>
          </cell>
        </row>
        <row r="317">
          <cell r="G317" t="str">
            <v>10.2 Programas y espacios publicitarios en radio y televisión</v>
          </cell>
        </row>
        <row r="318">
          <cell r="G318" t="str">
            <v>10.3 Material promocional (camisetas, tazas, pins,…) y otros costos relacionados con el material de comunicación y publicaciones</v>
          </cell>
        </row>
        <row r="319">
          <cell r="G319" t="str">
            <v>11.0 Costos indirectos y generales</v>
          </cell>
        </row>
        <row r="320">
          <cell r="G320" t="str">
            <v>11.1 Costos relacionados con oficinas</v>
          </cell>
        </row>
        <row r="321">
          <cell r="G321" t="str">
            <v>11.2 Impuestos y tasas irrecuperables</v>
          </cell>
        </row>
        <row r="322">
          <cell r="G322" t="str">
            <v>11.3 Recuperación de gastos indirectos (en porcentaje)</v>
          </cell>
        </row>
        <row r="323">
          <cell r="G323" t="str">
            <v>11.4 Otros costos de administración del programa</v>
          </cell>
        </row>
        <row r="324">
          <cell r="G324" t="str">
            <v>11.5 Costos compartidos</v>
          </cell>
        </row>
        <row r="325">
          <cell r="G325" t="str">
            <v>12.0 Apoyo económico a clientes y grupos de población meta</v>
          </cell>
        </row>
        <row r="326">
          <cell r="G326" t="str">
            <v>12.1 Apoyo para huérfanos y otros niños vulnerables (gastos de escolarización, uniformes, libros, etc.)</v>
          </cell>
        </row>
        <row r="327">
          <cell r="G327" t="str">
            <v>12.2 Paquetes de nutrición y asistencia</v>
          </cell>
        </row>
        <row r="328">
          <cell r="G328" t="str">
            <v>12.3 Incentivos de efectivo/ trasferencias para pacientes/beneficiarios/asesores/mediadores</v>
          </cell>
        </row>
        <row r="329">
          <cell r="G329" t="str">
            <v>12.4 Microcréditos y microsubvenciones</v>
          </cell>
        </row>
        <row r="330">
          <cell r="G330" t="str">
            <v>12.5 Otros costos relacionados con el apoyo económico a clientes y grupos de población destinatarios meta</v>
          </cell>
        </row>
        <row r="331">
          <cell r="G331" t="str">
            <v>13.0 Pago por resultados</v>
          </cell>
        </row>
        <row r="332">
          <cell r="G332" t="str">
            <v>13.1 Financiamiento basado en los resultados</v>
          </cell>
        </row>
        <row r="333">
          <cell r="G333" t="str">
            <v>13.2 Contratos basados en actividades, organizaciones comunitarias y otros proveedores de servicios</v>
          </cell>
        </row>
        <row r="334">
          <cell r="G334" t="str">
            <v>13.3 Incentivos para empleados del receptor principal y sub-receptores</v>
          </cell>
        </row>
        <row r="335">
          <cell r="G335" t="str">
            <v>13.4 Incentivos para los trabajadores comunitarios de salud (CHW), trabajadores de extensión, personal médico y otros proveedores de servicios</v>
          </cell>
        </row>
        <row r="336">
          <cell r="G336"/>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C10:D41" totalsRowShown="0" headerRowDxfId="45" dataDxfId="43" headerRowBorderDxfId="44" tableBorderDxfId="42" headerRowCellStyle="Normal 10">
  <tableColumns count="2">
    <tableColumn id="1" xr3:uid="{00000000-0010-0000-0000-000001000000}" name=" Module Name" dataDxfId="41">
      <calculatedColumnFormula>IF(PAAR!$B$10 = 'Dropdown Data'!$F$7,$E11,IF(PAAR!$B$10 = 'Dropdown Data'!$F$10,$F11,IF(PAAR!$B$10 = 'Dropdown Data'!$F$13,$G11,"")))</calculatedColumnFormula>
    </tableColumn>
    <tableColumn id="2" xr3:uid="{00000000-0010-0000-0000-000002000000}" name="Module-Coverage-Intervention Reference (Name)"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ranslation" displayName="Translation" ref="A1:AG5" totalsRowShown="0" headerRowDxfId="39" dataDxfId="38">
  <autoFilter ref="A1:AG5" xr:uid="{00000000-0009-0000-0100-000001000000}"/>
  <tableColumns count="33">
    <tableColumn id="1" xr3:uid="{00000000-0010-0000-0100-000001000000}" name="Language" dataDxfId="37"/>
    <tableColumn id="2" xr3:uid="{00000000-0010-0000-0100-000002000000}" name="Language2" dataDxfId="36"/>
    <tableColumn id="3" xr3:uid="{00000000-0010-0000-0100-000003000000}" name="Document Title" dataDxfId="35"/>
    <tableColumn id="12" xr3:uid="{00000000-0010-0000-0100-00000C000000}" name="Version" dataDxfId="34"/>
    <tableColumn id="4" xr3:uid="{00000000-0010-0000-0100-000004000000}" name="Header 1" dataDxfId="33"/>
    <tableColumn id="7" xr3:uid="{00000000-0010-0000-0100-000007000000}" name="Summary Info 1" dataDxfId="32"/>
    <tableColumn id="8" xr3:uid="{00000000-0010-0000-0100-000008000000}" name="Summary Info 2" dataDxfId="31"/>
    <tableColumn id="9" xr3:uid="{00000000-0010-0000-0100-000009000000}" name="Summary Info 3" dataDxfId="30"/>
    <tableColumn id="10" xr3:uid="{00000000-0010-0000-0100-00000A000000}" name="Summary Info 4" dataDxfId="29"/>
    <tableColumn id="11" xr3:uid="{00000000-0010-0000-0100-00000B000000}" name="Summary Info 5" dataDxfId="28"/>
    <tableColumn id="5" xr3:uid="{00000000-0010-0000-0100-000005000000}" name="Header 2" dataDxfId="27"/>
    <tableColumn id="14" xr3:uid="{00000000-0010-0000-0100-00000E000000}" name="Header 2 Instructions" dataDxfId="26"/>
    <tableColumn id="6" xr3:uid="{00000000-0010-0000-0100-000006000000}" name="Header 3" dataDxfId="25"/>
    <tableColumn id="22" xr3:uid="{00000000-0010-0000-0100-000016000000}" name="Header 3 Instructions" dataDxfId="24"/>
    <tableColumn id="23" xr3:uid="{00000000-0010-0000-0100-000017000000}" name="PAAR 1" dataDxfId="23"/>
    <tableColumn id="24" xr3:uid="{00000000-0010-0000-0100-000018000000}" name="PAAR 2" dataDxfId="22"/>
    <tableColumn id="25" xr3:uid="{00000000-0010-0000-0100-000019000000}" name="PAAR 3" dataDxfId="21"/>
    <tableColumn id="26" xr3:uid="{00000000-0010-0000-0100-00001A000000}" name="PAAR 4" dataDxfId="20"/>
    <tableColumn id="20" xr3:uid="{00000000-0010-0000-0100-000014000000}" name="PAAR 5" dataDxfId="19"/>
    <tableColumn id="27" xr3:uid="{00000000-0010-0000-0100-00001B000000}" name="PAAR 6" dataDxfId="18"/>
    <tableColumn id="28" xr3:uid="{00000000-0010-0000-0100-00001C000000}" name="PAAR 7" dataDxfId="17"/>
    <tableColumn id="21" xr3:uid="{00000000-0010-0000-0100-000015000000}" name="PAAR 8" dataDxfId="16"/>
    <tableColumn id="29" xr3:uid="{00000000-0010-0000-0100-00001D000000}" name="PAAR 9" dataDxfId="15"/>
    <tableColumn id="30" xr3:uid="{00000000-0010-0000-0100-00001E000000}" name="PAAR 10" dataDxfId="14"/>
    <tableColumn id="33" xr3:uid="{00000000-0010-0000-0100-000021000000}" name="PAAR 11" dataDxfId="13"/>
    <tableColumn id="13" xr3:uid="{00000000-0010-0000-0100-00000D000000}" name="Header 4" dataDxfId="12"/>
    <tableColumn id="17" xr3:uid="{00000000-0010-0000-0100-000011000000}" name="Header 4 Instructions" dataDxfId="11"/>
    <tableColumn id="15" xr3:uid="{00000000-0010-0000-0100-00000F000000}" name="Additional Info 1" dataDxfId="10"/>
    <tableColumn id="16" xr3:uid="{00000000-0010-0000-0100-000010000000}" name="Additional Info 2" dataDxfId="9"/>
    <tableColumn id="18" xr3:uid="{00000000-0010-0000-0100-000012000000}" name="Additional Info 3" dataDxfId="8"/>
    <tableColumn id="19" xr3:uid="{00000000-0010-0000-0100-000013000000}" name="Additional Info 4" dataDxfId="7"/>
    <tableColumn id="31" xr3:uid="{00000000-0010-0000-0100-00001F000000}" name="Column1" dataDxfId="6"/>
    <tableColumn id="32" xr3:uid="{D04BDEBF-90C3-4A32-8A9F-61023C1EA92D}" name="Instructions" dataDxfId="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For_EN" displayName="For_EN" ref="B26:D254" totalsRowShown="0" headerRowDxfId="4" dataDxfId="3">
  <autoFilter ref="B26:D254" xr:uid="{00000000-0009-0000-0100-000002000000}"/>
  <tableColumns count="3">
    <tableColumn id="1" xr3:uid="{00000000-0010-0000-0200-000001000000}" name="Français" dataDxfId="2"/>
    <tableColumn id="2" xr3:uid="{00000000-0010-0000-0200-000002000000}" name="Español" dataDxfId="1"/>
    <tableColumn id="3" xr3:uid="{00000000-0010-0000-0200-000003000000}" name="English"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73E25-3796-401F-A558-2E051D40A282}">
  <sheetPr codeName="Sheet12"/>
  <dimension ref="A1:A8"/>
  <sheetViews>
    <sheetView showGridLines="0" zoomScale="51" zoomScaleNormal="51" workbookViewId="0">
      <selection activeCell="B1" sqref="B1"/>
    </sheetView>
  </sheetViews>
  <sheetFormatPr baseColWidth="10" defaultColWidth="151.453125" defaultRowHeight="14.5" x14ac:dyDescent="0.35"/>
  <cols>
    <col min="1" max="1" width="91.1796875" customWidth="1"/>
  </cols>
  <sheetData>
    <row r="1" spans="1:1" ht="373.75" customHeight="1" x14ac:dyDescent="0.35">
      <c r="A1" s="84" t="str">
        <f>IFERROR(VLOOKUP(PAAR!B10,Translation[],33,0),"")</f>
        <v>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v>
      </c>
    </row>
    <row r="2" spans="1:1" x14ac:dyDescent="0.35">
      <c r="A2" s="82"/>
    </row>
    <row r="3" spans="1:1" x14ac:dyDescent="0.35">
      <c r="A3" s="82" t="s">
        <v>894</v>
      </c>
    </row>
    <row r="4" spans="1:1" x14ac:dyDescent="0.35">
      <c r="A4" s="82"/>
    </row>
    <row r="5" spans="1:1" x14ac:dyDescent="0.35">
      <c r="A5" s="82"/>
    </row>
    <row r="6" spans="1:1" x14ac:dyDescent="0.35">
      <c r="A6" s="83"/>
    </row>
    <row r="7" spans="1:1" x14ac:dyDescent="0.35">
      <c r="A7" s="82"/>
    </row>
    <row r="8" spans="1:1" x14ac:dyDescent="0.35">
      <c r="A8" s="82"/>
    </row>
  </sheetData>
  <sheetProtection password="FB8C" sheet="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4:J53"/>
  <sheetViews>
    <sheetView showGridLines="0" view="pageBreakPreview" zoomScale="80" zoomScaleNormal="100" zoomScaleSheetLayoutView="80" workbookViewId="0">
      <selection activeCell="A17" sqref="A17"/>
    </sheetView>
  </sheetViews>
  <sheetFormatPr baseColWidth="10" defaultColWidth="9.1796875" defaultRowHeight="14" x14ac:dyDescent="0.35"/>
  <cols>
    <col min="1" max="3" width="35.81640625" style="10" customWidth="1" collapsed="1"/>
    <col min="4" max="5" width="20.81640625" style="10" customWidth="1" collapsed="1"/>
    <col min="6" max="6" width="150.81640625" style="10" customWidth="1" collapsed="1"/>
    <col min="7" max="7" width="19.81640625" style="10" customWidth="1" collapsed="1"/>
    <col min="8" max="8" width="19.453125" style="10" customWidth="1" collapsed="1"/>
    <col min="9" max="9" width="19.81640625" style="10" customWidth="1" collapsed="1"/>
    <col min="10" max="10" width="100.81640625" style="10" customWidth="1" collapsed="1"/>
    <col min="11" max="16384" width="9.1796875" style="10" collapsed="1"/>
  </cols>
  <sheetData>
    <row r="4" spans="1:10" ht="23" x14ac:dyDescent="0.35">
      <c r="A4" s="140" t="s">
        <v>4</v>
      </c>
      <c r="B4" s="140"/>
      <c r="C4" s="140"/>
      <c r="D4" s="140"/>
      <c r="E4" s="140"/>
      <c r="F4" s="140"/>
      <c r="G4" s="140"/>
      <c r="H4" s="140"/>
      <c r="I4" s="140"/>
      <c r="J4" s="140"/>
    </row>
    <row r="5" spans="1:10" ht="17.5" x14ac:dyDescent="0.35">
      <c r="A5" s="139" t="s">
        <v>5</v>
      </c>
      <c r="B5" s="139"/>
      <c r="C5" s="139"/>
      <c r="D5" s="139"/>
      <c r="E5" s="139"/>
      <c r="F5" s="139"/>
      <c r="G5" s="139"/>
      <c r="H5" s="139"/>
      <c r="I5" s="139"/>
      <c r="J5" s="139"/>
    </row>
    <row r="6" spans="1:10" ht="15.5" x14ac:dyDescent="0.35">
      <c r="A6" s="143" t="s">
        <v>6</v>
      </c>
      <c r="B6" s="144"/>
    </row>
    <row r="7" spans="1:10" ht="15.5" x14ac:dyDescent="0.35">
      <c r="A7" s="141" t="s">
        <v>7</v>
      </c>
      <c r="B7" s="142"/>
    </row>
    <row r="8" spans="1:10" ht="15.5" x14ac:dyDescent="0.35">
      <c r="A8" s="145" t="s">
        <v>8</v>
      </c>
      <c r="B8" s="146"/>
    </row>
    <row r="10" spans="1:10" ht="18" x14ac:dyDescent="0.35">
      <c r="A10" s="11" t="s">
        <v>9</v>
      </c>
      <c r="B10" s="12" t="s">
        <v>3</v>
      </c>
    </row>
    <row r="12" spans="1:10" ht="18" x14ac:dyDescent="0.35">
      <c r="A12" s="147" t="s">
        <v>10</v>
      </c>
      <c r="B12" s="147"/>
      <c r="C12" s="147"/>
      <c r="D12" s="147"/>
      <c r="E12" s="13"/>
      <c r="F12" s="13"/>
      <c r="G12" s="13"/>
      <c r="H12" s="13"/>
    </row>
    <row r="13" spans="1:10" ht="30" customHeight="1" x14ac:dyDescent="0.35">
      <c r="A13" s="14" t="s">
        <v>11</v>
      </c>
      <c r="B13" s="165" t="str">
        <f>PAAR!B13</f>
        <v>El Salvador</v>
      </c>
      <c r="C13" s="165"/>
      <c r="D13" s="165"/>
    </row>
    <row r="14" spans="1:10" ht="30" customHeight="1" x14ac:dyDescent="0.35">
      <c r="A14" s="14" t="s">
        <v>12</v>
      </c>
      <c r="B14" s="165">
        <f>IFERROR(IF(PAAR!$B$10="English",PAAR!$B14,IF(PAAR!$B$10="Français",VLOOKUP(PAAR!$B14,For_EN[],3,0),IF(PAAR!$B$10="Español",VLOOKUP(PAAR!$B14,For_EN[[Español]:[English]],2,0)))),0)</f>
        <v>0</v>
      </c>
      <c r="C14" s="165"/>
      <c r="D14" s="165"/>
    </row>
    <row r="15" spans="1:10" ht="30" customHeight="1" x14ac:dyDescent="0.35">
      <c r="A15" s="15" t="s">
        <v>13</v>
      </c>
      <c r="B15" s="165" t="str">
        <f>PAAR!B15</f>
        <v>FR979-SLV-H</v>
      </c>
      <c r="C15" s="165"/>
      <c r="D15" s="165"/>
    </row>
    <row r="16" spans="1:10" ht="30" customHeight="1" x14ac:dyDescent="0.35">
      <c r="A16" s="14" t="s">
        <v>14</v>
      </c>
      <c r="B16" s="165" t="str">
        <f>PAAR!B16</f>
        <v>USD</v>
      </c>
      <c r="C16" s="165"/>
      <c r="D16" s="165"/>
    </row>
    <row r="17" spans="1:10" ht="30" customHeight="1" x14ac:dyDescent="0.35">
      <c r="A17" s="15" t="s">
        <v>15</v>
      </c>
      <c r="B17" s="166">
        <f>PAAR!B17</f>
        <v>2831941</v>
      </c>
      <c r="C17" s="167"/>
      <c r="D17" s="167"/>
    </row>
    <row r="19" spans="1:10" ht="18" x14ac:dyDescent="0.35">
      <c r="A19" s="147" t="s">
        <v>16</v>
      </c>
      <c r="B19" s="147"/>
      <c r="C19" s="147"/>
      <c r="D19" s="147"/>
      <c r="E19" s="147"/>
      <c r="F19" s="147"/>
      <c r="G19" s="147"/>
      <c r="H19" s="147"/>
      <c r="I19" s="147"/>
      <c r="J19" s="147"/>
    </row>
    <row r="20" spans="1:10" ht="130.4" customHeight="1" x14ac:dyDescent="0.35">
      <c r="A20" s="163" t="s">
        <v>17</v>
      </c>
      <c r="B20" s="163"/>
      <c r="C20" s="163"/>
      <c r="D20" s="163"/>
      <c r="E20" s="163"/>
      <c r="F20" s="163"/>
      <c r="G20" s="163"/>
      <c r="H20" s="163"/>
      <c r="I20" s="163"/>
      <c r="J20" s="163"/>
    </row>
    <row r="21" spans="1:10" ht="150" customHeight="1" x14ac:dyDescent="0.35">
      <c r="A21" s="164" t="str">
        <f>PAAR!A22</f>
        <v>En esta solicitud por encima del financiamiento aprobado pedimos apoyo para completar la cobertura de atención a las siguientes poblaciones y estrategias:
PrEP en Trabajadoras sexuales: Dado que las trabajadoras sexuales son parte de las poblaciones clave donde se concentra el VIH en El Salvador, es importante trabajar con ellas y sus parejas a fin de disminuir el riesgo de infección por VIH, es necesario comenzar por el diseño e implementación de los lineamientos técnicos para la prescripción de la PrEP, capacitar al personal del primer nivel de salud, que son la puerta de entrada al sistema de salud, y a las líderes de las organizaciones de trabajadoras sexuales para que conozcan los lineamientos y las ventajas de utilizar la PrEP. Inicialmente se implementará la PrEP a partir del segundo semestre del año 1 en clínicas VICITS de las ciudades donde hay más trabajadoras sexuales (San Salvador, Santa Ana, Sonsonate y San Miguel) para extender el servicio a 4 clínicas más en el año 3. En el primer semestre se trabajará en la preparación de los establecimientos y el personal para generar la demanda de este servicio y promover la adherencia al mismo. Se coordinará con las OSC de trabajadoras sexuales para desarrollar intervenciones conductuales y promoción de estrategias de fomento del uso de preservativos, prevención personal, protección contra la violencia.
Sistemas de información, monitoreo y evaluación: El Ministerio de Salud de El Salvador cuenta con sistemas de información que facilitan la sistematización de las intervenciones realizadas, es necesario contar con espacios para análisis, evaluación o revisión  de la información entre los diferentes actores que contribuyen a la respuesta nacional al VIH, en atención a las medidas de bioseguridad por COVID-19 se trabajará en modalidad mixta, virtual y presencial desarrollando sesiones con la subcomisión de monitoreo y evaluación integrada por MINSAL, ISSS, COSAM, INJUVE, CSSP, Organizaciones de Sociedad Civil y de personas con VIH, el análisis de la información estratégica permitirá tomar decisiones; actualmente no se cuenta con financiamiento para estas reuniones. En aras del empoderamiento del personal que trabaja en VIH se desarrollará un foro anual de gestión del conocimiento donde se den a conocer los avances en la atención al VIH a nivel de la comunidad o en los servicios de salud, esto es un estímulo para los equipos de trabajo que tendrán espacio para compartir experiencias y aprender de las lecciones implementadas en las diferentes intervenciones que se realicen en hospitales, unidades de salud y comunidades. En el foro se espera contar con la participación de referentes de cada región de salud y organizaciones de la sociedad civil, personas con VIH e instituciones formadoras de recursos humanos en salud.
Contratación Social: Contamos con una hoja de ruta para la implementación de la contratación social de OSC que brinden servicios de VIH, solicitamos financiamiento para contratar asistencia técnica para motivar, guiar y responsabilizar a los actores estatales y de la Sociedad Civil , capacitación de los diferentes actores, diseño e implementación de plan de abogacía para la movilización de recursos nacionales y  plan de capacitación para determinar la factibilidad de  mecanismos de adquisición pública  de modo que estén preparados para lanzar el mecanismo en 2023.Creación de  protocolo normativo y del paquete de servicios.
Descentralización de la TAR: El 42 % de las personas con VIH vive en áreas rurales, las largas distancias que tienen que recorrer hasta los hospitales en las cabeceras departamentales y la capital suponen una dificultad añadida para poder acceder regularmente a los tratamientos que necesitan. Fortalecer la descentralización de la oferta de tratamiento antirretroviral a escala nacional en los hospitales de segundo nivel de atención, permitirá promover el continuo de la atención y la adherencia a la terapia ARV así como incrementar el número de personas con supresión viral. Con el fortalecimiento de las CAI se tendrá un acceso ampliado y equitativo a servicios de calidad a las personas con VIH y reducirá el tiempo e inversión económica para buscar su tratamiento y acceso a pruebas de laboratorio y  monitoreo de la carga viral. Dado que la temperatura promedio de El Salvador oscila entre los 28 y 32 grados, es necesario dotar a los establecimientos de equipos de aire acondicionado en los consultorios, área de farmacia y laboratorio para que tanto los pacientes como el equipo multidisciplinario que les atienda estén confortables, sillas para la sala de espera y mobiliario para el personal de enfermería, farmacia y laboratorio, en estos últimos, no disponen de áreas de trabajo adecuadas por lo que se requiere dotar de mesas de acero inoxidable que permitan preparar material de trabajo en condiciones adecuadas y fácil de sanitizar. El Monto adicional es para equipamiento complementarios de las clinicas CAI. 
Prestación de servicios diferenciados de tratamiento antirretroviral y atención para el VIH: Contratación de organizaciones de personas con VH para coordinar con PEpFAR de TAR domiciliar;
Se contrararán organizaciones de sociedad civil, de preferencia de personas con VIH, para la entrega domiciliar de medicamentos a aquellas personas adherentes que tienen limitaciones para desplazarse a retirar medicamentos a las diferentes CAI. Se considera elaborar un contrato que contemple las tarifas por entrega de ARV de acuerdo a distancia recorrida, se harán enlaces a través del personal de la CAI para verificar la entrega de medicamentos y las organizaciones contratadas deberán retirar los medicamentos en la farmacia de la cAI según listado proporcionado por el personal clínico, en farmacia verificarán listado de entrega  y para el siguiente retiro deberán entregar comprobantes de recepción
Índice de Estigma y discriminación: dada la vulnerabilidad de las personas con VIH al estigma y la discriminación por su condición de vivir con VIH, es necesario medir periódicamente este índice en la prestación de servicios de salud, en el trabajo, la comunidad y la autopercepción de las mismas personas con VIH, esto será de utilidad para superar las dificultades que enfrentan las personas con VIH y fortalecer el acceso a la cobertura de sus servicios de salud y garantizar sus derechos humanos
Formación de personas privadas de libertad como promotores pares: el país ha desarrollado una estrategia exitosa en la atención a personas privadas de libertad a través de la formación de promotores pares para la prevención del VIH en los centros de reclusión, estos promotores desarrollan diferentes actividades de promoción y prevención del VIH y otras ITS, participan activamente en los tamizajes a PPL y promueven la conformación de grupos de apoyo para PPL con VIH así como también promueven el respeto a los derechos humanos de las PPL LGBTI. Dada la rotación de  PPL en los centros penales se debe capacitar periódicamente a los voluntarios que deseen capacitarse y poner en práctica los conocimientos adquiridos. El presupuesto solicitado fortalecerá las acciones de prevención en los centros de detención 
Poblaciones jovenes clave:  Según los datos epidemiológicos del pais se puede evidenciar que el número de casos de VIH e Infecciones de Transmisión sexual (ITS) en la población Adolescente y Joven es significativa, siendo del 2018 al 2020 de 141 Casos y un total de ITS de 234, siendo las más afectadas las adolescentes y mujeres Jóvenes. Según el estudio de Línea de Base del Proyecto “Servicios Integrales de Salud y Educación para Adolescentes y Jóvenes en El Salvador”,  el cual ha sido referido y esta anexo a la nota conceptual se visualiza que la mayoría de adolescentes y jóvenes no conocen de manera específica sobre métodos anticonceptivos, prevención de embarazo, ITS, entre otros. El acceso universal de las y los adolescentes y jóvenes a una atención integral y diferenciada en los Servicios de Salud Amigables para Adolescentes y Jóvenes (con especial énfasis en salud mental, salud sexual y reproductiva, derechos sexuales y reproductivos, prevención del VIH,  prevención y atención de violencia de género, familiar, sexual y social) sigue siendo aun limitada, debido a la baja cobertura de las Unidades Comunitarias de Salud Familiar, ya que estos servicios no son brindados por todos los centros de salud.  Otro aspecto importante de mencionar es la existencia muy marcada que persiste del estigma y discriminación en la atención y adolescentes por parte de los prestadores de servicios de salud, siendo evidente el trato y abordaje adulto centrista, que trae como consecuencia que las y los adolescentes y jóvenes no consulten por situaciones de salud como el VIH, ITS, violencia sexual entre otros temas más personales de las y los adolescentes y jóvenes, situación que se agrava cuando los adolescentes y jovenes pertenecen a las poblaciones claves como Hombres que tienen sexo con hombres y transgenero. Lo que ocasiona una resistencia de las poblaciones adolescentes y de juventud a acercarse a los servicios de salud. Tomando en cuenta estos aspectos, el país propone el trabajo con las juventudes, incluyendo las juventudes de las poblaciones claves, en la prevención de VIH y otras infecciones de transmisión sexual, en el marco de la educación  integral de la sexualidad, proceso por medio del cual se fortalecerán a las y los adolescentes y jóvenes (15 a 24 años) mediante el fortalecimiento de actitudes, conocimientos  y prácticas que disminuyan el riesgo a la adquisición del VIH y otras Infecciones de transmisión sexual, tanto en los contextos educativos como en comunidad. En las escuelas la focalización estará en las y los adolescentes y en los entornos comunitarios la prioridad será en los jóvenes. Cabe mencionar que estos aspectos de la propuesta PAAR estan directamente relacionados y copmlementan la estrategia propuesta en la nota conapetual para este tema.</v>
      </c>
      <c r="B21" s="164"/>
      <c r="C21" s="164"/>
      <c r="D21" s="164"/>
      <c r="E21" s="164"/>
      <c r="F21" s="164"/>
      <c r="G21" s="164"/>
      <c r="H21" s="164"/>
      <c r="I21" s="164"/>
      <c r="J21" s="164"/>
    </row>
    <row r="22" spans="1:10" ht="150" customHeight="1" x14ac:dyDescent="0.35">
      <c r="A22" s="164"/>
      <c r="B22" s="164"/>
      <c r="C22" s="164"/>
      <c r="D22" s="164"/>
      <c r="E22" s="164"/>
      <c r="F22" s="164"/>
      <c r="G22" s="164"/>
      <c r="H22" s="164"/>
      <c r="I22" s="164"/>
      <c r="J22" s="164"/>
    </row>
    <row r="23" spans="1:10" ht="150" customHeight="1" x14ac:dyDescent="0.35">
      <c r="A23" s="164"/>
      <c r="B23" s="164"/>
      <c r="C23" s="164"/>
      <c r="D23" s="164"/>
      <c r="E23" s="164"/>
      <c r="F23" s="164"/>
      <c r="G23" s="164"/>
      <c r="H23" s="164"/>
      <c r="I23" s="164"/>
      <c r="J23" s="164"/>
    </row>
    <row r="25" spans="1:10" ht="18" x14ac:dyDescent="0.35">
      <c r="A25" s="147" t="s">
        <v>4</v>
      </c>
      <c r="B25" s="147"/>
      <c r="C25" s="147"/>
      <c r="D25" s="147"/>
      <c r="E25" s="147"/>
      <c r="F25" s="147"/>
      <c r="G25" s="147"/>
      <c r="H25" s="147"/>
      <c r="I25" s="147"/>
      <c r="J25" s="147"/>
    </row>
    <row r="26" spans="1:10" ht="230.15" customHeight="1" x14ac:dyDescent="0.35">
      <c r="A26" s="163" t="s">
        <v>18</v>
      </c>
      <c r="B26" s="163"/>
      <c r="C26" s="163"/>
      <c r="D26" s="163"/>
      <c r="E26" s="163"/>
      <c r="F26" s="163"/>
      <c r="G26" s="163"/>
      <c r="H26" s="163"/>
      <c r="I26" s="163"/>
      <c r="J26" s="163"/>
    </row>
    <row r="27" spans="1:10" ht="47.5" customHeight="1" x14ac:dyDescent="0.35">
      <c r="A27" s="16" t="s">
        <v>19</v>
      </c>
      <c r="B27" s="16" t="s">
        <v>20</v>
      </c>
      <c r="C27" s="16" t="s">
        <v>21</v>
      </c>
      <c r="D27" s="16" t="s">
        <v>22</v>
      </c>
      <c r="E27" s="23" t="s">
        <v>23</v>
      </c>
      <c r="F27" s="16" t="s">
        <v>24</v>
      </c>
      <c r="G27" s="17" t="s">
        <v>25</v>
      </c>
      <c r="H27" s="25" t="s">
        <v>26</v>
      </c>
      <c r="I27" s="17" t="s">
        <v>27</v>
      </c>
      <c r="J27" s="17" t="s">
        <v>28</v>
      </c>
    </row>
    <row r="28" spans="1:10" ht="42" x14ac:dyDescent="0.35">
      <c r="A28" s="27" t="str">
        <f>IFERROR(IF(PAAR!$B$10="English",PAAR!$A30,IF(PAAR!$B$10="Français",VLOOKUP(PAAR!$A30,For_EN[],3,0),IF(PAAR!$B$10="Español",VLOOKUP(PAAR!$A30,For_EN[[Español]:[English]],2,0)))),0)</f>
        <v>High</v>
      </c>
      <c r="B28" s="27">
        <f>IFERROR(IF(PAAR!$B$10="English",PAAR!#REF!,IF(PAAR!$B$10="Français",VLOOKUP(PAAR!#REF!,For_EN[],3,0),IF(PAAR!$B$10="Español",VLOOKUP(PAAR!#REF!,For_EN[[Español]:[English]],2,0)))),0)</f>
        <v>0</v>
      </c>
      <c r="C28" s="27">
        <f>IFERROR(IF(PAAR!$B$10="English",PAAR!$D30,IF(PAAR!$B$10="Français",VLOOKUP(PAAR!$D30,For_EN[],3,0),IF(PAAR!$B$10="Español",VLOOKUP(PAAR!$D30,For_EN[[Español]:[English]],2,0)))),0)</f>
        <v>0</v>
      </c>
      <c r="D28" s="18">
        <f>PAAR!F30</f>
        <v>292590</v>
      </c>
      <c r="E28" s="19">
        <f>PAAR!G30</f>
        <v>292590</v>
      </c>
      <c r="F28" s="26" t="str">
        <f>PAAR!H30</f>
        <v>Para el fortalecimiento de las capacidades del personal de salud y de las organizaciones de sociedad civil que trabajan en VIH, se realizará un foro anual de gestión del conocimiento que permita el intercambio de experiencias y actualización de conocimientos, para garantizar la participación de personal que vive en ciudades y pueblos alejados de la capital se les proporcionará alojamiento para garantizar la asistencia a tiempo completo los dos días que dure el foro.</v>
      </c>
      <c r="G28" s="19"/>
      <c r="H28" s="19">
        <f>IF($B$16="EUR",$G28*(1/0.8911),$G28)</f>
        <v>0</v>
      </c>
      <c r="I28" s="24"/>
      <c r="J28" s="28"/>
    </row>
    <row r="29" spans="1:10" ht="56" x14ac:dyDescent="0.35">
      <c r="A29" s="27" t="str">
        <f>IFERROR(IF(PAAR!$B$10="English",PAAR!$A31,IF(PAAR!$B$10="Français",VLOOKUP(PAAR!$A31,For_EN[],3,0),IF(PAAR!$B$10="Español",VLOOKUP(PAAR!$A31,For_EN[[Español]:[English]],2,0)))),0)</f>
        <v>High</v>
      </c>
      <c r="B29" s="27">
        <f>IFERROR(IF(PAAR!$B$10="English",PAAR!$B31,IF(PAAR!$B$10="Français",VLOOKUP(PAAR!$B31,For_EN[],3,0),IF(PAAR!$B$10="Español",VLOOKUP(PAAR!$B31,For_EN[[Español]:[English]],2,0)))),0)</f>
        <v>0</v>
      </c>
      <c r="C29" s="27">
        <f>IFERROR(IF(PAAR!$B$10="English",PAAR!$D31,IF(PAAR!$B$10="Français",VLOOKUP(PAAR!$D31,For_EN[],3,0),IF(PAAR!$B$10="Español",VLOOKUP(PAAR!$D31,For_EN[[Español]:[English]],2,0)))),0)</f>
        <v>0</v>
      </c>
      <c r="D29" s="18">
        <f>PAAR!F31</f>
        <v>94500</v>
      </c>
      <c r="E29" s="19">
        <f>PAAR!G31</f>
        <v>94500</v>
      </c>
      <c r="F29" s="26" t="str">
        <f>PAAR!H31</f>
        <v>Contratación social
Este presupuesto incluye los gastos necesarios para financiar la asistencia técnica requerida (consultoría) para motivar, guiar y responsabilizar a los actores estatales y de la Sociedad Civil para llegar a la contración de organizaciones para que brinden servicios de VIH. Se requieren reuniones informativas, elaborar un plan de abogacía y un plan de capacitación a persona de diferentes instituciones estatales y de OSC.</v>
      </c>
      <c r="G29" s="19"/>
      <c r="H29" s="19">
        <f t="shared" ref="H29:H52" si="0">IF($B$16="EUR",$G29*(1/0.8911),$G29)</f>
        <v>0</v>
      </c>
      <c r="I29" s="24"/>
      <c r="J29" s="28"/>
    </row>
    <row r="30" spans="1:10" ht="42" x14ac:dyDescent="0.35">
      <c r="A30" s="27" t="str">
        <f>IFERROR(IF(PAAR!$B$10="English",PAAR!$A32,IF(PAAR!$B$10="Français",VLOOKUP(PAAR!$A32,For_EN[],3,0),IF(PAAR!$B$10="Español",VLOOKUP(PAAR!$A32,For_EN[[Español]:[English]],2,0)))),0)</f>
        <v>High</v>
      </c>
      <c r="B30" s="27" t="str">
        <f>IFERROR(IF(PAAR!$B$10="English",PAAR!$B32,IF(PAAR!$B$10="Français",VLOOKUP(PAAR!$B32,For_EN[],3,0),IF(PAAR!$B$10="Español",VLOOKUP(PAAR!$B32,For_EN[[Español]:[English]],2,0)))),0)</f>
        <v>Prevention</v>
      </c>
      <c r="C30" s="27">
        <f>IFERROR(IF(PAAR!$B$10="English",PAAR!$D32,IF(PAAR!$B$10="Français",VLOOKUP(PAAR!$D32,For_EN[],3,0),IF(PAAR!$B$10="Español",VLOOKUP(PAAR!$D32,For_EN[[Español]:[English]],2,0)))),0)</f>
        <v>0</v>
      </c>
      <c r="D30" s="18">
        <f>PAAR!F32</f>
        <v>332970</v>
      </c>
      <c r="E30" s="19">
        <f>PAAR!G32</f>
        <v>332970</v>
      </c>
      <c r="F30" s="26" t="str">
        <f>PAAR!H32</f>
        <v>Considerando la alta incidencia en poblaciones jóvenes, y particularmente en la de jóvenes clave, se proponen intervenciones de Educación, Comunicación e Información para la prevención con jóvenes, incluyendo de población clave, buscando a cambiar comportamiento, acompañadas de intervenciones para generar espacios seguros de discusión y de atención en EIS con servicios amigables para jóvenes, particularmente de población clave, dando así también acceso a insumos de prevención.</v>
      </c>
      <c r="G30" s="19"/>
      <c r="H30" s="19">
        <f t="shared" si="0"/>
        <v>0</v>
      </c>
      <c r="I30" s="24"/>
      <c r="J30" s="28"/>
    </row>
    <row r="31" spans="1:10" ht="140" x14ac:dyDescent="0.35">
      <c r="A31" s="27" t="str">
        <f>IFERROR(IF(PAAR!$B$10="English",PAAR!$A33,IF(PAAR!$B$10="Français",VLOOKUP(PAAR!$A33,For_EN[],3,0),IF(PAAR!$B$10="Español",VLOOKUP(PAAR!$A33,For_EN[[Español]:[English]],2,0)))),0)</f>
        <v>High</v>
      </c>
      <c r="B31" s="27">
        <f>IFERROR(IF(PAAR!$B$10="English",PAAR!$B33,IF(PAAR!$B$10="Français",VLOOKUP(PAAR!$B33,For_EN[],3,0),IF(PAAR!$B$10="Español",VLOOKUP(PAAR!$B33,For_EN[[Español]:[English]],2,0)))),0)</f>
        <v>0</v>
      </c>
      <c r="C31" s="27">
        <f>IFERROR(IF(PAAR!$B$10="English",PAAR!$D33,IF(PAAR!$B$10="Français",VLOOKUP(PAAR!$D33,For_EN[],3,0),IF(PAAR!$B$10="Español",VLOOKUP(PAAR!$D33,For_EN[[Español]:[English]],2,0)))),0)</f>
        <v>0</v>
      </c>
      <c r="D31" s="18">
        <f>PAAR!F33</f>
        <v>449032</v>
      </c>
      <c r="E31" s="19">
        <f>PAAR!G33</f>
        <v>449032</v>
      </c>
      <c r="F31" s="26" t="str">
        <f>PAAR!H33</f>
        <v xml:space="preserve">
Descentralización de la TAR: El 42 % de las personas con VIH vive en áreas rurales, las largas distancias que tienen que recorrer hasta los hospitales en las cabeceras departamentales y la capital suponen una dificultad añadida para poder acceder regularmente a los tratamientos que necesitan. Fortalecer la descentralización de la oferta de tratamiento antirretroviral a escala nacional en los hospitales de segundo nivel de atención, permitirá promover el continuo de la atención y la adherencia a la terapia ARV así como incrementar el número de personas con supresión viral. Con el fortalecimiento de las CAI se tendrá un acceso ampliado y equitativo a servicios de calidad a las personas con VIH y reducirá el tiempo e inversión económica para buscar su tratamiento y acceso a pruebas de laboratorio y  monitoreo de la carga viral. Dado que la temperatura promedio de El Salvador oscila entre los 28 y 32 grados, es necesario dotar a los establecimientos de equipos de aire acondicionado en los consultorios, área de farmacia y laboratorio para que tanto los pacientes como el equipo multidisciplinario que les atienda estén confortables, sillas para la sala de espera y mobiliario para el personal de enfermería, farmacia y laboratorio, en estos últimos, no disponen de áreas de trabajo adecuadas por lo que se requiere dotar de mesas de acero inoxidable que permitan preparar material de trabajo en condiciones adecuadas y fácil de sanitizar</v>
      </c>
      <c r="G31" s="19"/>
      <c r="H31" s="19">
        <f t="shared" si="0"/>
        <v>0</v>
      </c>
      <c r="I31" s="24"/>
      <c r="J31" s="28"/>
    </row>
    <row r="32" spans="1:10" ht="84" x14ac:dyDescent="0.35">
      <c r="A32" s="27" t="str">
        <f>IFERROR(IF(PAAR!$B$10="English",PAAR!$A34,IF(PAAR!$B$10="Français",VLOOKUP(PAAR!$A34,For_EN[],3,0),IF(PAAR!$B$10="Español",VLOOKUP(PAAR!$A34,For_EN[[Español]:[English]],2,0)))),0)</f>
        <v>High</v>
      </c>
      <c r="B32" s="27" t="str">
        <f>IFERROR(IF(PAAR!$B$10="English",PAAR!$B34,IF(PAAR!$B$10="Français",VLOOKUP(PAAR!$B34,For_EN[],3,0),IF(PAAR!$B$10="Español",VLOOKUP(PAAR!$B34,For_EN[[Español]:[English]],2,0)))),0)</f>
        <v>Treatment, care and support</v>
      </c>
      <c r="C32" s="27">
        <f>IFERROR(IF(PAAR!$B$10="English",PAAR!$D34,IF(PAAR!$B$10="Français",VLOOKUP(PAAR!$D34,For_EN[],3,0),IF(PAAR!$B$10="Español",VLOOKUP(PAAR!$D34,For_EN[[Español]:[English]],2,0)))),0)</f>
        <v>0</v>
      </c>
      <c r="D32" s="18">
        <f>PAAR!F34</f>
        <v>360000</v>
      </c>
      <c r="E32" s="19">
        <f>PAAR!G34</f>
        <v>360000</v>
      </c>
      <c r="F32" s="26" t="str">
        <f>PAAR!H34</f>
        <v>Contratación de organizaciones de personas con VH para coordinar con PEpFAR de TAR domiciliar;
Se contrararán organizaciones de sociedad civil, de preferencia de personas con VIH, para la entrega domiciliar de medicamentos a aquellas personas adherentes que tienen limitaciones para desplazarse a retirar medicamentos a las diferentes CAI. Se considera elaborar un contrato que contemple las tarifas por entrega de ARV de acuerdo a distancia recorrida, se harán enlaces a través del personal de la CAI para verificar la entrega de medicamentos y las organizaciones contratadas deberán retirar los medicamentos en la farmacia de la cAI según listado proporcionado por el personal clínico, en farmacia verificarán listado de entrega  y para el siguiente retiro deberán entregar comprobantes de recepción</v>
      </c>
      <c r="G32" s="19"/>
      <c r="H32" s="19">
        <f t="shared" si="0"/>
        <v>0</v>
      </c>
      <c r="I32" s="24"/>
      <c r="J32" s="28"/>
    </row>
    <row r="33" spans="1:10" ht="126" x14ac:dyDescent="0.35">
      <c r="A33" s="27" t="str">
        <f>IFERROR(IF(PAAR!$B$10="English",PAAR!$A35,IF(PAAR!$B$10="Français",VLOOKUP(PAAR!$A35,For_EN[],3,0),IF(PAAR!$B$10="Español",VLOOKUP(PAAR!$A35,For_EN[[Español]:[English]],2,0)))),0)</f>
        <v>High</v>
      </c>
      <c r="B33" s="27">
        <f>IFERROR(IF(PAAR!$B$10="English",PAAR!$B35,IF(PAAR!$B$10="Français",VLOOKUP(PAAR!$B35,For_EN[],3,0),IF(PAAR!$B$10="Español",VLOOKUP(PAAR!$B35,For_EN[[Español]:[English]],2,0)))),0)</f>
        <v>0</v>
      </c>
      <c r="C33" s="27">
        <f>IFERROR(IF(PAAR!$B$10="English",PAAR!$D35,IF(PAAR!$B$10="Français",VLOOKUP(PAAR!$D35,For_EN[],3,0),IF(PAAR!$B$10="Español",VLOOKUP(PAAR!$D35,For_EN[[Español]:[English]],2,0)))),0)</f>
        <v>0</v>
      </c>
      <c r="D33" s="18">
        <f>PAAR!F35</f>
        <v>100000</v>
      </c>
      <c r="E33" s="19">
        <f>PAAR!G35</f>
        <v>100000</v>
      </c>
      <c r="F33" s="26" t="str">
        <f>PAAR!H35</f>
        <v xml:space="preserve">Medición del Índice de Estigma y discriminación
Las personas que viven con VIH son más estigmatizadas y vulneradas por su condicion de vivir con el virus, con el objeto de identificar los temas que más impactan en las personas se realizará la medición del índice de Estigma y discriminación a nivel nacional tanto en los hospitales del Ministerio de Salud como en el Seguro Social y abarcará aspectos relacionados con los servicios de salud en temas centrales como son; los servicios de salud sexual y reproductiva, de atención médica, de acceso a la Terapia Antirretroviral (TAR) y otros temas relacionados con el estigma y la discriminación en los ámbitos laboral, educativo y comunitario, el auto-estigma, la autopercepción como personas con VIH, el conocimiento de
sus derechos, de las leyes y políticas que los protegen como personas con VIH y de las acciones generadoras de cambios, así como de su participación en la toma de decisiones para mejorar sus condiciones de vida. Se solicitará que los encuestadores de esta medición sean personas con VIH capacitados para este proceso.
</v>
      </c>
      <c r="G33" s="19"/>
      <c r="H33" s="19">
        <f t="shared" si="0"/>
        <v>0</v>
      </c>
      <c r="I33" s="24"/>
      <c r="J33" s="28"/>
    </row>
    <row r="34" spans="1:10" ht="28" x14ac:dyDescent="0.35">
      <c r="A34" s="27" t="str">
        <f>IFERROR(IF(PAAR!$B$10="English",PAAR!$A36,IF(PAAR!$B$10="Français",VLOOKUP(PAAR!$A36,For_EN[],3,0),IF(PAAR!$B$10="Español",VLOOKUP(PAAR!$A36,For_EN[[Español]:[English]],2,0)))),0)</f>
        <v>High</v>
      </c>
      <c r="B34" s="27" t="str">
        <f>IFERROR(IF(PAAR!$B$10="English",PAAR!$B36,IF(PAAR!$B$10="Français",VLOOKUP(PAAR!$B36,For_EN[],3,0),IF(PAAR!$B$10="Español",VLOOKUP(PAAR!$B36,For_EN[[Español]:[English]],2,0)))),0)</f>
        <v>Prevention</v>
      </c>
      <c r="C34" s="27">
        <f>IFERROR(IF(PAAR!$B$10="English",PAAR!$D36,IF(PAAR!$B$10="Français",VLOOKUP(PAAR!$D36,For_EN[],3,0),IF(PAAR!$B$10="Español",VLOOKUP(PAAR!$D36,For_EN[[Español]:[English]],2,0)))),0)</f>
        <v>0</v>
      </c>
      <c r="D34" s="18">
        <f>PAAR!F36</f>
        <v>111600</v>
      </c>
      <c r="E34" s="19">
        <f>PAAR!G36</f>
        <v>111600</v>
      </c>
      <c r="F34" s="26" t="str">
        <f>PAAR!H36</f>
        <v>Capacitacion a personas prvadas de libertad como promotores pares a fin de que realicen actividades de sensibilización, promoción y prevención del VIH en la población recluida en 31 centros de detención,</v>
      </c>
      <c r="G34" s="19"/>
      <c r="H34" s="19">
        <f t="shared" si="0"/>
        <v>0</v>
      </c>
      <c r="I34" s="24"/>
      <c r="J34" s="28"/>
    </row>
    <row r="35" spans="1:10" x14ac:dyDescent="0.35">
      <c r="A35" s="27">
        <f>IFERROR(IF(PAAR!$B$10="English",PAAR!$A37,IF(PAAR!$B$10="Français",VLOOKUP(PAAR!$A37,For_EN[],3,0),IF(PAAR!$B$10="Español",VLOOKUP(PAAR!$A37,For_EN[[Español]:[English]],2,0)))),0)</f>
        <v>0</v>
      </c>
      <c r="B35" s="27">
        <f>IFERROR(IF(PAAR!$B$10="English",PAAR!$B37,IF(PAAR!$B$10="Français",VLOOKUP(PAAR!$B37,For_EN[],3,0),IF(PAAR!$B$10="Español",VLOOKUP(PAAR!$B37,For_EN[[Español]:[English]],2,0)))),0)</f>
        <v>0</v>
      </c>
      <c r="C35" s="27">
        <f>IFERROR(IF(PAAR!$B$10="English",PAAR!$D37,IF(PAAR!$B$10="Français",VLOOKUP(PAAR!$D37,For_EN[],3,0),IF(PAAR!$B$10="Español",VLOOKUP(PAAR!$D37,For_EN[[Español]:[English]],2,0)))),0)</f>
        <v>0</v>
      </c>
      <c r="D35" s="18">
        <f>PAAR!F37</f>
        <v>0</v>
      </c>
      <c r="E35" s="19" t="str">
        <f>PAAR!G37</f>
        <v/>
      </c>
      <c r="F35" s="26">
        <f>PAAR!H37</f>
        <v>0</v>
      </c>
      <c r="G35" s="19"/>
      <c r="H35" s="19">
        <f t="shared" si="0"/>
        <v>0</v>
      </c>
      <c r="I35" s="24"/>
      <c r="J35" s="28"/>
    </row>
    <row r="36" spans="1:10" x14ac:dyDescent="0.35">
      <c r="A36" s="27">
        <f>IFERROR(IF(PAAR!$B$10="English",PAAR!$A38,IF(PAAR!$B$10="Français",VLOOKUP(PAAR!$A38,For_EN[],3,0),IF(PAAR!$B$10="Español",VLOOKUP(PAAR!$A38,For_EN[[Español]:[English]],2,0)))),0)</f>
        <v>0</v>
      </c>
      <c r="B36" s="27">
        <f>IFERROR(IF(PAAR!$B$10="English",PAAR!$B38,IF(PAAR!$B$10="Français",VLOOKUP(PAAR!$B38,For_EN[],3,0),IF(PAAR!$B$10="Español",VLOOKUP(PAAR!$B38,For_EN[[Español]:[English]],2,0)))),0)</f>
        <v>0</v>
      </c>
      <c r="C36" s="27">
        <f>IFERROR(IF(PAAR!$B$10="English",PAAR!$D38,IF(PAAR!$B$10="Français",VLOOKUP(PAAR!$D38,For_EN[],3,0),IF(PAAR!$B$10="Español",VLOOKUP(PAAR!$D38,For_EN[[Español]:[English]],2,0)))),0)</f>
        <v>0</v>
      </c>
      <c r="D36" s="18">
        <f>PAAR!F38</f>
        <v>0</v>
      </c>
      <c r="E36" s="19" t="str">
        <f>PAAR!G38</f>
        <v/>
      </c>
      <c r="F36" s="26">
        <f>PAAR!H38</f>
        <v>0</v>
      </c>
      <c r="G36" s="19"/>
      <c r="H36" s="19">
        <f t="shared" si="0"/>
        <v>0</v>
      </c>
      <c r="I36" s="24"/>
      <c r="J36" s="28"/>
    </row>
    <row r="37" spans="1:10" x14ac:dyDescent="0.35">
      <c r="A37" s="27">
        <f>IFERROR(IF(PAAR!$B$10="English",PAAR!$A39,IF(PAAR!$B$10="Français",VLOOKUP(PAAR!$A39,For_EN[],3,0),IF(PAAR!$B$10="Español",VLOOKUP(PAAR!$A39,For_EN[[Español]:[English]],2,0)))),0)</f>
        <v>0</v>
      </c>
      <c r="B37" s="27">
        <f>IFERROR(IF(PAAR!$B$10="English",PAAR!$B39,IF(PAAR!$B$10="Français",VLOOKUP(PAAR!$B39,For_EN[],3,0),IF(PAAR!$B$10="Español",VLOOKUP(PAAR!$B39,For_EN[[Español]:[English]],2,0)))),0)</f>
        <v>0</v>
      </c>
      <c r="C37" s="27">
        <f>IFERROR(IF(PAAR!$B$10="English",PAAR!$D39,IF(PAAR!$B$10="Français",VLOOKUP(PAAR!$D39,For_EN[],3,0),IF(PAAR!$B$10="Español",VLOOKUP(PAAR!$D39,For_EN[[Español]:[English]],2,0)))),0)</f>
        <v>0</v>
      </c>
      <c r="D37" s="18">
        <f>PAAR!F39</f>
        <v>0</v>
      </c>
      <c r="E37" s="19" t="str">
        <f>PAAR!G39</f>
        <v/>
      </c>
      <c r="F37" s="26">
        <f>PAAR!H39</f>
        <v>0</v>
      </c>
      <c r="G37" s="19"/>
      <c r="H37" s="19">
        <f t="shared" si="0"/>
        <v>0</v>
      </c>
      <c r="I37" s="24"/>
      <c r="J37" s="28"/>
    </row>
    <row r="38" spans="1:10" x14ac:dyDescent="0.35">
      <c r="A38" s="27">
        <f>IFERROR(IF(PAAR!$B$10="English",PAAR!$A40,IF(PAAR!$B$10="Français",VLOOKUP(PAAR!$A40,For_EN[],3,0),IF(PAAR!$B$10="Español",VLOOKUP(PAAR!$A40,For_EN[[Español]:[English]],2,0)))),0)</f>
        <v>0</v>
      </c>
      <c r="B38" s="27">
        <f>IFERROR(IF(PAAR!$B$10="English",PAAR!$B40,IF(PAAR!$B$10="Français",VLOOKUP(PAAR!$B40,For_EN[],3,0),IF(PAAR!$B$10="Español",VLOOKUP(PAAR!$B40,For_EN[[Español]:[English]],2,0)))),0)</f>
        <v>0</v>
      </c>
      <c r="C38" s="27">
        <f>IFERROR(IF(PAAR!$B$10="English",PAAR!$D40,IF(PAAR!$B$10="Français",VLOOKUP(PAAR!$D40,For_EN[],3,0),IF(PAAR!$B$10="Español",VLOOKUP(PAAR!$D40,For_EN[[Español]:[English]],2,0)))),0)</f>
        <v>0</v>
      </c>
      <c r="D38" s="18">
        <f>PAAR!F40</f>
        <v>0</v>
      </c>
      <c r="E38" s="19" t="str">
        <f>PAAR!G40</f>
        <v/>
      </c>
      <c r="F38" s="26">
        <f>PAAR!H40</f>
        <v>0</v>
      </c>
      <c r="G38" s="19"/>
      <c r="H38" s="19">
        <f t="shared" si="0"/>
        <v>0</v>
      </c>
      <c r="I38" s="24"/>
      <c r="J38" s="28"/>
    </row>
    <row r="39" spans="1:10" x14ac:dyDescent="0.35">
      <c r="A39" s="27">
        <f>IFERROR(IF(PAAR!$B$10="English",PAAR!$A98,IF(PAAR!$B$10="Français",VLOOKUP(PAAR!$A98,For_EN[],3,0),IF(PAAR!$B$10="Español",VLOOKUP(PAAR!$A98,For_EN[[Español]:[English]],2,0)))),0)</f>
        <v>0</v>
      </c>
      <c r="B39" s="27">
        <f>IFERROR(IF(PAAR!$B$10="English",PAAR!$B98,IF(PAAR!$B$10="Français",VLOOKUP(PAAR!$B98,For_EN[],3,0),IF(PAAR!$B$10="Español",VLOOKUP(PAAR!$B98,For_EN[[Español]:[English]],2,0)))),0)</f>
        <v>0</v>
      </c>
      <c r="C39" s="27">
        <f>IFERROR(IF(PAAR!$B$10="English",PAAR!$D98,IF(PAAR!$B$10="Français",VLOOKUP(PAAR!$D98,For_EN[],3,0),IF(PAAR!$B$10="Español",VLOOKUP(PAAR!$D98,For_EN[[Español]:[English]],2,0)))),0)</f>
        <v>0</v>
      </c>
      <c r="D39" s="18">
        <f>PAAR!F98</f>
        <v>0</v>
      </c>
      <c r="E39" s="19" t="str">
        <f>PAAR!G98</f>
        <v/>
      </c>
      <c r="F39" s="26">
        <f>PAAR!H98</f>
        <v>0</v>
      </c>
      <c r="G39" s="19"/>
      <c r="H39" s="19">
        <f t="shared" si="0"/>
        <v>0</v>
      </c>
      <c r="I39" s="24"/>
      <c r="J39" s="28"/>
    </row>
    <row r="40" spans="1:10" x14ac:dyDescent="0.35">
      <c r="A40" s="27">
        <f>IFERROR(IF(PAAR!$B$10="English",PAAR!$A99,IF(PAAR!$B$10="Français",VLOOKUP(PAAR!$A99,For_EN[],3,0),IF(PAAR!$B$10="Español",VLOOKUP(PAAR!$A99,For_EN[[Español]:[English]],2,0)))),0)</f>
        <v>0</v>
      </c>
      <c r="B40" s="27">
        <f>IFERROR(IF(PAAR!$B$10="English",PAAR!$B99,IF(PAAR!$B$10="Français",VLOOKUP(PAAR!$B99,For_EN[],3,0),IF(PAAR!$B$10="Español",VLOOKUP(PAAR!$B99,For_EN[[Español]:[English]],2,0)))),0)</f>
        <v>0</v>
      </c>
      <c r="C40" s="27">
        <f>IFERROR(IF(PAAR!$B$10="English",PAAR!$D99,IF(PAAR!$B$10="Français",VLOOKUP(PAAR!$D99,For_EN[],3,0),IF(PAAR!$B$10="Español",VLOOKUP(PAAR!$D99,For_EN[[Español]:[English]],2,0)))),0)</f>
        <v>0</v>
      </c>
      <c r="D40" s="18">
        <f>PAAR!F99</f>
        <v>0</v>
      </c>
      <c r="E40" s="19" t="str">
        <f>PAAR!G99</f>
        <v/>
      </c>
      <c r="F40" s="26">
        <f>PAAR!H99</f>
        <v>0</v>
      </c>
      <c r="G40" s="19"/>
      <c r="H40" s="19">
        <f t="shared" si="0"/>
        <v>0</v>
      </c>
      <c r="I40" s="24"/>
      <c r="J40" s="28"/>
    </row>
    <row r="41" spans="1:10" x14ac:dyDescent="0.35">
      <c r="A41" s="27">
        <f>IFERROR(IF(PAAR!$B$10="English",PAAR!$A100,IF(PAAR!$B$10="Français",VLOOKUP(PAAR!$A100,For_EN[],3,0),IF(PAAR!$B$10="Español",VLOOKUP(PAAR!$A100,For_EN[[Español]:[English]],2,0)))),0)</f>
        <v>0</v>
      </c>
      <c r="B41" s="27">
        <f>IFERROR(IF(PAAR!$B$10="English",PAAR!$B100,IF(PAAR!$B$10="Français",VLOOKUP(PAAR!$B100,For_EN[],3,0),IF(PAAR!$B$10="Español",VLOOKUP(PAAR!$B100,For_EN[[Español]:[English]],2,0)))),0)</f>
        <v>0</v>
      </c>
      <c r="C41" s="27">
        <f>IFERROR(IF(PAAR!$B$10="English",PAAR!$D100,IF(PAAR!$B$10="Français",VLOOKUP(PAAR!$D100,For_EN[],3,0),IF(PAAR!$B$10="Español",VLOOKUP(PAAR!$D100,For_EN[[Español]:[English]],2,0)))),0)</f>
        <v>0</v>
      </c>
      <c r="D41" s="18">
        <f>PAAR!F100</f>
        <v>0</v>
      </c>
      <c r="E41" s="19" t="str">
        <f>PAAR!G100</f>
        <v/>
      </c>
      <c r="F41" s="26">
        <f>PAAR!H100</f>
        <v>0</v>
      </c>
      <c r="G41" s="19"/>
      <c r="H41" s="19">
        <f t="shared" si="0"/>
        <v>0</v>
      </c>
      <c r="I41" s="24"/>
      <c r="J41" s="28"/>
    </row>
    <row r="42" spans="1:10" x14ac:dyDescent="0.35">
      <c r="A42" s="27">
        <f>IFERROR(IF(PAAR!$B$10="English",PAAR!$A101,IF(PAAR!$B$10="Français",VLOOKUP(PAAR!$A101,For_EN[],3,0),IF(PAAR!$B$10="Español",VLOOKUP(PAAR!$A101,For_EN[[Español]:[English]],2,0)))),0)</f>
        <v>0</v>
      </c>
      <c r="B42" s="27">
        <f>IFERROR(IF(PAAR!$B$10="English",PAAR!$B101,IF(PAAR!$B$10="Français",VLOOKUP(PAAR!$B101,For_EN[],3,0),IF(PAAR!$B$10="Español",VLOOKUP(PAAR!$B101,For_EN[[Español]:[English]],2,0)))),0)</f>
        <v>0</v>
      </c>
      <c r="C42" s="27">
        <f>IFERROR(IF(PAAR!$B$10="English",PAAR!$D101,IF(PAAR!$B$10="Français",VLOOKUP(PAAR!$D101,For_EN[],3,0),IF(PAAR!$B$10="Español",VLOOKUP(PAAR!$D101,For_EN[[Español]:[English]],2,0)))),0)</f>
        <v>0</v>
      </c>
      <c r="D42" s="18">
        <f>PAAR!F101</f>
        <v>0</v>
      </c>
      <c r="E42" s="19" t="str">
        <f>PAAR!G101</f>
        <v/>
      </c>
      <c r="F42" s="26">
        <f>PAAR!H101</f>
        <v>0</v>
      </c>
      <c r="G42" s="19"/>
      <c r="H42" s="19">
        <f t="shared" si="0"/>
        <v>0</v>
      </c>
      <c r="I42" s="24"/>
      <c r="J42" s="28"/>
    </row>
    <row r="43" spans="1:10" x14ac:dyDescent="0.35">
      <c r="A43" s="27">
        <f>IFERROR(IF(PAAR!$B$10="English",PAAR!$A102,IF(PAAR!$B$10="Français",VLOOKUP(PAAR!$A102,For_EN[],3,0),IF(PAAR!$B$10="Español",VLOOKUP(PAAR!$A102,For_EN[[Español]:[English]],2,0)))),0)</f>
        <v>0</v>
      </c>
      <c r="B43" s="27">
        <f>IFERROR(IF(PAAR!$B$10="English",PAAR!$B102,IF(PAAR!$B$10="Français",VLOOKUP(PAAR!$B102,For_EN[],3,0),IF(PAAR!$B$10="Español",VLOOKUP(PAAR!$B102,For_EN[[Español]:[English]],2,0)))),0)</f>
        <v>0</v>
      </c>
      <c r="C43" s="27">
        <f>IFERROR(IF(PAAR!$B$10="English",PAAR!$D102,IF(PAAR!$B$10="Français",VLOOKUP(PAAR!$D102,For_EN[],3,0),IF(PAAR!$B$10="Español",VLOOKUP(PAAR!$D102,For_EN[[Español]:[English]],2,0)))),0)</f>
        <v>0</v>
      </c>
      <c r="D43" s="18">
        <f>PAAR!F102</f>
        <v>0</v>
      </c>
      <c r="E43" s="19" t="str">
        <f>PAAR!G102</f>
        <v/>
      </c>
      <c r="F43" s="26">
        <f>PAAR!H102</f>
        <v>0</v>
      </c>
      <c r="G43" s="19"/>
      <c r="H43" s="19">
        <f t="shared" si="0"/>
        <v>0</v>
      </c>
      <c r="I43" s="24"/>
      <c r="J43" s="28"/>
    </row>
    <row r="44" spans="1:10" x14ac:dyDescent="0.35">
      <c r="A44" s="27">
        <f>IFERROR(IF(PAAR!$B$10="English",PAAR!$A103,IF(PAAR!$B$10="Français",VLOOKUP(PAAR!$A103,For_EN[],3,0),IF(PAAR!$B$10="Español",VLOOKUP(PAAR!$A103,For_EN[[Español]:[English]],2,0)))),0)</f>
        <v>0</v>
      </c>
      <c r="B44" s="27">
        <f>IFERROR(IF(PAAR!$B$10="English",PAAR!$B103,IF(PAAR!$B$10="Français",VLOOKUP(PAAR!$B103,For_EN[],3,0),IF(PAAR!$B$10="Español",VLOOKUP(PAAR!$B103,For_EN[[Español]:[English]],2,0)))),0)</f>
        <v>0</v>
      </c>
      <c r="C44" s="27">
        <f>IFERROR(IF(PAAR!$B$10="English",PAAR!$D103,IF(PAAR!$B$10="Français",VLOOKUP(PAAR!$D103,For_EN[],3,0),IF(PAAR!$B$10="Español",VLOOKUP(PAAR!$D103,For_EN[[Español]:[English]],2,0)))),0)</f>
        <v>0</v>
      </c>
      <c r="D44" s="18">
        <f>PAAR!F103</f>
        <v>0</v>
      </c>
      <c r="E44" s="19" t="str">
        <f>PAAR!G103</f>
        <v/>
      </c>
      <c r="F44" s="26">
        <f>PAAR!H103</f>
        <v>0</v>
      </c>
      <c r="G44" s="19"/>
      <c r="H44" s="19">
        <f t="shared" si="0"/>
        <v>0</v>
      </c>
      <c r="I44" s="24"/>
      <c r="J44" s="28"/>
    </row>
    <row r="45" spans="1:10" x14ac:dyDescent="0.35">
      <c r="A45" s="27">
        <f>IFERROR(IF(PAAR!$B$10="English",PAAR!$A104,IF(PAAR!$B$10="Français",VLOOKUP(PAAR!$A104,For_EN[],3,0),IF(PAAR!$B$10="Español",VLOOKUP(PAAR!$A104,For_EN[[Español]:[English]],2,0)))),0)</f>
        <v>0</v>
      </c>
      <c r="B45" s="27">
        <f>IFERROR(IF(PAAR!$B$10="English",PAAR!$B104,IF(PAAR!$B$10="Français",VLOOKUP(PAAR!$B104,For_EN[],3,0),IF(PAAR!$B$10="Español",VLOOKUP(PAAR!$B104,For_EN[[Español]:[English]],2,0)))),0)</f>
        <v>0</v>
      </c>
      <c r="C45" s="27">
        <f>IFERROR(IF(PAAR!$B$10="English",PAAR!$D104,IF(PAAR!$B$10="Français",VLOOKUP(PAAR!$D104,For_EN[],3,0),IF(PAAR!$B$10="Español",VLOOKUP(PAAR!$D104,For_EN[[Español]:[English]],2,0)))),0)</f>
        <v>0</v>
      </c>
      <c r="D45" s="18">
        <f>PAAR!F104</f>
        <v>0</v>
      </c>
      <c r="E45" s="19" t="str">
        <f>PAAR!G104</f>
        <v/>
      </c>
      <c r="F45" s="26">
        <f>PAAR!H104</f>
        <v>0</v>
      </c>
      <c r="G45" s="19"/>
      <c r="H45" s="19">
        <f t="shared" si="0"/>
        <v>0</v>
      </c>
      <c r="I45" s="24"/>
      <c r="J45" s="28"/>
    </row>
    <row r="46" spans="1:10" x14ac:dyDescent="0.35">
      <c r="A46" s="27">
        <f>IFERROR(IF(PAAR!$B$10="English",PAAR!$A105,IF(PAAR!$B$10="Français",VLOOKUP(PAAR!$A105,For_EN[],3,0),IF(PAAR!$B$10="Español",VLOOKUP(PAAR!$A105,For_EN[[Español]:[English]],2,0)))),0)</f>
        <v>0</v>
      </c>
      <c r="B46" s="27">
        <f>IFERROR(IF(PAAR!$B$10="English",PAAR!$B105,IF(PAAR!$B$10="Français",VLOOKUP(PAAR!$B105,For_EN[],3,0),IF(PAAR!$B$10="Español",VLOOKUP(PAAR!$B105,For_EN[[Español]:[English]],2,0)))),0)</f>
        <v>0</v>
      </c>
      <c r="C46" s="27">
        <f>IFERROR(IF(PAAR!$B$10="English",PAAR!$D105,IF(PAAR!$B$10="Français",VLOOKUP(PAAR!$D105,For_EN[],3,0),IF(PAAR!$B$10="Español",VLOOKUP(PAAR!$D105,For_EN[[Español]:[English]],2,0)))),0)</f>
        <v>0</v>
      </c>
      <c r="D46" s="18">
        <f>PAAR!F105</f>
        <v>0</v>
      </c>
      <c r="E46" s="19" t="str">
        <f>PAAR!G105</f>
        <v/>
      </c>
      <c r="F46" s="26">
        <f>PAAR!H105</f>
        <v>0</v>
      </c>
      <c r="G46" s="19"/>
      <c r="H46" s="19">
        <f t="shared" si="0"/>
        <v>0</v>
      </c>
      <c r="I46" s="24"/>
      <c r="J46" s="28"/>
    </row>
    <row r="47" spans="1:10" x14ac:dyDescent="0.35">
      <c r="A47" s="27">
        <f>IFERROR(IF(PAAR!$B$10="English",PAAR!$A106,IF(PAAR!$B$10="Français",VLOOKUP(PAAR!$A106,For_EN[],3,0),IF(PAAR!$B$10="Español",VLOOKUP(PAAR!$A106,For_EN[[Español]:[English]],2,0)))),0)</f>
        <v>0</v>
      </c>
      <c r="B47" s="27">
        <f>IFERROR(IF(PAAR!$B$10="English",PAAR!$B106,IF(PAAR!$B$10="Français",VLOOKUP(PAAR!$B106,For_EN[],3,0),IF(PAAR!$B$10="Español",VLOOKUP(PAAR!$B106,For_EN[[Español]:[English]],2,0)))),0)</f>
        <v>0</v>
      </c>
      <c r="C47" s="27">
        <f>IFERROR(IF(PAAR!$B$10="English",PAAR!$D106,IF(PAAR!$B$10="Français",VLOOKUP(PAAR!$D106,For_EN[],3,0),IF(PAAR!$B$10="Español",VLOOKUP(PAAR!$D106,For_EN[[Español]:[English]],2,0)))),0)</f>
        <v>0</v>
      </c>
      <c r="D47" s="18">
        <f>PAAR!F106</f>
        <v>0</v>
      </c>
      <c r="E47" s="19" t="str">
        <f>PAAR!G106</f>
        <v/>
      </c>
      <c r="F47" s="26">
        <f>PAAR!H106</f>
        <v>0</v>
      </c>
      <c r="G47" s="19"/>
      <c r="H47" s="19">
        <f t="shared" si="0"/>
        <v>0</v>
      </c>
      <c r="I47" s="24"/>
      <c r="J47" s="28"/>
    </row>
    <row r="48" spans="1:10" x14ac:dyDescent="0.35">
      <c r="A48" s="27">
        <f>IFERROR(IF(PAAR!$B$10="English",PAAR!$A107,IF(PAAR!$B$10="Français",VLOOKUP(PAAR!$A107,For_EN[],3,0),IF(PAAR!$B$10="Español",VLOOKUP(PAAR!$A107,For_EN[[Español]:[English]],2,0)))),0)</f>
        <v>0</v>
      </c>
      <c r="B48" s="27">
        <f>IFERROR(IF(PAAR!$B$10="English",PAAR!$B107,IF(PAAR!$B$10="Français",VLOOKUP(PAAR!$B107,For_EN[],3,0),IF(PAAR!$B$10="Español",VLOOKUP(PAAR!$B107,For_EN[[Español]:[English]],2,0)))),0)</f>
        <v>0</v>
      </c>
      <c r="C48" s="27">
        <f>IFERROR(IF(PAAR!$B$10="English",PAAR!$D107,IF(PAAR!$B$10="Français",VLOOKUP(PAAR!$D107,For_EN[],3,0),IF(PAAR!$B$10="Español",VLOOKUP(PAAR!$D107,For_EN[[Español]:[English]],2,0)))),0)</f>
        <v>0</v>
      </c>
      <c r="D48" s="18">
        <f>PAAR!F107</f>
        <v>0</v>
      </c>
      <c r="E48" s="19" t="str">
        <f>PAAR!G107</f>
        <v/>
      </c>
      <c r="F48" s="26">
        <f>PAAR!H107</f>
        <v>0</v>
      </c>
      <c r="G48" s="19"/>
      <c r="H48" s="19">
        <f t="shared" si="0"/>
        <v>0</v>
      </c>
      <c r="I48" s="24"/>
      <c r="J48" s="28"/>
    </row>
    <row r="49" spans="1:10" x14ac:dyDescent="0.35">
      <c r="A49" s="27">
        <f>IFERROR(IF(PAAR!$B$10="English",PAAR!$A108,IF(PAAR!$B$10="Français",VLOOKUP(PAAR!$A108,For_EN[],3,0),IF(PAAR!$B$10="Español",VLOOKUP(PAAR!$A108,For_EN[[Español]:[English]],2,0)))),0)</f>
        <v>0</v>
      </c>
      <c r="B49" s="27">
        <f>IFERROR(IF(PAAR!$B$10="English",PAAR!$B108,IF(PAAR!$B$10="Français",VLOOKUP(PAAR!$B108,For_EN[],3,0),IF(PAAR!$B$10="Español",VLOOKUP(PAAR!$B108,For_EN[[Español]:[English]],2,0)))),0)</f>
        <v>0</v>
      </c>
      <c r="C49" s="27">
        <f>IFERROR(IF(PAAR!$B$10="English",PAAR!$D108,IF(PAAR!$B$10="Français",VLOOKUP(PAAR!$D108,For_EN[],3,0),IF(PAAR!$B$10="Español",VLOOKUP(PAAR!$D108,For_EN[[Español]:[English]],2,0)))),0)</f>
        <v>0</v>
      </c>
      <c r="D49" s="18">
        <f>PAAR!F108</f>
        <v>0</v>
      </c>
      <c r="E49" s="19" t="str">
        <f>PAAR!G108</f>
        <v/>
      </c>
      <c r="F49" s="26">
        <f>PAAR!H108</f>
        <v>0</v>
      </c>
      <c r="G49" s="19"/>
      <c r="H49" s="19">
        <f t="shared" si="0"/>
        <v>0</v>
      </c>
      <c r="I49" s="24"/>
      <c r="J49" s="28"/>
    </row>
    <row r="50" spans="1:10" x14ac:dyDescent="0.35">
      <c r="A50" s="27">
        <f>IFERROR(IF(PAAR!$B$10="English",PAAR!$A109,IF(PAAR!$B$10="Français",VLOOKUP(PAAR!$A109,For_EN[],3,0),IF(PAAR!$B$10="Español",VLOOKUP(PAAR!$A109,For_EN[[Español]:[English]],2,0)))),0)</f>
        <v>0</v>
      </c>
      <c r="B50" s="27">
        <f>IFERROR(IF(PAAR!$B$10="English",PAAR!$B109,IF(PAAR!$B$10="Français",VLOOKUP(PAAR!$B109,For_EN[],3,0),IF(PAAR!$B$10="Español",VLOOKUP(PAAR!$B109,For_EN[[Español]:[English]],2,0)))),0)</f>
        <v>0</v>
      </c>
      <c r="C50" s="27">
        <f>IFERROR(IF(PAAR!$B$10="English",PAAR!$D109,IF(PAAR!$B$10="Français",VLOOKUP(PAAR!$D109,For_EN[],3,0),IF(PAAR!$B$10="Español",VLOOKUP(PAAR!$D109,For_EN[[Español]:[English]],2,0)))),0)</f>
        <v>0</v>
      </c>
      <c r="D50" s="18">
        <f>PAAR!F109</f>
        <v>0</v>
      </c>
      <c r="E50" s="19" t="str">
        <f>PAAR!G109</f>
        <v/>
      </c>
      <c r="F50" s="26">
        <f>PAAR!H109</f>
        <v>0</v>
      </c>
      <c r="G50" s="19"/>
      <c r="H50" s="19">
        <f t="shared" si="0"/>
        <v>0</v>
      </c>
      <c r="I50" s="24"/>
      <c r="J50" s="28"/>
    </row>
    <row r="51" spans="1:10" x14ac:dyDescent="0.35">
      <c r="A51" s="27">
        <f>IFERROR(IF(PAAR!$B$10="English",PAAR!$A111,IF(PAAR!$B$10="Français",VLOOKUP(PAAR!$A111,For_EN[],3,0),IF(PAAR!$B$10="Español",VLOOKUP(PAAR!$A111,For_EN[[Español]:[English]],2,0)))),0)</f>
        <v>0</v>
      </c>
      <c r="B51" s="27">
        <f>IFERROR(IF(PAAR!$B$10="English",PAAR!$B111,IF(PAAR!$B$10="Français",VLOOKUP(PAAR!$B111,For_EN[],3,0),IF(PAAR!$B$10="Español",VLOOKUP(PAAR!$B111,For_EN[[Español]:[English]],2,0)))),0)</f>
        <v>0</v>
      </c>
      <c r="C51" s="27">
        <f>IFERROR(IF(PAAR!$B$10="English",PAAR!$D111,IF(PAAR!$B$10="Français",VLOOKUP(PAAR!$D111,For_EN[],3,0),IF(PAAR!$B$10="Español",VLOOKUP(PAAR!$D111,For_EN[[Español]:[English]],2,0)))),0)</f>
        <v>0</v>
      </c>
      <c r="D51" s="18">
        <f>PAAR!F111</f>
        <v>0</v>
      </c>
      <c r="E51" s="19" t="str">
        <f>PAAR!G111</f>
        <v/>
      </c>
      <c r="F51" s="26">
        <f>PAAR!H111</f>
        <v>0</v>
      </c>
      <c r="G51" s="19"/>
      <c r="H51" s="19">
        <f t="shared" si="0"/>
        <v>0</v>
      </c>
      <c r="I51" s="24"/>
      <c r="J51" s="28"/>
    </row>
    <row r="52" spans="1:10" x14ac:dyDescent="0.35">
      <c r="A52" s="27">
        <f>IFERROR(IF(PAAR!$B$10="English",PAAR!$A116,IF(PAAR!$B$10="Français",VLOOKUP(PAAR!$A116,For_EN[],3,0),IF(PAAR!$B$10="Español",VLOOKUP(PAAR!$A116,For_EN[[Español]:[English]],2,0)))),0)</f>
        <v>0</v>
      </c>
      <c r="B52" s="27">
        <f>IFERROR(IF(PAAR!$B$10="English",PAAR!$B116,IF(PAAR!$B$10="Français",VLOOKUP(PAAR!$B116,For_EN[],3,0),IF(PAAR!$B$10="Español",VLOOKUP(PAAR!$B116,For_EN[[Español]:[English]],2,0)))),0)</f>
        <v>0</v>
      </c>
      <c r="C52" s="27">
        <f>IFERROR(IF(PAAR!$B$10="English",PAAR!$D116,IF(PAAR!$B$10="Français",VLOOKUP(PAAR!$D116,For_EN[],3,0),IF(PAAR!$B$10="Español",VLOOKUP(PAAR!$D116,For_EN[[Español]:[English]],2,0)))),0)</f>
        <v>0</v>
      </c>
      <c r="D52" s="18">
        <f>PAAR!F116</f>
        <v>0</v>
      </c>
      <c r="E52" s="19" t="str">
        <f>PAAR!G116</f>
        <v/>
      </c>
      <c r="F52" s="26">
        <f>PAAR!H116</f>
        <v>0</v>
      </c>
      <c r="G52" s="19"/>
      <c r="H52" s="19">
        <f t="shared" si="0"/>
        <v>0</v>
      </c>
      <c r="I52" s="24"/>
      <c r="J52" s="28"/>
    </row>
    <row r="53" spans="1:10" ht="25.4" customHeight="1" x14ac:dyDescent="0.35">
      <c r="A53" s="20" t="s">
        <v>29</v>
      </c>
      <c r="B53" s="20"/>
      <c r="C53" s="20"/>
      <c r="D53" s="21">
        <f>PAAR!F117</f>
        <v>2831941</v>
      </c>
      <c r="E53" s="21">
        <f>PAAR!G117</f>
        <v>2831941</v>
      </c>
      <c r="F53" s="22"/>
      <c r="G53" s="21">
        <f>SUM(G28:G52)</f>
        <v>0</v>
      </c>
      <c r="H53" s="21">
        <f>SUM(H28:H52)</f>
        <v>0</v>
      </c>
      <c r="I53" s="22"/>
      <c r="J53" s="22"/>
    </row>
  </sheetData>
  <sheetProtection algorithmName="SHA-512" hashValue="T7cQQcheteJzr5d8HcK8ztt7iUcJ16q8aJBK40oq96mxMc4MLStvgQZ8obs/kTK+HqK9Fw7vyoy/lETBcIUulw==" saltValue="RPN7WMjvwRnDfT/FE69bqw==" spinCount="100000" sheet="1" formatRows="0" insertRows="0"/>
  <mergeCells count="16">
    <mergeCell ref="A12:D12"/>
    <mergeCell ref="A4:J4"/>
    <mergeCell ref="A5:J5"/>
    <mergeCell ref="A6:B6"/>
    <mergeCell ref="A7:B7"/>
    <mergeCell ref="A8:B8"/>
    <mergeCell ref="A20:J20"/>
    <mergeCell ref="A21:J23"/>
    <mergeCell ref="A25:J25"/>
    <mergeCell ref="A26:J26"/>
    <mergeCell ref="B13:D13"/>
    <mergeCell ref="B14:D14"/>
    <mergeCell ref="B15:D15"/>
    <mergeCell ref="B16:D16"/>
    <mergeCell ref="B17:D17"/>
    <mergeCell ref="A19:J19"/>
  </mergeCells>
  <dataValidations count="4">
    <dataValidation type="decimal" operator="greaterThanOrEqual" allowBlank="1" showInputMessage="1" showErrorMessage="1" sqref="J28:J52 G28:G52" xr:uid="{00000000-0002-0000-0700-000000000000}">
      <formula1>0</formula1>
    </dataValidation>
    <dataValidation type="decimal" operator="greaterThanOrEqual" allowBlank="1" showInputMessage="1" showErrorMessage="1" error="Please input numbers only" sqref="D28:E52" xr:uid="{00000000-0002-0000-0700-000001000000}">
      <formula1>0</formula1>
    </dataValidation>
    <dataValidation operator="greaterThanOrEqual" allowBlank="1" showInputMessage="1" showErrorMessage="1" error="Please input numbers only" sqref="F28:F53" xr:uid="{00000000-0002-0000-0700-000002000000}"/>
    <dataValidation type="decimal" operator="greaterThanOrEqual" allowBlank="1" showInputMessage="1" showErrorMessage="1" prompt="Please do not overwrite" sqref="H28:H52" xr:uid="{00000000-0002-0000-0700-000003000000}">
      <formula1>0</formula1>
    </dataValidation>
  </dataValidations>
  <pageMargins left="0.25" right="0.25" top="0.75" bottom="0.75" header="0.3" footer="0.3"/>
  <pageSetup paperSize="8" scale="44" fitToHeight="0" orientation="landscape" r:id="rId1"/>
  <drawing r:id="rId2"/>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00000000-0002-0000-0700-000004000000}">
          <x14:formula1>
            <xm:f>'Dropdown Data'!$F$18:$F$21</xm:f>
          </x14:formula1>
          <xm:sqref>I28:I52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V35"/>
  <sheetViews>
    <sheetView view="pageBreakPreview" zoomScale="90" zoomScaleNormal="100" zoomScaleSheetLayoutView="90" workbookViewId="0">
      <selection activeCell="D22" sqref="D22:V22"/>
    </sheetView>
  </sheetViews>
  <sheetFormatPr baseColWidth="10" defaultColWidth="9.1796875" defaultRowHeight="14" x14ac:dyDescent="0.35"/>
  <cols>
    <col min="1" max="3" width="25.81640625" style="10" customWidth="1" collapsed="1"/>
    <col min="4" max="4" width="23.453125" style="10" bestFit="1" customWidth="1" collapsed="1"/>
    <col min="5" max="16384" width="9.1796875" style="10" collapsed="1"/>
  </cols>
  <sheetData>
    <row r="1" spans="1:22" ht="18" x14ac:dyDescent="0.35">
      <c r="A1" s="147" t="s">
        <v>30</v>
      </c>
      <c r="B1" s="147"/>
      <c r="C1" s="147"/>
      <c r="D1" s="147"/>
      <c r="E1" s="147"/>
      <c r="F1" s="147"/>
      <c r="G1" s="147"/>
      <c r="H1" s="147"/>
      <c r="I1" s="147"/>
      <c r="J1" s="147"/>
      <c r="K1" s="147"/>
      <c r="L1" s="147"/>
      <c r="M1" s="147"/>
      <c r="N1" s="147"/>
      <c r="O1" s="147"/>
      <c r="P1" s="147"/>
      <c r="Q1" s="147"/>
      <c r="R1" s="147"/>
      <c r="S1" s="147"/>
      <c r="T1" s="147"/>
      <c r="U1" s="147"/>
      <c r="V1" s="147"/>
    </row>
    <row r="2" spans="1:22" ht="90" customHeight="1" x14ac:dyDescent="0.35">
      <c r="A2" s="160" t="s">
        <v>31</v>
      </c>
      <c r="B2" s="160"/>
      <c r="C2" s="160"/>
      <c r="D2" s="160"/>
      <c r="E2" s="160"/>
      <c r="F2" s="160"/>
      <c r="G2" s="160"/>
      <c r="H2" s="160"/>
      <c r="I2" s="160"/>
      <c r="J2" s="160"/>
      <c r="K2" s="160"/>
      <c r="L2" s="160"/>
      <c r="M2" s="160"/>
      <c r="N2" s="160"/>
      <c r="O2" s="160"/>
      <c r="P2" s="160"/>
      <c r="Q2" s="160"/>
      <c r="R2" s="160"/>
      <c r="S2" s="160"/>
      <c r="T2" s="160"/>
      <c r="U2" s="160"/>
      <c r="V2" s="160"/>
    </row>
    <row r="3" spans="1:22" ht="15" customHeight="1" x14ac:dyDescent="0.35">
      <c r="A3" s="32" t="s">
        <v>20</v>
      </c>
      <c r="B3" s="32" t="s">
        <v>32</v>
      </c>
      <c r="C3" s="32" t="s">
        <v>22</v>
      </c>
      <c r="D3" s="161" t="s">
        <v>33</v>
      </c>
      <c r="E3" s="161"/>
      <c r="F3" s="161"/>
      <c r="G3" s="161"/>
      <c r="H3" s="161"/>
      <c r="I3" s="161"/>
      <c r="J3" s="161"/>
      <c r="K3" s="161"/>
      <c r="L3" s="161"/>
      <c r="M3" s="161"/>
      <c r="N3" s="161"/>
      <c r="O3" s="161"/>
      <c r="P3" s="161"/>
      <c r="Q3" s="161"/>
      <c r="R3" s="161"/>
      <c r="S3" s="161"/>
      <c r="T3" s="161"/>
      <c r="U3" s="161"/>
      <c r="V3" s="161"/>
    </row>
    <row r="4" spans="1:22" x14ac:dyDescent="0.35">
      <c r="A4" s="27">
        <f>IFERROR(IF(PAAR!$B$10="English",'Add Info-Info Supp-Info Ad'!$A4,IF(PAAR!$B$10="Français",VLOOKUP('Add Info-Info Supp-Info Ad'!$A4,For_EN[],3,0),IF(PAAR!$B$10="Español",VLOOKUP('Add Info-Info Supp-Info Ad'!$A4,For_EN[[Español]:[English]],2,0)))),0)</f>
        <v>0</v>
      </c>
      <c r="B4" s="27">
        <f>IFERROR(IF(PAAR!$B$10="English",'Add Info-Info Supp-Info Ad'!$B4,IF(PAAR!$B$10="Français",VLOOKUP('Add Info-Info Supp-Info Ad'!$B4,For_EN[],3,0),IF(PAAR!$B$10="Español",VLOOKUP('Add Info-Info Supp-Info Ad'!$B4,For_EN[[Español]:[English]],2,0)))),0)</f>
        <v>0</v>
      </c>
      <c r="C4" s="27">
        <f>IFERROR(IF(PAAR!$B$10="English",'Add Info-Info Supp-Info Ad'!$C4,IF(PAAR!$B$10="Français",VLOOKUP('Add Info-Info Supp-Info Ad'!$C4,For_EN[],3,0),IF(PAAR!$B$10="Español",VLOOKUP('Add Info-Info Supp-Info Ad'!$C4,For_EN[[Español]:[English]],2,0)))),0)</f>
        <v>0</v>
      </c>
      <c r="D4" s="164">
        <f>'Add Info-Info Supp-Info Ad'!D4</f>
        <v>0</v>
      </c>
      <c r="E4" s="164"/>
      <c r="F4" s="164"/>
      <c r="G4" s="164"/>
      <c r="H4" s="164"/>
      <c r="I4" s="164"/>
      <c r="J4" s="164"/>
      <c r="K4" s="164"/>
      <c r="L4" s="164"/>
      <c r="M4" s="164"/>
      <c r="N4" s="164"/>
      <c r="O4" s="164"/>
      <c r="P4" s="164"/>
      <c r="Q4" s="164"/>
      <c r="R4" s="164"/>
      <c r="S4" s="164"/>
      <c r="T4" s="164"/>
      <c r="U4" s="164"/>
      <c r="V4" s="164"/>
    </row>
    <row r="5" spans="1:22" ht="14.25" customHeight="1" x14ac:dyDescent="0.35">
      <c r="A5" s="27">
        <f>IFERROR(IF(PAAR!$B$10="English",'Add Info-Info Supp-Info Ad'!$A5,IF(PAAR!$B$10="Français",VLOOKUP('Add Info-Info Supp-Info Ad'!$A5,For_EN[],3,0),IF(PAAR!$B$10="Español",VLOOKUP('Add Info-Info Supp-Info Ad'!$A5,For_EN[[Español]:[English]],2,0)))),0)</f>
        <v>0</v>
      </c>
      <c r="B5" s="27">
        <f>IFERROR(IF(PAAR!$B$10="English",'Add Info-Info Supp-Info Ad'!$B5,IF(PAAR!$B$10="Français",VLOOKUP('Add Info-Info Supp-Info Ad'!$B5,For_EN[],3,0),IF(PAAR!$B$10="Español",VLOOKUP('Add Info-Info Supp-Info Ad'!$B5,For_EN[[Español]:[English]],2,0)))),0)</f>
        <v>0</v>
      </c>
      <c r="C5" s="27">
        <f>IFERROR(IF(PAAR!$B$10="English",'Add Info-Info Supp-Info Ad'!$C5,IF(PAAR!$B$10="Français",VLOOKUP('Add Info-Info Supp-Info Ad'!$C5,For_EN[],3,0),IF(PAAR!$B$10="Español",VLOOKUP('Add Info-Info Supp-Info Ad'!$C5,For_EN[[Español]:[English]],2,0)))),0)</f>
        <v>0</v>
      </c>
      <c r="D5" s="164">
        <f>'Add Info-Info Supp-Info Ad'!D5</f>
        <v>0</v>
      </c>
      <c r="E5" s="164"/>
      <c r="F5" s="164"/>
      <c r="G5" s="164"/>
      <c r="H5" s="164"/>
      <c r="I5" s="164"/>
      <c r="J5" s="164"/>
      <c r="K5" s="164"/>
      <c r="L5" s="164"/>
      <c r="M5" s="164"/>
      <c r="N5" s="164"/>
      <c r="O5" s="164"/>
      <c r="P5" s="164"/>
      <c r="Q5" s="164"/>
      <c r="R5" s="164"/>
      <c r="S5" s="164"/>
      <c r="T5" s="164"/>
      <c r="U5" s="164"/>
      <c r="V5" s="164"/>
    </row>
    <row r="6" spans="1:22" x14ac:dyDescent="0.35">
      <c r="A6" s="27">
        <f>IFERROR(IF(PAAR!$B$10="English",'Add Info-Info Supp-Info Ad'!$A6,IF(PAAR!$B$10="Français",VLOOKUP('Add Info-Info Supp-Info Ad'!$A6,For_EN[],3,0),IF(PAAR!$B$10="Español",VLOOKUP('Add Info-Info Supp-Info Ad'!$A6,For_EN[[Español]:[English]],2,0)))),0)</f>
        <v>0</v>
      </c>
      <c r="B6" s="27">
        <f>IFERROR(IF(PAAR!$B$10="English",'Add Info-Info Supp-Info Ad'!$B6,IF(PAAR!$B$10="Français",VLOOKUP('Add Info-Info Supp-Info Ad'!$B6,For_EN[],3,0),IF(PAAR!$B$10="Español",VLOOKUP('Add Info-Info Supp-Info Ad'!$B6,For_EN[[Español]:[English]],2,0)))),0)</f>
        <v>0</v>
      </c>
      <c r="C6" s="27">
        <f>IFERROR(IF(PAAR!$B$10="English",'Add Info-Info Supp-Info Ad'!$C6,IF(PAAR!$B$10="Français",VLOOKUP('Add Info-Info Supp-Info Ad'!$C6,For_EN[],3,0),IF(PAAR!$B$10="Español",VLOOKUP('Add Info-Info Supp-Info Ad'!$C6,For_EN[[Español]:[English]],2,0)))),0)</f>
        <v>0</v>
      </c>
      <c r="D6" s="164">
        <f>'Add Info-Info Supp-Info Ad'!D6</f>
        <v>0</v>
      </c>
      <c r="E6" s="164"/>
      <c r="F6" s="164"/>
      <c r="G6" s="164"/>
      <c r="H6" s="164"/>
      <c r="I6" s="164"/>
      <c r="J6" s="164"/>
      <c r="K6" s="164"/>
      <c r="L6" s="164"/>
      <c r="M6" s="164"/>
      <c r="N6" s="164"/>
      <c r="O6" s="164"/>
      <c r="P6" s="164"/>
      <c r="Q6" s="164"/>
      <c r="R6" s="164"/>
      <c r="S6" s="164"/>
      <c r="T6" s="164"/>
      <c r="U6" s="164"/>
      <c r="V6" s="164"/>
    </row>
    <row r="7" spans="1:22" x14ac:dyDescent="0.35">
      <c r="A7" s="27">
        <f>IFERROR(IF(PAAR!$B$10="English",'Add Info-Info Supp-Info Ad'!$A7,IF(PAAR!$B$10="Français",VLOOKUP('Add Info-Info Supp-Info Ad'!$A7,For_EN[],3,0),IF(PAAR!$B$10="Español",VLOOKUP('Add Info-Info Supp-Info Ad'!$A7,For_EN[[Español]:[English]],2,0)))),0)</f>
        <v>0</v>
      </c>
      <c r="B7" s="27">
        <f>IFERROR(IF(PAAR!$B$10="English",'Add Info-Info Supp-Info Ad'!$B7,IF(PAAR!$B$10="Français",VLOOKUP('Add Info-Info Supp-Info Ad'!$B7,For_EN[],3,0),IF(PAAR!$B$10="Español",VLOOKUP('Add Info-Info Supp-Info Ad'!$B7,For_EN[[Español]:[English]],2,0)))),0)</f>
        <v>0</v>
      </c>
      <c r="C7" s="27">
        <f>IFERROR(IF(PAAR!$B$10="English",'Add Info-Info Supp-Info Ad'!$C7,IF(PAAR!$B$10="Français",VLOOKUP('Add Info-Info Supp-Info Ad'!$C7,For_EN[],3,0),IF(PAAR!$B$10="Español",VLOOKUP('Add Info-Info Supp-Info Ad'!$C7,For_EN[[Español]:[English]],2,0)))),0)</f>
        <v>0</v>
      </c>
      <c r="D7" s="164">
        <f>'Add Info-Info Supp-Info Ad'!D7</f>
        <v>0</v>
      </c>
      <c r="E7" s="164"/>
      <c r="F7" s="164"/>
      <c r="G7" s="164"/>
      <c r="H7" s="164"/>
      <c r="I7" s="164"/>
      <c r="J7" s="164"/>
      <c r="K7" s="164"/>
      <c r="L7" s="164"/>
      <c r="M7" s="164"/>
      <c r="N7" s="164"/>
      <c r="O7" s="164"/>
      <c r="P7" s="164"/>
      <c r="Q7" s="164"/>
      <c r="R7" s="164"/>
      <c r="S7" s="164"/>
      <c r="T7" s="164"/>
      <c r="U7" s="164"/>
      <c r="V7" s="164"/>
    </row>
    <row r="8" spans="1:22" x14ac:dyDescent="0.35">
      <c r="A8" s="27">
        <f>IFERROR(IF(PAAR!$B$10="English",'Add Info-Info Supp-Info Ad'!$A8,IF(PAAR!$B$10="Français",VLOOKUP('Add Info-Info Supp-Info Ad'!$A8,For_EN[],3,0),IF(PAAR!$B$10="Español",VLOOKUP('Add Info-Info Supp-Info Ad'!$A8,For_EN[[Español]:[English]],2,0)))),0)</f>
        <v>0</v>
      </c>
      <c r="B8" s="27">
        <f>IFERROR(IF(PAAR!$B$10="English",'Add Info-Info Supp-Info Ad'!$B8,IF(PAAR!$B$10="Français",VLOOKUP('Add Info-Info Supp-Info Ad'!$B8,For_EN[],3,0),IF(PAAR!$B$10="Español",VLOOKUP('Add Info-Info Supp-Info Ad'!$B8,For_EN[[Español]:[English]],2,0)))),0)</f>
        <v>0</v>
      </c>
      <c r="C8" s="27">
        <f>IFERROR(IF(PAAR!$B$10="English",'Add Info-Info Supp-Info Ad'!$C8,IF(PAAR!$B$10="Français",VLOOKUP('Add Info-Info Supp-Info Ad'!$C8,For_EN[],3,0),IF(PAAR!$B$10="Español",VLOOKUP('Add Info-Info Supp-Info Ad'!$C8,For_EN[[Español]:[English]],2,0)))),0)</f>
        <v>0</v>
      </c>
      <c r="D8" s="164">
        <f>'Add Info-Info Supp-Info Ad'!D8</f>
        <v>0</v>
      </c>
      <c r="E8" s="164"/>
      <c r="F8" s="164"/>
      <c r="G8" s="164"/>
      <c r="H8" s="164"/>
      <c r="I8" s="164"/>
      <c r="J8" s="164"/>
      <c r="K8" s="164"/>
      <c r="L8" s="164"/>
      <c r="M8" s="164"/>
      <c r="N8" s="164"/>
      <c r="O8" s="164"/>
      <c r="P8" s="164"/>
      <c r="Q8" s="164"/>
      <c r="R8" s="164"/>
      <c r="S8" s="164"/>
      <c r="T8" s="164"/>
      <c r="U8" s="164"/>
      <c r="V8" s="164"/>
    </row>
    <row r="9" spans="1:22" x14ac:dyDescent="0.35">
      <c r="A9" s="27">
        <f>IFERROR(IF(PAAR!$B$10="English",'Add Info-Info Supp-Info Ad'!$A9,IF(PAAR!$B$10="Français",VLOOKUP('Add Info-Info Supp-Info Ad'!$A9,For_EN[],3,0),IF(PAAR!$B$10="Español",VLOOKUP('Add Info-Info Supp-Info Ad'!$A9,For_EN[[Español]:[English]],2,0)))),0)</f>
        <v>0</v>
      </c>
      <c r="B9" s="27">
        <f>IFERROR(IF(PAAR!$B$10="English",'Add Info-Info Supp-Info Ad'!$B9,IF(PAAR!$B$10="Français",VLOOKUP('Add Info-Info Supp-Info Ad'!$B9,For_EN[],3,0),IF(PAAR!$B$10="Español",VLOOKUP('Add Info-Info Supp-Info Ad'!$B9,For_EN[[Español]:[English]],2,0)))),0)</f>
        <v>0</v>
      </c>
      <c r="C9" s="27">
        <f>IFERROR(IF(PAAR!$B$10="English",'Add Info-Info Supp-Info Ad'!$C9,IF(PAAR!$B$10="Français",VLOOKUP('Add Info-Info Supp-Info Ad'!$C9,For_EN[],3,0),IF(PAAR!$B$10="Español",VLOOKUP('Add Info-Info Supp-Info Ad'!$C9,For_EN[[Español]:[English]],2,0)))),0)</f>
        <v>0</v>
      </c>
      <c r="D9" s="164">
        <f>'Add Info-Info Supp-Info Ad'!D9</f>
        <v>0</v>
      </c>
      <c r="E9" s="164"/>
      <c r="F9" s="164"/>
      <c r="G9" s="164"/>
      <c r="H9" s="164"/>
      <c r="I9" s="164"/>
      <c r="J9" s="164"/>
      <c r="K9" s="164"/>
      <c r="L9" s="164"/>
      <c r="M9" s="164"/>
      <c r="N9" s="164"/>
      <c r="O9" s="164"/>
      <c r="P9" s="164"/>
      <c r="Q9" s="164"/>
      <c r="R9" s="164"/>
      <c r="S9" s="164"/>
      <c r="T9" s="164"/>
      <c r="U9" s="164"/>
      <c r="V9" s="164"/>
    </row>
    <row r="10" spans="1:22" x14ac:dyDescent="0.35">
      <c r="A10" s="27">
        <f>IFERROR(IF(PAAR!$B$10="English",'Add Info-Info Supp-Info Ad'!$A10,IF(PAAR!$B$10="Français",VLOOKUP('Add Info-Info Supp-Info Ad'!$A10,For_EN[],3,0),IF(PAAR!$B$10="Español",VLOOKUP('Add Info-Info Supp-Info Ad'!$A10,For_EN[[Español]:[English]],2,0)))),0)</f>
        <v>0</v>
      </c>
      <c r="B10" s="27">
        <f>IFERROR(IF(PAAR!$B$10="English",'Add Info-Info Supp-Info Ad'!$B10,IF(PAAR!$B$10="Français",VLOOKUP('Add Info-Info Supp-Info Ad'!$B10,For_EN[],3,0),IF(PAAR!$B$10="Español",VLOOKUP('Add Info-Info Supp-Info Ad'!$B10,For_EN[[Español]:[English]],2,0)))),0)</f>
        <v>0</v>
      </c>
      <c r="C10" s="27">
        <f>IFERROR(IF(PAAR!$B$10="English",'Add Info-Info Supp-Info Ad'!$C10,IF(PAAR!$B$10="Français",VLOOKUP('Add Info-Info Supp-Info Ad'!$C10,For_EN[],3,0),IF(PAAR!$B$10="Español",VLOOKUP('Add Info-Info Supp-Info Ad'!$C10,For_EN[[Español]:[English]],2,0)))),0)</f>
        <v>0</v>
      </c>
      <c r="D10" s="164">
        <f>'Add Info-Info Supp-Info Ad'!D10</f>
        <v>0</v>
      </c>
      <c r="E10" s="164"/>
      <c r="F10" s="164"/>
      <c r="G10" s="164"/>
      <c r="H10" s="164"/>
      <c r="I10" s="164"/>
      <c r="J10" s="164"/>
      <c r="K10" s="164"/>
      <c r="L10" s="164"/>
      <c r="M10" s="164"/>
      <c r="N10" s="164"/>
      <c r="O10" s="164"/>
      <c r="P10" s="164"/>
      <c r="Q10" s="164"/>
      <c r="R10" s="164"/>
      <c r="S10" s="164"/>
      <c r="T10" s="164"/>
      <c r="U10" s="164"/>
      <c r="V10" s="164"/>
    </row>
    <row r="11" spans="1:22" x14ac:dyDescent="0.35">
      <c r="A11" s="27">
        <f>IFERROR(IF(PAAR!$B$10="English",'Add Info-Info Supp-Info Ad'!$A11,IF(PAAR!$B$10="Français",VLOOKUP('Add Info-Info Supp-Info Ad'!$A11,For_EN[],3,0),IF(PAAR!$B$10="Español",VLOOKUP('Add Info-Info Supp-Info Ad'!$A11,For_EN[[Español]:[English]],2,0)))),0)</f>
        <v>0</v>
      </c>
      <c r="B11" s="27">
        <f>IFERROR(IF(PAAR!$B$10="English",'Add Info-Info Supp-Info Ad'!$B11,IF(PAAR!$B$10="Français",VLOOKUP('Add Info-Info Supp-Info Ad'!$B11,For_EN[],3,0),IF(PAAR!$B$10="Español",VLOOKUP('Add Info-Info Supp-Info Ad'!$B11,For_EN[[Español]:[English]],2,0)))),0)</f>
        <v>0</v>
      </c>
      <c r="C11" s="27">
        <f>IFERROR(IF(PAAR!$B$10="English",'Add Info-Info Supp-Info Ad'!$C11,IF(PAAR!$B$10="Français",VLOOKUP('Add Info-Info Supp-Info Ad'!$C11,For_EN[],3,0),IF(PAAR!$B$10="Español",VLOOKUP('Add Info-Info Supp-Info Ad'!$C11,For_EN[[Español]:[English]],2,0)))),0)</f>
        <v>0</v>
      </c>
      <c r="D11" s="164">
        <f>'Add Info-Info Supp-Info Ad'!D11</f>
        <v>0</v>
      </c>
      <c r="E11" s="164"/>
      <c r="F11" s="164"/>
      <c r="G11" s="164"/>
      <c r="H11" s="164"/>
      <c r="I11" s="164"/>
      <c r="J11" s="164"/>
      <c r="K11" s="164"/>
      <c r="L11" s="164"/>
      <c r="M11" s="164"/>
      <c r="N11" s="164"/>
      <c r="O11" s="164"/>
      <c r="P11" s="164"/>
      <c r="Q11" s="164"/>
      <c r="R11" s="164"/>
      <c r="S11" s="164"/>
      <c r="T11" s="164"/>
      <c r="U11" s="164"/>
      <c r="V11" s="164"/>
    </row>
    <row r="12" spans="1:22" x14ac:dyDescent="0.35">
      <c r="A12" s="27">
        <f>IFERROR(IF(PAAR!$B$10="English",'Add Info-Info Supp-Info Ad'!$A12,IF(PAAR!$B$10="Français",VLOOKUP('Add Info-Info Supp-Info Ad'!$A12,For_EN[],3,0),IF(PAAR!$B$10="Español",VLOOKUP('Add Info-Info Supp-Info Ad'!$A12,For_EN[[Español]:[English]],2,0)))),0)</f>
        <v>0</v>
      </c>
      <c r="B12" s="27">
        <f>IFERROR(IF(PAAR!$B$10="English",'Add Info-Info Supp-Info Ad'!$B12,IF(PAAR!$B$10="Français",VLOOKUP('Add Info-Info Supp-Info Ad'!$B12,For_EN[],3,0),IF(PAAR!$B$10="Español",VLOOKUP('Add Info-Info Supp-Info Ad'!$B12,For_EN[[Español]:[English]],2,0)))),0)</f>
        <v>0</v>
      </c>
      <c r="C12" s="27">
        <f>IFERROR(IF(PAAR!$B$10="English",'Add Info-Info Supp-Info Ad'!$C12,IF(PAAR!$B$10="Français",VLOOKUP('Add Info-Info Supp-Info Ad'!$C12,For_EN[],3,0),IF(PAAR!$B$10="Español",VLOOKUP('Add Info-Info Supp-Info Ad'!$C12,For_EN[[Español]:[English]],2,0)))),0)</f>
        <v>0</v>
      </c>
      <c r="D12" s="164">
        <f>'Add Info-Info Supp-Info Ad'!D12</f>
        <v>0</v>
      </c>
      <c r="E12" s="164"/>
      <c r="F12" s="164"/>
      <c r="G12" s="164"/>
      <c r="H12" s="164"/>
      <c r="I12" s="164"/>
      <c r="J12" s="164"/>
      <c r="K12" s="164"/>
      <c r="L12" s="164"/>
      <c r="M12" s="164"/>
      <c r="N12" s="164"/>
      <c r="O12" s="164"/>
      <c r="P12" s="164"/>
      <c r="Q12" s="164"/>
      <c r="R12" s="164"/>
      <c r="S12" s="164"/>
      <c r="T12" s="164"/>
      <c r="U12" s="164"/>
      <c r="V12" s="164"/>
    </row>
    <row r="13" spans="1:22" x14ac:dyDescent="0.35">
      <c r="A13" s="27">
        <f>IFERROR(IF(PAAR!$B$10="English",'Add Info-Info Supp-Info Ad'!$A13,IF(PAAR!$B$10="Français",VLOOKUP('Add Info-Info Supp-Info Ad'!$A13,For_EN[],3,0),IF(PAAR!$B$10="Español",VLOOKUP('Add Info-Info Supp-Info Ad'!$A13,For_EN[[Español]:[English]],2,0)))),0)</f>
        <v>0</v>
      </c>
      <c r="B13" s="27">
        <f>IFERROR(IF(PAAR!$B$10="English",'Add Info-Info Supp-Info Ad'!$B13,IF(PAAR!$B$10="Français",VLOOKUP('Add Info-Info Supp-Info Ad'!$B13,For_EN[],3,0),IF(PAAR!$B$10="Español",VLOOKUP('Add Info-Info Supp-Info Ad'!$B13,For_EN[[Español]:[English]],2,0)))),0)</f>
        <v>0</v>
      </c>
      <c r="C13" s="27">
        <f>IFERROR(IF(PAAR!$B$10="English",'Add Info-Info Supp-Info Ad'!$C13,IF(PAAR!$B$10="Français",VLOOKUP('Add Info-Info Supp-Info Ad'!$C13,For_EN[],3,0),IF(PAAR!$B$10="Español",VLOOKUP('Add Info-Info Supp-Info Ad'!$C13,For_EN[[Español]:[English]],2,0)))),0)</f>
        <v>0</v>
      </c>
      <c r="D13" s="164">
        <f>'Add Info-Info Supp-Info Ad'!D13</f>
        <v>0</v>
      </c>
      <c r="E13" s="164"/>
      <c r="F13" s="164"/>
      <c r="G13" s="164"/>
      <c r="H13" s="164"/>
      <c r="I13" s="164"/>
      <c r="J13" s="164"/>
      <c r="K13" s="164"/>
      <c r="L13" s="164"/>
      <c r="M13" s="164"/>
      <c r="N13" s="164"/>
      <c r="O13" s="164"/>
      <c r="P13" s="164"/>
      <c r="Q13" s="164"/>
      <c r="R13" s="164"/>
      <c r="S13" s="164"/>
      <c r="T13" s="164"/>
      <c r="U13" s="164"/>
      <c r="V13" s="164"/>
    </row>
    <row r="14" spans="1:22" x14ac:dyDescent="0.35">
      <c r="A14" s="27">
        <f>IFERROR(IF(PAAR!$B$10="English",'Add Info-Info Supp-Info Ad'!$A14,IF(PAAR!$B$10="Français",VLOOKUP('Add Info-Info Supp-Info Ad'!$A14,For_EN[],3,0),IF(PAAR!$B$10="Español",VLOOKUP('Add Info-Info Supp-Info Ad'!$A14,For_EN[[Español]:[English]],2,0)))),0)</f>
        <v>0</v>
      </c>
      <c r="B14" s="27">
        <f>IFERROR(IF(PAAR!$B$10="English",'Add Info-Info Supp-Info Ad'!$B14,IF(PAAR!$B$10="Français",VLOOKUP('Add Info-Info Supp-Info Ad'!$B14,For_EN[],3,0),IF(PAAR!$B$10="Español",VLOOKUP('Add Info-Info Supp-Info Ad'!$B14,For_EN[[Español]:[English]],2,0)))),0)</f>
        <v>0</v>
      </c>
      <c r="C14" s="27">
        <f>IFERROR(IF(PAAR!$B$10="English",'Add Info-Info Supp-Info Ad'!$C14,IF(PAAR!$B$10="Français",VLOOKUP('Add Info-Info Supp-Info Ad'!$C14,For_EN[],3,0),IF(PAAR!$B$10="Español",VLOOKUP('Add Info-Info Supp-Info Ad'!$C14,For_EN[[Español]:[English]],2,0)))),0)</f>
        <v>0</v>
      </c>
      <c r="D14" s="164">
        <f>'Add Info-Info Supp-Info Ad'!D14</f>
        <v>0</v>
      </c>
      <c r="E14" s="164"/>
      <c r="F14" s="164"/>
      <c r="G14" s="164"/>
      <c r="H14" s="164"/>
      <c r="I14" s="164"/>
      <c r="J14" s="164"/>
      <c r="K14" s="164"/>
      <c r="L14" s="164"/>
      <c r="M14" s="164"/>
      <c r="N14" s="164"/>
      <c r="O14" s="164"/>
      <c r="P14" s="164"/>
      <c r="Q14" s="164"/>
      <c r="R14" s="164"/>
      <c r="S14" s="164"/>
      <c r="T14" s="164"/>
      <c r="U14" s="164"/>
      <c r="V14" s="164"/>
    </row>
    <row r="15" spans="1:22" x14ac:dyDescent="0.35">
      <c r="A15" s="27">
        <f>IFERROR(IF(PAAR!$B$10="English",'Add Info-Info Supp-Info Ad'!$A15,IF(PAAR!$B$10="Français",VLOOKUP('Add Info-Info Supp-Info Ad'!$A15,For_EN[],3,0),IF(PAAR!$B$10="Español",VLOOKUP('Add Info-Info Supp-Info Ad'!$A15,For_EN[[Español]:[English]],2,0)))),0)</f>
        <v>0</v>
      </c>
      <c r="B15" s="27">
        <f>IFERROR(IF(PAAR!$B$10="English",'Add Info-Info Supp-Info Ad'!$B15,IF(PAAR!$B$10="Français",VLOOKUP('Add Info-Info Supp-Info Ad'!$B15,For_EN[],3,0),IF(PAAR!$B$10="Español",VLOOKUP('Add Info-Info Supp-Info Ad'!$B15,For_EN[[Español]:[English]],2,0)))),0)</f>
        <v>0</v>
      </c>
      <c r="C15" s="27">
        <f>IFERROR(IF(PAAR!$B$10="English",'Add Info-Info Supp-Info Ad'!$C15,IF(PAAR!$B$10="Français",VLOOKUP('Add Info-Info Supp-Info Ad'!$C15,For_EN[],3,0),IF(PAAR!$B$10="Español",VLOOKUP('Add Info-Info Supp-Info Ad'!$C15,For_EN[[Español]:[English]],2,0)))),0)</f>
        <v>0</v>
      </c>
      <c r="D15" s="164">
        <f>'Add Info-Info Supp-Info Ad'!D15</f>
        <v>0</v>
      </c>
      <c r="E15" s="164"/>
      <c r="F15" s="164"/>
      <c r="G15" s="164"/>
      <c r="H15" s="164"/>
      <c r="I15" s="164"/>
      <c r="J15" s="164"/>
      <c r="K15" s="164"/>
      <c r="L15" s="164"/>
      <c r="M15" s="164"/>
      <c r="N15" s="164"/>
      <c r="O15" s="164"/>
      <c r="P15" s="164"/>
      <c r="Q15" s="164"/>
      <c r="R15" s="164"/>
      <c r="S15" s="164"/>
      <c r="T15" s="164"/>
      <c r="U15" s="164"/>
      <c r="V15" s="164"/>
    </row>
    <row r="16" spans="1:22" x14ac:dyDescent="0.35">
      <c r="A16" s="27">
        <f>IFERROR(IF(PAAR!$B$10="English",'Add Info-Info Supp-Info Ad'!$A16,IF(PAAR!$B$10="Français",VLOOKUP('Add Info-Info Supp-Info Ad'!$A16,For_EN[],3,0),IF(PAAR!$B$10="Español",VLOOKUP('Add Info-Info Supp-Info Ad'!$A16,For_EN[[Español]:[English]],2,0)))),0)</f>
        <v>0</v>
      </c>
      <c r="B16" s="27">
        <f>IFERROR(IF(PAAR!$B$10="English",'Add Info-Info Supp-Info Ad'!$B16,IF(PAAR!$B$10="Français",VLOOKUP('Add Info-Info Supp-Info Ad'!$B16,For_EN[],3,0),IF(PAAR!$B$10="Español",VLOOKUP('Add Info-Info Supp-Info Ad'!$B16,For_EN[[Español]:[English]],2,0)))),0)</f>
        <v>0</v>
      </c>
      <c r="C16" s="27">
        <f>IFERROR(IF(PAAR!$B$10="English",'Add Info-Info Supp-Info Ad'!$C16,IF(PAAR!$B$10="Français",VLOOKUP('Add Info-Info Supp-Info Ad'!$C16,For_EN[],3,0),IF(PAAR!$B$10="Español",VLOOKUP('Add Info-Info Supp-Info Ad'!$C16,For_EN[[Español]:[English]],2,0)))),0)</f>
        <v>0</v>
      </c>
      <c r="D16" s="164">
        <f>'Add Info-Info Supp-Info Ad'!D16</f>
        <v>0</v>
      </c>
      <c r="E16" s="164"/>
      <c r="F16" s="164"/>
      <c r="G16" s="164"/>
      <c r="H16" s="164"/>
      <c r="I16" s="164"/>
      <c r="J16" s="164"/>
      <c r="K16" s="164"/>
      <c r="L16" s="164"/>
      <c r="M16" s="164"/>
      <c r="N16" s="164"/>
      <c r="O16" s="164"/>
      <c r="P16" s="164"/>
      <c r="Q16" s="164"/>
      <c r="R16" s="164"/>
      <c r="S16" s="164"/>
      <c r="T16" s="164"/>
      <c r="U16" s="164"/>
      <c r="V16" s="164"/>
    </row>
    <row r="17" spans="1:22" x14ac:dyDescent="0.35">
      <c r="A17" s="27">
        <f>IFERROR(IF(PAAR!$B$10="English",'Add Info-Info Supp-Info Ad'!$A17,IF(PAAR!$B$10="Français",VLOOKUP('Add Info-Info Supp-Info Ad'!$A17,For_EN[],3,0),IF(PAAR!$B$10="Español",VLOOKUP('Add Info-Info Supp-Info Ad'!$A17,For_EN[[Español]:[English]],2,0)))),0)</f>
        <v>0</v>
      </c>
      <c r="B17" s="27">
        <f>IFERROR(IF(PAAR!$B$10="English",'Add Info-Info Supp-Info Ad'!$B17,IF(PAAR!$B$10="Français",VLOOKUP('Add Info-Info Supp-Info Ad'!$B17,For_EN[],3,0),IF(PAAR!$B$10="Español",VLOOKUP('Add Info-Info Supp-Info Ad'!$B17,For_EN[[Español]:[English]],2,0)))),0)</f>
        <v>0</v>
      </c>
      <c r="C17" s="27">
        <f>IFERROR(IF(PAAR!$B$10="English",'Add Info-Info Supp-Info Ad'!$C17,IF(PAAR!$B$10="Français",VLOOKUP('Add Info-Info Supp-Info Ad'!$C17,For_EN[],3,0),IF(PAAR!$B$10="Español",VLOOKUP('Add Info-Info Supp-Info Ad'!$C17,For_EN[[Español]:[English]],2,0)))),0)</f>
        <v>0</v>
      </c>
      <c r="D17" s="164">
        <f>'Add Info-Info Supp-Info Ad'!D17</f>
        <v>0</v>
      </c>
      <c r="E17" s="164"/>
      <c r="F17" s="164"/>
      <c r="G17" s="164"/>
      <c r="H17" s="164"/>
      <c r="I17" s="164"/>
      <c r="J17" s="164"/>
      <c r="K17" s="164"/>
      <c r="L17" s="164"/>
      <c r="M17" s="164"/>
      <c r="N17" s="164"/>
      <c r="O17" s="164"/>
      <c r="P17" s="164"/>
      <c r="Q17" s="164"/>
      <c r="R17" s="164"/>
      <c r="S17" s="164"/>
      <c r="T17" s="164"/>
      <c r="U17" s="164"/>
      <c r="V17" s="164"/>
    </row>
    <row r="18" spans="1:22" x14ac:dyDescent="0.35">
      <c r="A18" s="27">
        <f>IFERROR(IF(PAAR!$B$10="English",'Add Info-Info Supp-Info Ad'!$A18,IF(PAAR!$B$10="Français",VLOOKUP('Add Info-Info Supp-Info Ad'!$A18,For_EN[],3,0),IF(PAAR!$B$10="Español",VLOOKUP('Add Info-Info Supp-Info Ad'!$A18,For_EN[[Español]:[English]],2,0)))),0)</f>
        <v>0</v>
      </c>
      <c r="B18" s="27">
        <f>IFERROR(IF(PAAR!$B$10="English",'Add Info-Info Supp-Info Ad'!$B18,IF(PAAR!$B$10="Français",VLOOKUP('Add Info-Info Supp-Info Ad'!$B18,For_EN[],3,0),IF(PAAR!$B$10="Español",VLOOKUP('Add Info-Info Supp-Info Ad'!$B18,For_EN[[Español]:[English]],2,0)))),0)</f>
        <v>0</v>
      </c>
      <c r="C18" s="27">
        <f>IFERROR(IF(PAAR!$B$10="English",'Add Info-Info Supp-Info Ad'!$C18,IF(PAAR!$B$10="Français",VLOOKUP('Add Info-Info Supp-Info Ad'!$C18,For_EN[],3,0),IF(PAAR!$B$10="Español",VLOOKUP('Add Info-Info Supp-Info Ad'!$C18,For_EN[[Español]:[English]],2,0)))),0)</f>
        <v>0</v>
      </c>
      <c r="D18" s="164">
        <f>'Add Info-Info Supp-Info Ad'!D18</f>
        <v>0</v>
      </c>
      <c r="E18" s="164"/>
      <c r="F18" s="164"/>
      <c r="G18" s="164"/>
      <c r="H18" s="164"/>
      <c r="I18" s="164"/>
      <c r="J18" s="164"/>
      <c r="K18" s="164"/>
      <c r="L18" s="164"/>
      <c r="M18" s="164"/>
      <c r="N18" s="164"/>
      <c r="O18" s="164"/>
      <c r="P18" s="164"/>
      <c r="Q18" s="164"/>
      <c r="R18" s="164"/>
      <c r="S18" s="164"/>
      <c r="T18" s="164"/>
      <c r="U18" s="164"/>
      <c r="V18" s="164"/>
    </row>
    <row r="19" spans="1:22" x14ac:dyDescent="0.35">
      <c r="A19" s="27">
        <f>IFERROR(IF(PAAR!$B$10="English",'Add Info-Info Supp-Info Ad'!$A19,IF(PAAR!$B$10="Français",VLOOKUP('Add Info-Info Supp-Info Ad'!$A19,For_EN[],3,0),IF(PAAR!$B$10="Español",VLOOKUP('Add Info-Info Supp-Info Ad'!$A19,For_EN[[Español]:[English]],2,0)))),0)</f>
        <v>0</v>
      </c>
      <c r="B19" s="27">
        <f>IFERROR(IF(PAAR!$B$10="English",'Add Info-Info Supp-Info Ad'!$B19,IF(PAAR!$B$10="Français",VLOOKUP('Add Info-Info Supp-Info Ad'!$B19,For_EN[],3,0),IF(PAAR!$B$10="Español",VLOOKUP('Add Info-Info Supp-Info Ad'!$B19,For_EN[[Español]:[English]],2,0)))),0)</f>
        <v>0</v>
      </c>
      <c r="C19" s="27">
        <f>IFERROR(IF(PAAR!$B$10="English",'Add Info-Info Supp-Info Ad'!$C19,IF(PAAR!$B$10="Français",VLOOKUP('Add Info-Info Supp-Info Ad'!$C19,For_EN[],3,0),IF(PAAR!$B$10="Español",VLOOKUP('Add Info-Info Supp-Info Ad'!$C19,For_EN[[Español]:[English]],2,0)))),0)</f>
        <v>0</v>
      </c>
      <c r="D19" s="164">
        <f>'Add Info-Info Supp-Info Ad'!D19</f>
        <v>0</v>
      </c>
      <c r="E19" s="164"/>
      <c r="F19" s="164"/>
      <c r="G19" s="164"/>
      <c r="H19" s="164"/>
      <c r="I19" s="164"/>
      <c r="J19" s="164"/>
      <c r="K19" s="164"/>
      <c r="L19" s="164"/>
      <c r="M19" s="164"/>
      <c r="N19" s="164"/>
      <c r="O19" s="164"/>
      <c r="P19" s="164"/>
      <c r="Q19" s="164"/>
      <c r="R19" s="164"/>
      <c r="S19" s="164"/>
      <c r="T19" s="164"/>
      <c r="U19" s="164"/>
      <c r="V19" s="164"/>
    </row>
    <row r="20" spans="1:22" x14ac:dyDescent="0.35">
      <c r="A20" s="27">
        <f>IFERROR(IF(PAAR!$B$10="English",'Add Info-Info Supp-Info Ad'!$A20,IF(PAAR!$B$10="Français",VLOOKUP('Add Info-Info Supp-Info Ad'!$A20,For_EN[],3,0),IF(PAAR!$B$10="Español",VLOOKUP('Add Info-Info Supp-Info Ad'!$A20,For_EN[[Español]:[English]],2,0)))),0)</f>
        <v>0</v>
      </c>
      <c r="B20" s="27">
        <f>IFERROR(IF(PAAR!$B$10="English",'Add Info-Info Supp-Info Ad'!$B20,IF(PAAR!$B$10="Français",VLOOKUP('Add Info-Info Supp-Info Ad'!$B20,For_EN[],3,0),IF(PAAR!$B$10="Español",VLOOKUP('Add Info-Info Supp-Info Ad'!$B20,For_EN[[Español]:[English]],2,0)))),0)</f>
        <v>0</v>
      </c>
      <c r="C20" s="27">
        <f>IFERROR(IF(PAAR!$B$10="English",'Add Info-Info Supp-Info Ad'!$C20,IF(PAAR!$B$10="Français",VLOOKUP('Add Info-Info Supp-Info Ad'!$C20,For_EN[],3,0),IF(PAAR!$B$10="Español",VLOOKUP('Add Info-Info Supp-Info Ad'!$C20,For_EN[[Español]:[English]],2,0)))),0)</f>
        <v>0</v>
      </c>
      <c r="D20" s="164">
        <f>'Add Info-Info Supp-Info Ad'!D20</f>
        <v>0</v>
      </c>
      <c r="E20" s="164"/>
      <c r="F20" s="164"/>
      <c r="G20" s="164"/>
      <c r="H20" s="164"/>
      <c r="I20" s="164"/>
      <c r="J20" s="164"/>
      <c r="K20" s="164"/>
      <c r="L20" s="164"/>
      <c r="M20" s="164"/>
      <c r="N20" s="164"/>
      <c r="O20" s="164"/>
      <c r="P20" s="164"/>
      <c r="Q20" s="164"/>
      <c r="R20" s="164"/>
      <c r="S20" s="164"/>
      <c r="T20" s="164"/>
      <c r="U20" s="164"/>
      <c r="V20" s="164"/>
    </row>
    <row r="21" spans="1:22" x14ac:dyDescent="0.35">
      <c r="A21" s="27">
        <f>IFERROR(IF(PAAR!$B$10="English",'Add Info-Info Supp-Info Ad'!$A21,IF(PAAR!$B$10="Français",VLOOKUP('Add Info-Info Supp-Info Ad'!$A21,For_EN[],3,0),IF(PAAR!$B$10="Español",VLOOKUP('Add Info-Info Supp-Info Ad'!$A21,For_EN[[Español]:[English]],2,0)))),0)</f>
        <v>0</v>
      </c>
      <c r="B21" s="27">
        <f>IFERROR(IF(PAAR!$B$10="English",'Add Info-Info Supp-Info Ad'!$B21,IF(PAAR!$B$10="Français",VLOOKUP('Add Info-Info Supp-Info Ad'!$B21,For_EN[],3,0),IF(PAAR!$B$10="Español",VLOOKUP('Add Info-Info Supp-Info Ad'!$B21,For_EN[[Español]:[English]],2,0)))),0)</f>
        <v>0</v>
      </c>
      <c r="C21" s="27">
        <f>IFERROR(IF(PAAR!$B$10="English",'Add Info-Info Supp-Info Ad'!$C21,IF(PAAR!$B$10="Français",VLOOKUP('Add Info-Info Supp-Info Ad'!$C21,For_EN[],3,0),IF(PAAR!$B$10="Español",VLOOKUP('Add Info-Info Supp-Info Ad'!$C21,For_EN[[Español]:[English]],2,0)))),0)</f>
        <v>0</v>
      </c>
      <c r="D21" s="164">
        <f>'Add Info-Info Supp-Info Ad'!D21</f>
        <v>0</v>
      </c>
      <c r="E21" s="164"/>
      <c r="F21" s="164"/>
      <c r="G21" s="164"/>
      <c r="H21" s="164"/>
      <c r="I21" s="164"/>
      <c r="J21" s="164"/>
      <c r="K21" s="164"/>
      <c r="L21" s="164"/>
      <c r="M21" s="164"/>
      <c r="N21" s="164"/>
      <c r="O21" s="164"/>
      <c r="P21" s="164"/>
      <c r="Q21" s="164"/>
      <c r="R21" s="164"/>
      <c r="S21" s="164"/>
      <c r="T21" s="164"/>
      <c r="U21" s="164"/>
      <c r="V21" s="164"/>
    </row>
    <row r="22" spans="1:22" x14ac:dyDescent="0.35">
      <c r="A22" s="27">
        <f>IFERROR(IF(PAAR!$B$10="English",'Add Info-Info Supp-Info Ad'!$A22,IF(PAAR!$B$10="Français",VLOOKUP('Add Info-Info Supp-Info Ad'!$A22,For_EN[],3,0),IF(PAAR!$B$10="Español",VLOOKUP('Add Info-Info Supp-Info Ad'!$A22,For_EN[[Español]:[English]],2,0)))),0)</f>
        <v>0</v>
      </c>
      <c r="B22" s="27">
        <f>IFERROR(IF(PAAR!$B$10="English",'Add Info-Info Supp-Info Ad'!$B22,IF(PAAR!$B$10="Français",VLOOKUP('Add Info-Info Supp-Info Ad'!$B22,For_EN[],3,0),IF(PAAR!$B$10="Español",VLOOKUP('Add Info-Info Supp-Info Ad'!$B22,For_EN[[Español]:[English]],2,0)))),0)</f>
        <v>0</v>
      </c>
      <c r="C22" s="27">
        <f>IFERROR(IF(PAAR!$B$10="English",'Add Info-Info Supp-Info Ad'!$C22,IF(PAAR!$B$10="Français",VLOOKUP('Add Info-Info Supp-Info Ad'!$C22,For_EN[],3,0),IF(PAAR!$B$10="Español",VLOOKUP('Add Info-Info Supp-Info Ad'!$C22,For_EN[[Español]:[English]],2,0)))),0)</f>
        <v>0</v>
      </c>
      <c r="D22" s="164">
        <f>'Add Info-Info Supp-Info Ad'!D22</f>
        <v>0</v>
      </c>
      <c r="E22" s="164"/>
      <c r="F22" s="164"/>
      <c r="G22" s="164"/>
      <c r="H22" s="164"/>
      <c r="I22" s="164"/>
      <c r="J22" s="164"/>
      <c r="K22" s="164"/>
      <c r="L22" s="164"/>
      <c r="M22" s="164"/>
      <c r="N22" s="164"/>
      <c r="O22" s="164"/>
      <c r="P22" s="164"/>
      <c r="Q22" s="164"/>
      <c r="R22" s="164"/>
      <c r="S22" s="164"/>
      <c r="T22" s="164"/>
      <c r="U22" s="164"/>
      <c r="V22" s="164"/>
    </row>
    <row r="23" spans="1:22" x14ac:dyDescent="0.35">
      <c r="A23" s="27">
        <f>IFERROR(IF(PAAR!$B$10="English",'Add Info-Info Supp-Info Ad'!$A23,IF(PAAR!$B$10="Français",VLOOKUP('Add Info-Info Supp-Info Ad'!$A23,For_EN[],3,0),IF(PAAR!$B$10="Español",VLOOKUP('Add Info-Info Supp-Info Ad'!$A23,For_EN[[Español]:[English]],2,0)))),0)</f>
        <v>0</v>
      </c>
      <c r="B23" s="27">
        <f>IFERROR(IF(PAAR!$B$10="English",'Add Info-Info Supp-Info Ad'!$B23,IF(PAAR!$B$10="Français",VLOOKUP('Add Info-Info Supp-Info Ad'!$B23,For_EN[],3,0),IF(PAAR!$B$10="Español",VLOOKUP('Add Info-Info Supp-Info Ad'!$B23,For_EN[[Español]:[English]],2,0)))),0)</f>
        <v>0</v>
      </c>
      <c r="C23" s="27">
        <f>IFERROR(IF(PAAR!$B$10="English",'Add Info-Info Supp-Info Ad'!$C23,IF(PAAR!$B$10="Français",VLOOKUP('Add Info-Info Supp-Info Ad'!$C23,For_EN[],3,0),IF(PAAR!$B$10="Español",VLOOKUP('Add Info-Info Supp-Info Ad'!$C23,For_EN[[Español]:[English]],2,0)))),0)</f>
        <v>0</v>
      </c>
      <c r="D23" s="164">
        <f>'Add Info-Info Supp-Info Ad'!D23</f>
        <v>0</v>
      </c>
      <c r="E23" s="164"/>
      <c r="F23" s="164"/>
      <c r="G23" s="164"/>
      <c r="H23" s="164"/>
      <c r="I23" s="164"/>
      <c r="J23" s="164"/>
      <c r="K23" s="164"/>
      <c r="L23" s="164"/>
      <c r="M23" s="164"/>
      <c r="N23" s="164"/>
      <c r="O23" s="164"/>
      <c r="P23" s="164"/>
      <c r="Q23" s="164"/>
      <c r="R23" s="164"/>
      <c r="S23" s="164"/>
      <c r="T23" s="164"/>
      <c r="U23" s="164"/>
      <c r="V23" s="164"/>
    </row>
    <row r="24" spans="1:22" x14ac:dyDescent="0.35">
      <c r="A24" s="27">
        <f>IFERROR(IF(PAAR!$B$10="English",'Add Info-Info Supp-Info Ad'!$A24,IF(PAAR!$B$10="Français",VLOOKUP('Add Info-Info Supp-Info Ad'!$A24,For_EN[],3,0),IF(PAAR!$B$10="Español",VLOOKUP('Add Info-Info Supp-Info Ad'!$A24,For_EN[[Español]:[English]],2,0)))),0)</f>
        <v>0</v>
      </c>
      <c r="B24" s="27">
        <f>IFERROR(IF(PAAR!$B$10="English",'Add Info-Info Supp-Info Ad'!$B24,IF(PAAR!$B$10="Français",VLOOKUP('Add Info-Info Supp-Info Ad'!$B24,For_EN[],3,0),IF(PAAR!$B$10="Español",VLOOKUP('Add Info-Info Supp-Info Ad'!$B24,For_EN[[Español]:[English]],2,0)))),0)</f>
        <v>0</v>
      </c>
      <c r="C24" s="27">
        <f>IFERROR(IF(PAAR!$B$10="English",'Add Info-Info Supp-Info Ad'!$C24,IF(PAAR!$B$10="Français",VLOOKUP('Add Info-Info Supp-Info Ad'!$C24,For_EN[],3,0),IF(PAAR!$B$10="Español",VLOOKUP('Add Info-Info Supp-Info Ad'!$C24,For_EN[[Español]:[English]],2,0)))),0)</f>
        <v>0</v>
      </c>
      <c r="D24" s="164">
        <f>'Add Info-Info Supp-Info Ad'!D24</f>
        <v>0</v>
      </c>
      <c r="E24" s="164"/>
      <c r="F24" s="164"/>
      <c r="G24" s="164"/>
      <c r="H24" s="164"/>
      <c r="I24" s="164"/>
      <c r="J24" s="164"/>
      <c r="K24" s="164"/>
      <c r="L24" s="164"/>
      <c r="M24" s="164"/>
      <c r="N24" s="164"/>
      <c r="O24" s="164"/>
      <c r="P24" s="164"/>
      <c r="Q24" s="164"/>
      <c r="R24" s="164"/>
      <c r="S24" s="164"/>
      <c r="T24" s="164"/>
      <c r="U24" s="164"/>
      <c r="V24" s="164"/>
    </row>
    <row r="25" spans="1:22" x14ac:dyDescent="0.35">
      <c r="A25" s="27">
        <f>IFERROR(IF(PAAR!$B$10="English",'Add Info-Info Supp-Info Ad'!$A25,IF(PAAR!$B$10="Français",VLOOKUP('Add Info-Info Supp-Info Ad'!$A25,For_EN[],3,0),IF(PAAR!$B$10="Español",VLOOKUP('Add Info-Info Supp-Info Ad'!$A25,For_EN[[Español]:[English]],2,0)))),0)</f>
        <v>0</v>
      </c>
      <c r="B25" s="27">
        <f>IFERROR(IF(PAAR!$B$10="English",'Add Info-Info Supp-Info Ad'!$B25,IF(PAAR!$B$10="Français",VLOOKUP('Add Info-Info Supp-Info Ad'!$B25,For_EN[],3,0),IF(PAAR!$B$10="Español",VLOOKUP('Add Info-Info Supp-Info Ad'!$B25,For_EN[[Español]:[English]],2,0)))),0)</f>
        <v>0</v>
      </c>
      <c r="C25" s="27">
        <f>IFERROR(IF(PAAR!$B$10="English",'Add Info-Info Supp-Info Ad'!$C25,IF(PAAR!$B$10="Français",VLOOKUP('Add Info-Info Supp-Info Ad'!$C25,For_EN[],3,0),IF(PAAR!$B$10="Español",VLOOKUP('Add Info-Info Supp-Info Ad'!$C25,For_EN[[Español]:[English]],2,0)))),0)</f>
        <v>0</v>
      </c>
      <c r="D25" s="164">
        <f>'Add Info-Info Supp-Info Ad'!D25</f>
        <v>0</v>
      </c>
      <c r="E25" s="164"/>
      <c r="F25" s="164"/>
      <c r="G25" s="164"/>
      <c r="H25" s="164"/>
      <c r="I25" s="164"/>
      <c r="J25" s="164"/>
      <c r="K25" s="164"/>
      <c r="L25" s="164"/>
      <c r="M25" s="164"/>
      <c r="N25" s="164"/>
      <c r="O25" s="164"/>
      <c r="P25" s="164"/>
      <c r="Q25" s="164"/>
      <c r="R25" s="164"/>
      <c r="S25" s="164"/>
      <c r="T25" s="164"/>
      <c r="U25" s="164"/>
      <c r="V25" s="164"/>
    </row>
    <row r="26" spans="1:22" x14ac:dyDescent="0.35">
      <c r="A26" s="27">
        <f>IFERROR(IF(PAAR!$B$10="English",'Add Info-Info Supp-Info Ad'!$A26,IF(PAAR!$B$10="Français",VLOOKUP('Add Info-Info Supp-Info Ad'!$A26,For_EN[],3,0),IF(PAAR!$B$10="Español",VLOOKUP('Add Info-Info Supp-Info Ad'!$A26,For_EN[[Español]:[English]],2,0)))),0)</f>
        <v>0</v>
      </c>
      <c r="B26" s="27">
        <f>IFERROR(IF(PAAR!$B$10="English",'Add Info-Info Supp-Info Ad'!$B26,IF(PAAR!$B$10="Français",VLOOKUP('Add Info-Info Supp-Info Ad'!$B26,For_EN[],3,0),IF(PAAR!$B$10="Español",VLOOKUP('Add Info-Info Supp-Info Ad'!$B26,For_EN[[Español]:[English]],2,0)))),0)</f>
        <v>0</v>
      </c>
      <c r="C26" s="27">
        <f>IFERROR(IF(PAAR!$B$10="English",'Add Info-Info Supp-Info Ad'!$C26,IF(PAAR!$B$10="Français",VLOOKUP('Add Info-Info Supp-Info Ad'!$C26,For_EN[],3,0),IF(PAAR!$B$10="Español",VLOOKUP('Add Info-Info Supp-Info Ad'!$C26,For_EN[[Español]:[English]],2,0)))),0)</f>
        <v>0</v>
      </c>
      <c r="D26" s="164">
        <f>'Add Info-Info Supp-Info Ad'!D26</f>
        <v>0</v>
      </c>
      <c r="E26" s="164"/>
      <c r="F26" s="164"/>
      <c r="G26" s="164"/>
      <c r="H26" s="164"/>
      <c r="I26" s="164"/>
      <c r="J26" s="164"/>
      <c r="K26" s="164"/>
      <c r="L26" s="164"/>
      <c r="M26" s="164"/>
      <c r="N26" s="164"/>
      <c r="O26" s="164"/>
      <c r="P26" s="164"/>
      <c r="Q26" s="164"/>
      <c r="R26" s="164"/>
      <c r="S26" s="164"/>
      <c r="T26" s="164"/>
      <c r="U26" s="164"/>
      <c r="V26" s="164"/>
    </row>
    <row r="27" spans="1:22" x14ac:dyDescent="0.35">
      <c r="A27" s="27">
        <f>IFERROR(IF(PAAR!$B$10="English",'Add Info-Info Supp-Info Ad'!$A27,IF(PAAR!$B$10="Français",VLOOKUP('Add Info-Info Supp-Info Ad'!$A27,For_EN[],3,0),IF(PAAR!$B$10="Español",VLOOKUP('Add Info-Info Supp-Info Ad'!$A27,For_EN[[Español]:[English]],2,0)))),0)</f>
        <v>0</v>
      </c>
      <c r="B27" s="27">
        <f>IFERROR(IF(PAAR!$B$10="English",'Add Info-Info Supp-Info Ad'!$B27,IF(PAAR!$B$10="Français",VLOOKUP('Add Info-Info Supp-Info Ad'!$B27,For_EN[],3,0),IF(PAAR!$B$10="Español",VLOOKUP('Add Info-Info Supp-Info Ad'!$B27,For_EN[[Español]:[English]],2,0)))),0)</f>
        <v>0</v>
      </c>
      <c r="C27" s="27">
        <f>IFERROR(IF(PAAR!$B$10="English",'Add Info-Info Supp-Info Ad'!$C27,IF(PAAR!$B$10="Français",VLOOKUP('Add Info-Info Supp-Info Ad'!$C27,For_EN[],3,0),IF(PAAR!$B$10="Español",VLOOKUP('Add Info-Info Supp-Info Ad'!$C27,For_EN[[Español]:[English]],2,0)))),0)</f>
        <v>0</v>
      </c>
      <c r="D27" s="164">
        <f>'Add Info-Info Supp-Info Ad'!D27</f>
        <v>0</v>
      </c>
      <c r="E27" s="164"/>
      <c r="F27" s="164"/>
      <c r="G27" s="164"/>
      <c r="H27" s="164"/>
      <c r="I27" s="164"/>
      <c r="J27" s="164"/>
      <c r="K27" s="164"/>
      <c r="L27" s="164"/>
      <c r="M27" s="164"/>
      <c r="N27" s="164"/>
      <c r="O27" s="164"/>
      <c r="P27" s="164"/>
      <c r="Q27" s="164"/>
      <c r="R27" s="164"/>
      <c r="S27" s="164"/>
      <c r="T27" s="164"/>
      <c r="U27" s="164"/>
      <c r="V27" s="164"/>
    </row>
    <row r="28" spans="1:22" x14ac:dyDescent="0.35">
      <c r="A28" s="27">
        <f>IFERROR(IF(PAAR!$B$10="English",'Add Info-Info Supp-Info Ad'!$A28,IF(PAAR!$B$10="Français",VLOOKUP('Add Info-Info Supp-Info Ad'!$A28,For_EN[],3,0),IF(PAAR!$B$10="Español",VLOOKUP('Add Info-Info Supp-Info Ad'!$A28,For_EN[[Español]:[English]],2,0)))),0)</f>
        <v>0</v>
      </c>
      <c r="B28" s="27">
        <f>IFERROR(IF(PAAR!$B$10="English",'Add Info-Info Supp-Info Ad'!$B28,IF(PAAR!$B$10="Français",VLOOKUP('Add Info-Info Supp-Info Ad'!$B28,For_EN[],3,0),IF(PAAR!$B$10="Español",VLOOKUP('Add Info-Info Supp-Info Ad'!$B28,For_EN[[Español]:[English]],2,0)))),0)</f>
        <v>0</v>
      </c>
      <c r="C28" s="27">
        <f>IFERROR(IF(PAAR!$B$10="English",'Add Info-Info Supp-Info Ad'!$C28,IF(PAAR!$B$10="Français",VLOOKUP('Add Info-Info Supp-Info Ad'!$C28,For_EN[],3,0),IF(PAAR!$B$10="Español",VLOOKUP('Add Info-Info Supp-Info Ad'!$C28,For_EN[[Español]:[English]],2,0)))),0)</f>
        <v>0</v>
      </c>
      <c r="D28" s="164">
        <f>'Add Info-Info Supp-Info Ad'!D28</f>
        <v>0</v>
      </c>
      <c r="E28" s="164"/>
      <c r="F28" s="164"/>
      <c r="G28" s="164"/>
      <c r="H28" s="164"/>
      <c r="I28" s="164"/>
      <c r="J28" s="164"/>
      <c r="K28" s="164"/>
      <c r="L28" s="164"/>
      <c r="M28" s="164"/>
      <c r="N28" s="164"/>
      <c r="O28" s="164"/>
      <c r="P28" s="164"/>
      <c r="Q28" s="164"/>
      <c r="R28" s="164"/>
      <c r="S28" s="164"/>
      <c r="T28" s="164"/>
      <c r="U28" s="164"/>
      <c r="V28" s="164"/>
    </row>
    <row r="29" spans="1:22" x14ac:dyDescent="0.35">
      <c r="A29" s="27">
        <f>IFERROR(IF(PAAR!$B$10="English",'Add Info-Info Supp-Info Ad'!$A29,IF(PAAR!$B$10="Français",VLOOKUP('Add Info-Info Supp-Info Ad'!$A29,For_EN[],3,0),IF(PAAR!$B$10="Español",VLOOKUP('Add Info-Info Supp-Info Ad'!$A29,For_EN[[Español]:[English]],2,0)))),0)</f>
        <v>0</v>
      </c>
      <c r="B29" s="27">
        <f>IFERROR(IF(PAAR!$B$10="English",'Add Info-Info Supp-Info Ad'!$B29,IF(PAAR!$B$10="Français",VLOOKUP('Add Info-Info Supp-Info Ad'!$B29,For_EN[],3,0),IF(PAAR!$B$10="Español",VLOOKUP('Add Info-Info Supp-Info Ad'!$B29,For_EN[[Español]:[English]],2,0)))),0)</f>
        <v>0</v>
      </c>
      <c r="C29" s="27">
        <f>IFERROR(IF(PAAR!$B$10="English",'Add Info-Info Supp-Info Ad'!$C29,IF(PAAR!$B$10="Français",VLOOKUP('Add Info-Info Supp-Info Ad'!$C29,For_EN[],3,0),IF(PAAR!$B$10="Español",VLOOKUP('Add Info-Info Supp-Info Ad'!$C29,For_EN[[Español]:[English]],2,0)))),0)</f>
        <v>0</v>
      </c>
      <c r="D29" s="164">
        <f>'Add Info-Info Supp-Info Ad'!D29</f>
        <v>0</v>
      </c>
      <c r="E29" s="164"/>
      <c r="F29" s="164"/>
      <c r="G29" s="164"/>
      <c r="H29" s="164"/>
      <c r="I29" s="164"/>
      <c r="J29" s="164"/>
      <c r="K29" s="164"/>
      <c r="L29" s="164"/>
      <c r="M29" s="164"/>
      <c r="N29" s="164"/>
      <c r="O29" s="164"/>
      <c r="P29" s="164"/>
      <c r="Q29" s="164"/>
      <c r="R29" s="164"/>
      <c r="S29" s="164"/>
      <c r="T29" s="164"/>
      <c r="U29" s="164"/>
      <c r="V29" s="164"/>
    </row>
    <row r="30" spans="1:22" x14ac:dyDescent="0.35">
      <c r="A30" s="27">
        <f>IFERROR(IF(PAAR!$B$10="English",'Add Info-Info Supp-Info Ad'!$A30,IF(PAAR!$B$10="Français",VLOOKUP('Add Info-Info Supp-Info Ad'!$A30,For_EN[],3,0),IF(PAAR!$B$10="Español",VLOOKUP('Add Info-Info Supp-Info Ad'!$A30,For_EN[[Español]:[English]],2,0)))),0)</f>
        <v>0</v>
      </c>
      <c r="B30" s="27">
        <f>IFERROR(IF(PAAR!$B$10="English",'Add Info-Info Supp-Info Ad'!$B30,IF(PAAR!$B$10="Français",VLOOKUP('Add Info-Info Supp-Info Ad'!$B30,For_EN[],3,0),IF(PAAR!$B$10="Español",VLOOKUP('Add Info-Info Supp-Info Ad'!$B30,For_EN[[Español]:[English]],2,0)))),0)</f>
        <v>0</v>
      </c>
      <c r="C30" s="27">
        <f>IFERROR(IF(PAAR!$B$10="English",'Add Info-Info Supp-Info Ad'!$C30,IF(PAAR!$B$10="Français",VLOOKUP('Add Info-Info Supp-Info Ad'!$C30,For_EN[],3,0),IF(PAAR!$B$10="Español",VLOOKUP('Add Info-Info Supp-Info Ad'!$C30,For_EN[[Español]:[English]],2,0)))),0)</f>
        <v>0</v>
      </c>
      <c r="D30" s="164">
        <f>'Add Info-Info Supp-Info Ad'!D30</f>
        <v>0</v>
      </c>
      <c r="E30" s="164"/>
      <c r="F30" s="164"/>
      <c r="G30" s="164"/>
      <c r="H30" s="164"/>
      <c r="I30" s="164"/>
      <c r="J30" s="164"/>
      <c r="K30" s="164"/>
      <c r="L30" s="164"/>
      <c r="M30" s="164"/>
      <c r="N30" s="164"/>
      <c r="O30" s="164"/>
      <c r="P30" s="164"/>
      <c r="Q30" s="164"/>
      <c r="R30" s="164"/>
      <c r="S30" s="164"/>
      <c r="T30" s="164"/>
      <c r="U30" s="164"/>
      <c r="V30" s="164"/>
    </row>
    <row r="31" spans="1:22" x14ac:dyDescent="0.35">
      <c r="A31" s="27">
        <f>IFERROR(IF(PAAR!$B$10="English",'Add Info-Info Supp-Info Ad'!$A31,IF(PAAR!$B$10="Français",VLOOKUP('Add Info-Info Supp-Info Ad'!$A31,For_EN[],3,0),IF(PAAR!$B$10="Español",VLOOKUP('Add Info-Info Supp-Info Ad'!$A31,For_EN[[Español]:[English]],2,0)))),0)</f>
        <v>0</v>
      </c>
      <c r="B31" s="27">
        <f>IFERROR(IF(PAAR!$B$10="English",'Add Info-Info Supp-Info Ad'!$B31,IF(PAAR!$B$10="Français",VLOOKUP('Add Info-Info Supp-Info Ad'!$B31,For_EN[],3,0),IF(PAAR!$B$10="Español",VLOOKUP('Add Info-Info Supp-Info Ad'!$B31,For_EN[[Español]:[English]],2,0)))),0)</f>
        <v>0</v>
      </c>
      <c r="C31" s="27">
        <f>IFERROR(IF(PAAR!$B$10="English",'Add Info-Info Supp-Info Ad'!$C31,IF(PAAR!$B$10="Français",VLOOKUP('Add Info-Info Supp-Info Ad'!$C31,For_EN[],3,0),IF(PAAR!$B$10="Español",VLOOKUP('Add Info-Info Supp-Info Ad'!$C31,For_EN[[Español]:[English]],2,0)))),0)</f>
        <v>0</v>
      </c>
      <c r="D31" s="164">
        <f>'Add Info-Info Supp-Info Ad'!D31</f>
        <v>0</v>
      </c>
      <c r="E31" s="164"/>
      <c r="F31" s="164"/>
      <c r="G31" s="164"/>
      <c r="H31" s="164"/>
      <c r="I31" s="164"/>
      <c r="J31" s="164"/>
      <c r="K31" s="164"/>
      <c r="L31" s="164"/>
      <c r="M31" s="164"/>
      <c r="N31" s="164"/>
      <c r="O31" s="164"/>
      <c r="P31" s="164"/>
      <c r="Q31" s="164"/>
      <c r="R31" s="164"/>
      <c r="S31" s="164"/>
      <c r="T31" s="164"/>
      <c r="U31" s="164"/>
      <c r="V31" s="164"/>
    </row>
    <row r="32" spans="1:22" x14ac:dyDescent="0.35">
      <c r="A32" s="27">
        <f>IFERROR(IF(PAAR!$B$10="English",'Add Info-Info Supp-Info Ad'!$A32,IF(PAAR!$B$10="Français",VLOOKUP('Add Info-Info Supp-Info Ad'!$A32,For_EN[],3,0),IF(PAAR!$B$10="Español",VLOOKUP('Add Info-Info Supp-Info Ad'!$A32,For_EN[[Español]:[English]],2,0)))),0)</f>
        <v>0</v>
      </c>
      <c r="B32" s="27">
        <f>IFERROR(IF(PAAR!$B$10="English",'Add Info-Info Supp-Info Ad'!$B32,IF(PAAR!$B$10="Français",VLOOKUP('Add Info-Info Supp-Info Ad'!$B32,For_EN[],3,0),IF(PAAR!$B$10="Español",VLOOKUP('Add Info-Info Supp-Info Ad'!$B32,For_EN[[Español]:[English]],2,0)))),0)</f>
        <v>0</v>
      </c>
      <c r="C32" s="27">
        <f>IFERROR(IF(PAAR!$B$10="English",'Add Info-Info Supp-Info Ad'!$C32,IF(PAAR!$B$10="Français",VLOOKUP('Add Info-Info Supp-Info Ad'!$C32,For_EN[],3,0),IF(PAAR!$B$10="Español",VLOOKUP('Add Info-Info Supp-Info Ad'!$C32,For_EN[[Español]:[English]],2,0)))),0)</f>
        <v>0</v>
      </c>
      <c r="D32" s="164">
        <f>'Add Info-Info Supp-Info Ad'!D32</f>
        <v>0</v>
      </c>
      <c r="E32" s="164"/>
      <c r="F32" s="164"/>
      <c r="G32" s="164"/>
      <c r="H32" s="164"/>
      <c r="I32" s="164"/>
      <c r="J32" s="164"/>
      <c r="K32" s="164"/>
      <c r="L32" s="164"/>
      <c r="M32" s="164"/>
      <c r="N32" s="164"/>
      <c r="O32" s="164"/>
      <c r="P32" s="164"/>
      <c r="Q32" s="164"/>
      <c r="R32" s="164"/>
      <c r="S32" s="164"/>
      <c r="T32" s="164"/>
      <c r="U32" s="164"/>
      <c r="V32" s="164"/>
    </row>
    <row r="33" spans="1:22" x14ac:dyDescent="0.35">
      <c r="A33" s="27">
        <f>IFERROR(IF(PAAR!$B$10="English",'Add Info-Info Supp-Info Ad'!$A33,IF(PAAR!$B$10="Français",VLOOKUP('Add Info-Info Supp-Info Ad'!$A33,For_EN[],3,0),IF(PAAR!$B$10="Español",VLOOKUP('Add Info-Info Supp-Info Ad'!$A33,For_EN[[Español]:[English]],2,0)))),0)</f>
        <v>0</v>
      </c>
      <c r="B33" s="27">
        <f>IFERROR(IF(PAAR!$B$10="English",'Add Info-Info Supp-Info Ad'!$B33,IF(PAAR!$B$10="Français",VLOOKUP('Add Info-Info Supp-Info Ad'!$B33,For_EN[],3,0),IF(PAAR!$B$10="Español",VLOOKUP('Add Info-Info Supp-Info Ad'!$B33,For_EN[[Español]:[English]],2,0)))),0)</f>
        <v>0</v>
      </c>
      <c r="C33" s="27">
        <f>IFERROR(IF(PAAR!$B$10="English",'Add Info-Info Supp-Info Ad'!$C33,IF(PAAR!$B$10="Français",VLOOKUP('Add Info-Info Supp-Info Ad'!$C33,For_EN[],3,0),IF(PAAR!$B$10="Español",VLOOKUP('Add Info-Info Supp-Info Ad'!$C33,For_EN[[Español]:[English]],2,0)))),0)</f>
        <v>0</v>
      </c>
      <c r="D33" s="164">
        <f>'Add Info-Info Supp-Info Ad'!D33</f>
        <v>0</v>
      </c>
      <c r="E33" s="164"/>
      <c r="F33" s="164"/>
      <c r="G33" s="164"/>
      <c r="H33" s="164"/>
      <c r="I33" s="164"/>
      <c r="J33" s="164"/>
      <c r="K33" s="164"/>
      <c r="L33" s="164"/>
      <c r="M33" s="164"/>
      <c r="N33" s="164"/>
      <c r="O33" s="164"/>
      <c r="P33" s="164"/>
      <c r="Q33" s="164"/>
      <c r="R33" s="164"/>
      <c r="S33" s="164"/>
      <c r="T33" s="164"/>
      <c r="U33" s="164"/>
      <c r="V33" s="164"/>
    </row>
    <row r="34" spans="1:22" x14ac:dyDescent="0.35">
      <c r="A34" s="27">
        <f>IFERROR(IF(PAAR!$B$10="English",'Add Info-Info Supp-Info Ad'!$A34,IF(PAAR!$B$10="Français",VLOOKUP('Add Info-Info Supp-Info Ad'!$A34,For_EN[],3,0),IF(PAAR!$B$10="Español",VLOOKUP('Add Info-Info Supp-Info Ad'!$A34,For_EN[[Español]:[English]],2,0)))),0)</f>
        <v>0</v>
      </c>
      <c r="B34" s="27">
        <f>IFERROR(IF(PAAR!$B$10="English",'Add Info-Info Supp-Info Ad'!$B34,IF(PAAR!$B$10="Français",VLOOKUP('Add Info-Info Supp-Info Ad'!$B34,For_EN[],3,0),IF(PAAR!$B$10="Español",VLOOKUP('Add Info-Info Supp-Info Ad'!$B34,For_EN[[Español]:[English]],2,0)))),0)</f>
        <v>0</v>
      </c>
      <c r="C34" s="27">
        <f>IFERROR(IF(PAAR!$B$10="English",'Add Info-Info Supp-Info Ad'!$C34,IF(PAAR!$B$10="Français",VLOOKUP('Add Info-Info Supp-Info Ad'!$C34,For_EN[],3,0),IF(PAAR!$B$10="Español",VLOOKUP('Add Info-Info Supp-Info Ad'!$C34,For_EN[[Español]:[English]],2,0)))),0)</f>
        <v>0</v>
      </c>
      <c r="D34" s="164">
        <f>'Add Info-Info Supp-Info Ad'!D34</f>
        <v>0</v>
      </c>
      <c r="E34" s="164"/>
      <c r="F34" s="164"/>
      <c r="G34" s="164"/>
      <c r="H34" s="164"/>
      <c r="I34" s="164"/>
      <c r="J34" s="164"/>
      <c r="K34" s="164"/>
      <c r="L34" s="164"/>
      <c r="M34" s="164"/>
      <c r="N34" s="164"/>
      <c r="O34" s="164"/>
      <c r="P34" s="164"/>
      <c r="Q34" s="164"/>
      <c r="R34" s="164"/>
      <c r="S34" s="164"/>
      <c r="T34" s="164"/>
      <c r="U34" s="164"/>
      <c r="V34" s="164"/>
    </row>
    <row r="35" spans="1:22" x14ac:dyDescent="0.35">
      <c r="A35" s="27">
        <f>IFERROR(IF(PAAR!$B$10="English",'Add Info-Info Supp-Info Ad'!$A35,IF(PAAR!$B$10="Français",VLOOKUP('Add Info-Info Supp-Info Ad'!$A35,For_EN[],3,0),IF(PAAR!$B$10="Español",VLOOKUP('Add Info-Info Supp-Info Ad'!$A35,For_EN[[Español]:[English]],2,0)))),0)</f>
        <v>0</v>
      </c>
      <c r="B35" s="27">
        <f>IFERROR(IF(PAAR!$B$10="English",'Add Info-Info Supp-Info Ad'!$B35,IF(PAAR!$B$10="Français",VLOOKUP('Add Info-Info Supp-Info Ad'!$B35,For_EN[],3,0),IF(PAAR!$B$10="Español",VLOOKUP('Add Info-Info Supp-Info Ad'!$B35,For_EN[[Español]:[English]],2,0)))),0)</f>
        <v>0</v>
      </c>
      <c r="C35" s="27">
        <f>IFERROR(IF(PAAR!$B$10="English",'Add Info-Info Supp-Info Ad'!$C35,IF(PAAR!$B$10="Français",VLOOKUP('Add Info-Info Supp-Info Ad'!$C35,For_EN[],3,0),IF(PAAR!$B$10="Español",VLOOKUP('Add Info-Info Supp-Info Ad'!$C35,For_EN[[Español]:[English]],2,0)))),0)</f>
        <v>0</v>
      </c>
      <c r="D35" s="164">
        <f>'Add Info-Info Supp-Info Ad'!D35</f>
        <v>0</v>
      </c>
      <c r="E35" s="164"/>
      <c r="F35" s="164"/>
      <c r="G35" s="164"/>
      <c r="H35" s="164"/>
      <c r="I35" s="164"/>
      <c r="J35" s="164"/>
      <c r="K35" s="164"/>
      <c r="L35" s="164"/>
      <c r="M35" s="164"/>
      <c r="N35" s="164"/>
      <c r="O35" s="164"/>
      <c r="P35" s="164"/>
      <c r="Q35" s="164"/>
      <c r="R35" s="164"/>
      <c r="S35" s="164"/>
      <c r="T35" s="164"/>
      <c r="U35" s="164"/>
      <c r="V35" s="164"/>
    </row>
  </sheetData>
  <sheetProtection formatRows="0" insertRows="0"/>
  <mergeCells count="35">
    <mergeCell ref="D6:V6"/>
    <mergeCell ref="A1:V1"/>
    <mergeCell ref="A2:V2"/>
    <mergeCell ref="D3:V3"/>
    <mergeCell ref="D4:V4"/>
    <mergeCell ref="D5:V5"/>
    <mergeCell ref="D18:V18"/>
    <mergeCell ref="D7:V7"/>
    <mergeCell ref="D8:V8"/>
    <mergeCell ref="D9:V9"/>
    <mergeCell ref="D10:V10"/>
    <mergeCell ref="D11:V11"/>
    <mergeCell ref="D12:V12"/>
    <mergeCell ref="D13:V13"/>
    <mergeCell ref="D14:V14"/>
    <mergeCell ref="D15:V15"/>
    <mergeCell ref="D16:V16"/>
    <mergeCell ref="D17:V17"/>
    <mergeCell ref="D30:V30"/>
    <mergeCell ref="D19:V19"/>
    <mergeCell ref="D20:V20"/>
    <mergeCell ref="D21:V21"/>
    <mergeCell ref="D22:V22"/>
    <mergeCell ref="D23:V23"/>
    <mergeCell ref="D24:V24"/>
    <mergeCell ref="D25:V25"/>
    <mergeCell ref="D26:V26"/>
    <mergeCell ref="D27:V27"/>
    <mergeCell ref="D28:V28"/>
    <mergeCell ref="D29:V29"/>
    <mergeCell ref="D31:V31"/>
    <mergeCell ref="D32:V32"/>
    <mergeCell ref="D33:V33"/>
    <mergeCell ref="D34:V34"/>
    <mergeCell ref="D35:V35"/>
  </mergeCells>
  <pageMargins left="0.7" right="0.7" top="0.75" bottom="0.75" header="0.3" footer="0.3"/>
  <pageSetup paperSize="9" scale="3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FF0000"/>
  </sheetPr>
  <dimension ref="A1:AG583"/>
  <sheetViews>
    <sheetView topLeftCell="O4" zoomScale="85" zoomScaleNormal="85" workbookViewId="0">
      <selection activeCell="S4" sqref="S4"/>
    </sheetView>
  </sheetViews>
  <sheetFormatPr baseColWidth="10" defaultColWidth="2.81640625" defaultRowHeight="14.5" x14ac:dyDescent="0.35"/>
  <cols>
    <col min="1" max="1" width="13.81640625" style="1" bestFit="1" customWidth="1" collapsed="1"/>
    <col min="2" max="2" width="14.81640625" style="1" bestFit="1" customWidth="1" collapsed="1"/>
    <col min="3" max="3" width="15.1796875" style="1" customWidth="1" collapsed="1"/>
    <col min="4" max="4" width="12.453125" style="1" bestFit="1" customWidth="1" collapsed="1"/>
    <col min="5" max="5" width="15.81640625" style="1" customWidth="1" collapsed="1"/>
    <col min="6" max="6" width="19.453125" style="1" bestFit="1" customWidth="1" collapsed="1"/>
    <col min="7" max="7" width="28.81640625" style="1" bestFit="1" customWidth="1" collapsed="1"/>
    <col min="8" max="8" width="19.453125" style="1" bestFit="1" customWidth="1" collapsed="1"/>
    <col min="9" max="9" width="21.81640625" style="1" customWidth="1" collapsed="1"/>
    <col min="10" max="10" width="19.453125" style="1" bestFit="1" customWidth="1" collapsed="1"/>
    <col min="11" max="11" width="19.453125" style="1" customWidth="1" collapsed="1"/>
    <col min="12" max="12" width="100.81640625" style="1" customWidth="1" collapsed="1"/>
    <col min="13" max="13" width="19.453125" style="1" customWidth="1" collapsed="1"/>
    <col min="14" max="14" width="120.81640625" style="1" customWidth="1" collapsed="1"/>
    <col min="15" max="17" width="19.453125" style="1" customWidth="1" collapsed="1"/>
    <col min="18" max="19" width="11.81640625" style="1" bestFit="1" customWidth="1" collapsed="1"/>
    <col min="20" max="20" width="25.54296875" style="1" bestFit="1" customWidth="1" collapsed="1"/>
    <col min="21" max="21" width="18.1796875" style="1" customWidth="1" collapsed="1"/>
    <col min="22" max="22" width="17" bestFit="1" customWidth="1" collapsed="1"/>
    <col min="23" max="23" width="33.54296875" customWidth="1" collapsed="1"/>
    <col min="24" max="24" width="26.1796875" customWidth="1" collapsed="1"/>
    <col min="25" max="25" width="24.54296875" bestFit="1" customWidth="1" collapsed="1"/>
    <col min="26" max="26" width="32.81640625" style="1" customWidth="1" collapsed="1"/>
    <col min="27" max="27" width="28.1796875" style="1" customWidth="1" collapsed="1"/>
    <col min="28" max="29" width="20.453125" style="1" bestFit="1" customWidth="1" collapsed="1"/>
    <col min="30" max="30" width="17.54296875" style="1" customWidth="1" collapsed="1"/>
    <col min="31" max="31" width="26.81640625" style="1" bestFit="1" customWidth="1" collapsed="1"/>
    <col min="32" max="32" width="12.81640625" style="1" bestFit="1" customWidth="1" collapsed="1"/>
    <col min="33" max="33" width="43.81640625" style="1" customWidth="1" collapsed="1"/>
    <col min="34" max="16384" width="2.81640625" style="1" collapsed="1"/>
  </cols>
  <sheetData>
    <row r="1" spans="1:33" x14ac:dyDescent="0.35">
      <c r="A1" s="1" t="s">
        <v>9</v>
      </c>
      <c r="B1" s="1" t="s">
        <v>34</v>
      </c>
      <c r="C1" s="1" t="s">
        <v>35</v>
      </c>
      <c r="D1" s="1" t="s">
        <v>36</v>
      </c>
      <c r="E1" s="1" t="s">
        <v>37</v>
      </c>
      <c r="F1" s="1" t="s">
        <v>38</v>
      </c>
      <c r="G1" s="1" t="s">
        <v>39</v>
      </c>
      <c r="H1" s="1" t="s">
        <v>40</v>
      </c>
      <c r="I1" s="1" t="s">
        <v>41</v>
      </c>
      <c r="J1" s="1" t="s">
        <v>42</v>
      </c>
      <c r="K1" s="1" t="s">
        <v>43</v>
      </c>
      <c r="L1" s="1" t="s">
        <v>44</v>
      </c>
      <c r="M1" s="1" t="s">
        <v>45</v>
      </c>
      <c r="N1" s="1" t="s">
        <v>46</v>
      </c>
      <c r="O1" s="1" t="s">
        <v>47</v>
      </c>
      <c r="P1" s="1" t="s">
        <v>48</v>
      </c>
      <c r="Q1" s="1" t="s">
        <v>49</v>
      </c>
      <c r="R1" s="1" t="s">
        <v>50</v>
      </c>
      <c r="S1" s="1" t="s">
        <v>51</v>
      </c>
      <c r="T1" s="1" t="s">
        <v>52</v>
      </c>
      <c r="U1" s="1" t="s">
        <v>53</v>
      </c>
      <c r="V1" s="1" t="s">
        <v>54</v>
      </c>
      <c r="W1" s="1" t="s">
        <v>55</v>
      </c>
      <c r="X1" s="1" t="s">
        <v>56</v>
      </c>
      <c r="Y1" s="1" t="s">
        <v>57</v>
      </c>
      <c r="Z1" s="1" t="s">
        <v>58</v>
      </c>
      <c r="AA1" s="1" t="s">
        <v>59</v>
      </c>
      <c r="AB1" s="1" t="s">
        <v>60</v>
      </c>
      <c r="AC1" s="1" t="s">
        <v>61</v>
      </c>
      <c r="AD1" s="1" t="s">
        <v>62</v>
      </c>
      <c r="AE1" s="1" t="s">
        <v>63</v>
      </c>
      <c r="AF1" s="1" t="s">
        <v>797</v>
      </c>
      <c r="AG1" s="1" t="s">
        <v>875</v>
      </c>
    </row>
    <row r="2" spans="1:33" ht="409.5" x14ac:dyDescent="0.35">
      <c r="A2" s="1" t="s">
        <v>3</v>
      </c>
      <c r="B2" s="1" t="s">
        <v>9</v>
      </c>
      <c r="C2" s="1" t="s">
        <v>4</v>
      </c>
      <c r="D2" s="1" t="s">
        <v>5</v>
      </c>
      <c r="E2" s="1" t="s">
        <v>10</v>
      </c>
      <c r="F2" s="1" t="s">
        <v>791</v>
      </c>
      <c r="G2" s="1" t="s">
        <v>12</v>
      </c>
      <c r="H2" s="1" t="s">
        <v>13</v>
      </c>
      <c r="I2" s="1" t="s">
        <v>14</v>
      </c>
      <c r="J2" s="1" t="s">
        <v>15</v>
      </c>
      <c r="K2" s="1" t="s">
        <v>16</v>
      </c>
      <c r="L2" s="1" t="s">
        <v>64</v>
      </c>
      <c r="M2" s="1" t="s">
        <v>4</v>
      </c>
      <c r="N2" s="1" t="s">
        <v>65</v>
      </c>
      <c r="O2" s="1" t="s">
        <v>108</v>
      </c>
      <c r="P2" s="1" t="s">
        <v>20</v>
      </c>
      <c r="Q2" s="1" t="s">
        <v>21</v>
      </c>
      <c r="R2" s="1" t="s">
        <v>793</v>
      </c>
      <c r="S2" s="1" t="s">
        <v>792</v>
      </c>
      <c r="T2" s="86" t="s">
        <v>880</v>
      </c>
      <c r="U2" s="1" t="s">
        <v>825</v>
      </c>
      <c r="V2" s="1" t="s">
        <v>828</v>
      </c>
      <c r="W2" s="1" t="s">
        <v>27</v>
      </c>
      <c r="X2" s="1" t="s">
        <v>833</v>
      </c>
      <c r="Y2" s="1" t="s">
        <v>29</v>
      </c>
      <c r="Z2" s="1" t="s">
        <v>798</v>
      </c>
      <c r="AA2" s="1" t="s">
        <v>31</v>
      </c>
      <c r="AB2" s="1" t="s">
        <v>20</v>
      </c>
      <c r="AC2" s="1" t="s">
        <v>32</v>
      </c>
      <c r="AD2" s="1" t="s">
        <v>22</v>
      </c>
      <c r="AE2" s="1" t="s">
        <v>33</v>
      </c>
      <c r="AF2" s="78" t="s">
        <v>854</v>
      </c>
      <c r="AG2" s="85" t="s">
        <v>876</v>
      </c>
    </row>
    <row r="3" spans="1:33" ht="409.5" x14ac:dyDescent="0.35">
      <c r="A3" s="1" t="s">
        <v>66</v>
      </c>
      <c r="B3" s="1" t="s">
        <v>67</v>
      </c>
      <c r="C3" s="1" t="s">
        <v>68</v>
      </c>
      <c r="D3" s="1" t="s">
        <v>69</v>
      </c>
      <c r="E3" s="1" t="s">
        <v>70</v>
      </c>
      <c r="F3" s="1" t="s">
        <v>821</v>
      </c>
      <c r="G3" s="1" t="s">
        <v>71</v>
      </c>
      <c r="H3" s="1" t="s">
        <v>72</v>
      </c>
      <c r="I3" s="1" t="s">
        <v>73</v>
      </c>
      <c r="J3" s="1" t="s">
        <v>74</v>
      </c>
      <c r="K3" s="1" t="s">
        <v>75</v>
      </c>
      <c r="L3" s="1" t="s">
        <v>76</v>
      </c>
      <c r="M3" s="1" t="s">
        <v>77</v>
      </c>
      <c r="N3" s="1" t="s">
        <v>78</v>
      </c>
      <c r="O3" s="1" t="s">
        <v>79</v>
      </c>
      <c r="P3" s="1" t="s">
        <v>20</v>
      </c>
      <c r="Q3" s="1" t="s">
        <v>21</v>
      </c>
      <c r="R3" s="1" t="s">
        <v>80</v>
      </c>
      <c r="S3" s="1" t="s">
        <v>81</v>
      </c>
      <c r="T3" s="86" t="s">
        <v>881</v>
      </c>
      <c r="U3" s="1" t="s">
        <v>826</v>
      </c>
      <c r="V3" s="1" t="s">
        <v>829</v>
      </c>
      <c r="W3" s="1" t="s">
        <v>823</v>
      </c>
      <c r="X3" s="1" t="s">
        <v>834</v>
      </c>
      <c r="Y3" s="1" t="s">
        <v>82</v>
      </c>
      <c r="Z3" s="1" t="s">
        <v>831</v>
      </c>
      <c r="AA3" s="1" t="s">
        <v>83</v>
      </c>
      <c r="AB3" s="1" t="s">
        <v>20</v>
      </c>
      <c r="AC3" s="1" t="s">
        <v>32</v>
      </c>
      <c r="AD3" s="1" t="s">
        <v>80</v>
      </c>
      <c r="AE3" s="1" t="s">
        <v>84</v>
      </c>
      <c r="AF3" s="79" t="s">
        <v>864</v>
      </c>
      <c r="AG3" s="85" t="s">
        <v>877</v>
      </c>
    </row>
    <row r="4" spans="1:33" ht="409.5" x14ac:dyDescent="0.35">
      <c r="A4" s="1" t="s">
        <v>85</v>
      </c>
      <c r="B4" s="1" t="s">
        <v>86</v>
      </c>
      <c r="C4" s="1" t="s">
        <v>87</v>
      </c>
      <c r="D4" s="1" t="s">
        <v>88</v>
      </c>
      <c r="E4" s="1" t="s">
        <v>89</v>
      </c>
      <c r="F4" s="1" t="s">
        <v>822</v>
      </c>
      <c r="G4" s="1" t="s">
        <v>90</v>
      </c>
      <c r="H4" s="1" t="s">
        <v>91</v>
      </c>
      <c r="I4" s="1" t="s">
        <v>92</v>
      </c>
      <c r="J4" s="1" t="s">
        <v>93</v>
      </c>
      <c r="K4" s="1" t="s">
        <v>94</v>
      </c>
      <c r="L4" s="1" t="s">
        <v>95</v>
      </c>
      <c r="M4" s="1" t="s">
        <v>96</v>
      </c>
      <c r="N4" s="1" t="s">
        <v>97</v>
      </c>
      <c r="O4" s="1" t="s">
        <v>98</v>
      </c>
      <c r="P4" s="1" t="s">
        <v>99</v>
      </c>
      <c r="Q4" s="1" t="s">
        <v>100</v>
      </c>
      <c r="R4" s="1" t="s">
        <v>101</v>
      </c>
      <c r="S4" s="1" t="s">
        <v>102</v>
      </c>
      <c r="T4" s="86" t="s">
        <v>882</v>
      </c>
      <c r="U4" s="1" t="s">
        <v>827</v>
      </c>
      <c r="V4" s="1" t="s">
        <v>830</v>
      </c>
      <c r="W4" s="1" t="s">
        <v>824</v>
      </c>
      <c r="X4" s="1" t="s">
        <v>835</v>
      </c>
      <c r="Y4" s="1" t="s">
        <v>103</v>
      </c>
      <c r="Z4" s="1" t="s">
        <v>832</v>
      </c>
      <c r="AA4" s="1" t="s">
        <v>104</v>
      </c>
      <c r="AB4" s="1" t="s">
        <v>99</v>
      </c>
      <c r="AC4" s="1" t="s">
        <v>105</v>
      </c>
      <c r="AD4" s="1" t="s">
        <v>101</v>
      </c>
      <c r="AE4" s="1" t="s">
        <v>106</v>
      </c>
      <c r="AF4" s="79" t="s">
        <v>865</v>
      </c>
      <c r="AG4" s="85" t="s">
        <v>878</v>
      </c>
    </row>
    <row r="5" spans="1:33" ht="46.5" x14ac:dyDescent="0.35">
      <c r="T5" s="86" t="s">
        <v>879</v>
      </c>
      <c r="V5" s="1"/>
      <c r="W5" s="1"/>
      <c r="X5" s="1"/>
      <c r="Y5" s="1"/>
      <c r="AG5" s="87"/>
    </row>
    <row r="6" spans="1:33" x14ac:dyDescent="0.35">
      <c r="A6" s="2" t="s">
        <v>9</v>
      </c>
      <c r="B6" s="2" t="s">
        <v>107</v>
      </c>
      <c r="D6" s="2" t="s">
        <v>14</v>
      </c>
      <c r="F6" s="2" t="s">
        <v>9</v>
      </c>
      <c r="G6" s="2" t="s">
        <v>108</v>
      </c>
      <c r="H6" s="2" t="s">
        <v>9</v>
      </c>
      <c r="I6" s="2" t="s">
        <v>867</v>
      </c>
      <c r="J6" s="2" t="s">
        <v>9</v>
      </c>
      <c r="K6" s="2" t="s">
        <v>107</v>
      </c>
      <c r="L6" s="2" t="s">
        <v>20</v>
      </c>
      <c r="N6" s="2" t="s">
        <v>9</v>
      </c>
      <c r="O6" s="2" t="s">
        <v>20</v>
      </c>
      <c r="P6" s="2" t="s">
        <v>32</v>
      </c>
      <c r="V6" s="1"/>
      <c r="Z6"/>
      <c r="AA6"/>
    </row>
    <row r="7" spans="1:33" x14ac:dyDescent="0.35">
      <c r="A7" s="1" t="s">
        <v>3</v>
      </c>
      <c r="B7" s="1" t="s">
        <v>109</v>
      </c>
      <c r="D7" s="1" t="s">
        <v>110</v>
      </c>
      <c r="F7" s="1" t="s">
        <v>3</v>
      </c>
      <c r="G7" s="3" t="s">
        <v>809</v>
      </c>
      <c r="H7" s="1" t="s">
        <v>3</v>
      </c>
      <c r="I7" s="3" t="s">
        <v>809</v>
      </c>
      <c r="J7" s="1" t="s">
        <v>3</v>
      </c>
      <c r="K7" s="1" t="s">
        <v>109</v>
      </c>
      <c r="L7" s="4" t="s">
        <v>111</v>
      </c>
      <c r="N7" s="1" t="s">
        <v>3</v>
      </c>
      <c r="O7" s="4" t="s">
        <v>112</v>
      </c>
      <c r="P7" s="4" t="s">
        <v>113</v>
      </c>
      <c r="V7" s="1"/>
      <c r="Z7"/>
      <c r="AA7"/>
    </row>
    <row r="8" spans="1:33" x14ac:dyDescent="0.35">
      <c r="A8" s="1" t="s">
        <v>3</v>
      </c>
      <c r="B8" s="1" t="s">
        <v>114</v>
      </c>
      <c r="D8" s="1" t="s">
        <v>115</v>
      </c>
      <c r="F8" s="1" t="s">
        <v>3</v>
      </c>
      <c r="G8" s="3" t="s">
        <v>810</v>
      </c>
      <c r="H8" s="1" t="s">
        <v>3</v>
      </c>
      <c r="I8" s="3" t="s">
        <v>810</v>
      </c>
      <c r="J8" s="1" t="s">
        <v>3</v>
      </c>
      <c r="K8" s="1" t="s">
        <v>109</v>
      </c>
      <c r="L8" s="4" t="s">
        <v>116</v>
      </c>
      <c r="N8" s="1" t="s">
        <v>3</v>
      </c>
      <c r="O8" s="4" t="s">
        <v>112</v>
      </c>
      <c r="P8" s="4" t="s">
        <v>117</v>
      </c>
      <c r="V8" s="1"/>
      <c r="Z8"/>
      <c r="AA8"/>
    </row>
    <row r="9" spans="1:33" x14ac:dyDescent="0.35">
      <c r="A9" s="1" t="s">
        <v>3</v>
      </c>
      <c r="B9" s="1" t="s">
        <v>118</v>
      </c>
      <c r="F9" s="1" t="s">
        <v>3</v>
      </c>
      <c r="G9" s="3" t="s">
        <v>811</v>
      </c>
      <c r="H9" s="1" t="s">
        <v>3</v>
      </c>
      <c r="I9" s="3" t="s">
        <v>811</v>
      </c>
      <c r="J9" s="1" t="s">
        <v>3</v>
      </c>
      <c r="K9" s="1" t="s">
        <v>109</v>
      </c>
      <c r="L9" s="4" t="s">
        <v>119</v>
      </c>
      <c r="N9" s="1" t="s">
        <v>3</v>
      </c>
      <c r="O9" s="4" t="s">
        <v>112</v>
      </c>
      <c r="P9" s="4" t="s">
        <v>120</v>
      </c>
      <c r="V9" s="1"/>
      <c r="Z9"/>
    </row>
    <row r="10" spans="1:33" x14ac:dyDescent="0.35">
      <c r="A10" s="1" t="s">
        <v>3</v>
      </c>
      <c r="B10" s="1" t="s">
        <v>121</v>
      </c>
      <c r="F10" s="1" t="s">
        <v>66</v>
      </c>
      <c r="G10" s="1" t="s">
        <v>848</v>
      </c>
      <c r="H10" s="1" t="s">
        <v>3</v>
      </c>
      <c r="I10" s="80" t="s">
        <v>866</v>
      </c>
      <c r="J10" s="1" t="s">
        <v>3</v>
      </c>
      <c r="K10" s="1" t="s">
        <v>109</v>
      </c>
      <c r="L10" s="4" t="s">
        <v>122</v>
      </c>
      <c r="N10" s="1" t="s">
        <v>3</v>
      </c>
      <c r="O10" s="4" t="s">
        <v>112</v>
      </c>
      <c r="P10" s="4" t="s">
        <v>123</v>
      </c>
      <c r="V10" s="1"/>
      <c r="Z10"/>
    </row>
    <row r="11" spans="1:33" x14ac:dyDescent="0.35">
      <c r="A11" s="1" t="s">
        <v>3</v>
      </c>
      <c r="B11" s="1" t="s">
        <v>124</v>
      </c>
      <c r="F11" s="1" t="s">
        <v>66</v>
      </c>
      <c r="G11" s="1" t="s">
        <v>812</v>
      </c>
      <c r="H11" s="1" t="s">
        <v>66</v>
      </c>
      <c r="I11" s="1" t="s">
        <v>848</v>
      </c>
      <c r="J11" s="1" t="s">
        <v>3</v>
      </c>
      <c r="K11" s="1" t="s">
        <v>109</v>
      </c>
      <c r="L11" s="4" t="s">
        <v>125</v>
      </c>
      <c r="N11" s="1" t="s">
        <v>3</v>
      </c>
      <c r="O11" s="4" t="s">
        <v>112</v>
      </c>
      <c r="P11" s="4" t="s">
        <v>126</v>
      </c>
      <c r="V11" s="1"/>
      <c r="Z11"/>
    </row>
    <row r="12" spans="1:33" x14ac:dyDescent="0.35">
      <c r="A12" s="1" t="s">
        <v>3</v>
      </c>
      <c r="B12" s="1" t="s">
        <v>127</v>
      </c>
      <c r="F12" s="1" t="s">
        <v>66</v>
      </c>
      <c r="G12" s="1" t="s">
        <v>813</v>
      </c>
      <c r="H12" s="1" t="s">
        <v>66</v>
      </c>
      <c r="I12" s="1" t="s">
        <v>812</v>
      </c>
      <c r="J12" s="1" t="s">
        <v>3</v>
      </c>
      <c r="K12" s="1" t="s">
        <v>109</v>
      </c>
      <c r="L12" s="4" t="s">
        <v>128</v>
      </c>
      <c r="N12" s="1" t="s">
        <v>3</v>
      </c>
      <c r="O12" s="4" t="s">
        <v>112</v>
      </c>
      <c r="P12" s="4" t="s">
        <v>129</v>
      </c>
      <c r="V12" s="1"/>
      <c r="Z12"/>
    </row>
    <row r="13" spans="1:33" x14ac:dyDescent="0.35">
      <c r="A13" s="1" t="s">
        <v>66</v>
      </c>
      <c r="B13" s="1" t="s">
        <v>130</v>
      </c>
      <c r="F13" s="1" t="s">
        <v>85</v>
      </c>
      <c r="G13" s="1" t="s">
        <v>814</v>
      </c>
      <c r="H13" s="1" t="s">
        <v>66</v>
      </c>
      <c r="I13" s="1" t="s">
        <v>813</v>
      </c>
      <c r="J13" s="1" t="s">
        <v>3</v>
      </c>
      <c r="K13" s="1" t="s">
        <v>109</v>
      </c>
      <c r="L13" s="4" t="s">
        <v>131</v>
      </c>
      <c r="N13" s="1" t="s">
        <v>3</v>
      </c>
      <c r="O13" s="4" t="s">
        <v>112</v>
      </c>
      <c r="P13" s="4" t="s">
        <v>132</v>
      </c>
      <c r="V13" s="1"/>
      <c r="Z13"/>
    </row>
    <row r="14" spans="1:33" x14ac:dyDescent="0.35">
      <c r="A14" s="1" t="s">
        <v>66</v>
      </c>
      <c r="B14" s="1" t="s">
        <v>133</v>
      </c>
      <c r="F14" s="1" t="s">
        <v>85</v>
      </c>
      <c r="G14" s="1" t="s">
        <v>816</v>
      </c>
      <c r="H14" s="1" t="s">
        <v>66</v>
      </c>
      <c r="I14" s="80" t="s">
        <v>868</v>
      </c>
      <c r="J14" s="1" t="s">
        <v>3</v>
      </c>
      <c r="K14" s="1" t="s">
        <v>109</v>
      </c>
      <c r="L14" s="4" t="s">
        <v>134</v>
      </c>
      <c r="N14" s="1" t="s">
        <v>3</v>
      </c>
      <c r="O14" s="4" t="s">
        <v>112</v>
      </c>
      <c r="P14" s="4" t="s">
        <v>135</v>
      </c>
      <c r="V14" s="1"/>
      <c r="Z14"/>
    </row>
    <row r="15" spans="1:33" x14ac:dyDescent="0.35">
      <c r="A15" s="1" t="s">
        <v>66</v>
      </c>
      <c r="B15" s="1" t="s">
        <v>136</v>
      </c>
      <c r="F15" s="1" t="s">
        <v>85</v>
      </c>
      <c r="G15" s="1" t="s">
        <v>815</v>
      </c>
      <c r="H15" s="1" t="s">
        <v>85</v>
      </c>
      <c r="I15" s="1" t="s">
        <v>814</v>
      </c>
      <c r="J15" s="1" t="s">
        <v>3</v>
      </c>
      <c r="K15" s="1" t="s">
        <v>109</v>
      </c>
      <c r="L15" s="4" t="s">
        <v>112</v>
      </c>
      <c r="N15" s="1" t="s">
        <v>3</v>
      </c>
      <c r="O15" s="4" t="s">
        <v>111</v>
      </c>
      <c r="P15" s="4" t="s">
        <v>137</v>
      </c>
      <c r="V15" s="1"/>
      <c r="Z15"/>
    </row>
    <row r="16" spans="1:33" x14ac:dyDescent="0.35">
      <c r="A16" s="1" t="s">
        <v>66</v>
      </c>
      <c r="B16" s="1" t="s">
        <v>138</v>
      </c>
      <c r="H16" s="1" t="s">
        <v>85</v>
      </c>
      <c r="I16" s="1" t="s">
        <v>816</v>
      </c>
      <c r="J16" s="1" t="s">
        <v>3</v>
      </c>
      <c r="K16" s="1" t="s">
        <v>109</v>
      </c>
      <c r="L16" s="4" t="s">
        <v>139</v>
      </c>
      <c r="N16" s="1" t="s">
        <v>3</v>
      </c>
      <c r="O16" s="4" t="s">
        <v>111</v>
      </c>
      <c r="P16" s="4" t="s">
        <v>140</v>
      </c>
      <c r="V16" s="1"/>
      <c r="Z16"/>
    </row>
    <row r="17" spans="1:26" x14ac:dyDescent="0.35">
      <c r="A17" s="1" t="s">
        <v>66</v>
      </c>
      <c r="B17" s="1" t="s">
        <v>141</v>
      </c>
      <c r="H17" s="1" t="s">
        <v>85</v>
      </c>
      <c r="I17" s="1" t="s">
        <v>815</v>
      </c>
      <c r="J17" s="1" t="s">
        <v>3</v>
      </c>
      <c r="K17" s="1" t="s">
        <v>109</v>
      </c>
      <c r="L17" s="4" t="s">
        <v>143</v>
      </c>
      <c r="N17" s="1" t="s">
        <v>3</v>
      </c>
      <c r="O17" s="4" t="s">
        <v>111</v>
      </c>
      <c r="P17" s="4" t="s">
        <v>144</v>
      </c>
      <c r="V17" s="1"/>
      <c r="Z17"/>
    </row>
    <row r="18" spans="1:26" x14ac:dyDescent="0.35">
      <c r="A18" s="1" t="s">
        <v>66</v>
      </c>
      <c r="B18" s="1" t="s">
        <v>145</v>
      </c>
      <c r="G18" s="80"/>
      <c r="H18" s="1" t="s">
        <v>85</v>
      </c>
      <c r="I18" s="80" t="s">
        <v>869</v>
      </c>
      <c r="J18" s="1" t="s">
        <v>3</v>
      </c>
      <c r="K18" s="1" t="s">
        <v>109</v>
      </c>
      <c r="L18" s="4" t="s">
        <v>146</v>
      </c>
      <c r="N18" s="1" t="s">
        <v>3</v>
      </c>
      <c r="O18" s="4" t="s">
        <v>111</v>
      </c>
      <c r="P18" s="4" t="s">
        <v>147</v>
      </c>
      <c r="V18" s="1"/>
      <c r="Z18"/>
    </row>
    <row r="19" spans="1:26" x14ac:dyDescent="0.35">
      <c r="A19" s="1" t="s">
        <v>85</v>
      </c>
      <c r="B19" s="1" t="s">
        <v>130</v>
      </c>
      <c r="F19" s="3"/>
      <c r="J19" s="1" t="s">
        <v>3</v>
      </c>
      <c r="K19" s="1" t="s">
        <v>109</v>
      </c>
      <c r="L19" s="4" t="s">
        <v>124</v>
      </c>
      <c r="N19" s="1" t="s">
        <v>3</v>
      </c>
      <c r="O19" s="4" t="s">
        <v>111</v>
      </c>
      <c r="P19" s="4" t="s">
        <v>148</v>
      </c>
      <c r="V19" s="1"/>
      <c r="Z19"/>
    </row>
    <row r="20" spans="1:26" x14ac:dyDescent="0.35">
      <c r="A20" s="1" t="s">
        <v>85</v>
      </c>
      <c r="B20" s="1" t="s">
        <v>114</v>
      </c>
      <c r="F20" s="3"/>
      <c r="J20" s="1" t="s">
        <v>3</v>
      </c>
      <c r="K20" s="1" t="s">
        <v>109</v>
      </c>
      <c r="L20" s="4" t="s">
        <v>149</v>
      </c>
      <c r="N20" s="1" t="s">
        <v>3</v>
      </c>
      <c r="O20" s="4" t="s">
        <v>111</v>
      </c>
      <c r="P20" s="4" t="s">
        <v>150</v>
      </c>
      <c r="V20" s="1"/>
      <c r="Z20"/>
    </row>
    <row r="21" spans="1:26" x14ac:dyDescent="0.35">
      <c r="A21" s="1" t="s">
        <v>85</v>
      </c>
      <c r="B21" s="1" t="s">
        <v>118</v>
      </c>
      <c r="F21" s="3"/>
      <c r="J21" s="1" t="s">
        <v>3</v>
      </c>
      <c r="K21" s="1" t="s">
        <v>109</v>
      </c>
      <c r="L21" s="4" t="s">
        <v>151</v>
      </c>
      <c r="N21" s="1" t="s">
        <v>3</v>
      </c>
      <c r="O21" s="4" t="s">
        <v>111</v>
      </c>
      <c r="P21" s="4" t="s">
        <v>152</v>
      </c>
      <c r="V21" s="1"/>
      <c r="Z21"/>
    </row>
    <row r="22" spans="1:26" x14ac:dyDescent="0.35">
      <c r="A22" s="1" t="s">
        <v>85</v>
      </c>
      <c r="B22" s="1" t="s">
        <v>153</v>
      </c>
      <c r="J22" s="1" t="s">
        <v>3</v>
      </c>
      <c r="K22" s="1" t="s">
        <v>109</v>
      </c>
      <c r="L22" s="4" t="s">
        <v>154</v>
      </c>
      <c r="N22" s="1" t="s">
        <v>3</v>
      </c>
      <c r="O22" s="4" t="s">
        <v>111</v>
      </c>
      <c r="P22" s="4" t="s">
        <v>155</v>
      </c>
      <c r="V22" s="1"/>
      <c r="Z22"/>
    </row>
    <row r="23" spans="1:26" x14ac:dyDescent="0.35">
      <c r="A23" s="1" t="s">
        <v>85</v>
      </c>
      <c r="B23" s="1" t="s">
        <v>141</v>
      </c>
      <c r="J23" s="1" t="s">
        <v>3</v>
      </c>
      <c r="K23" s="1" t="s">
        <v>109</v>
      </c>
      <c r="L23" s="4" t="s">
        <v>156</v>
      </c>
      <c r="N23" s="1" t="s">
        <v>3</v>
      </c>
      <c r="O23" s="4" t="s">
        <v>111</v>
      </c>
      <c r="P23" s="4" t="s">
        <v>157</v>
      </c>
      <c r="V23" s="1"/>
      <c r="Z23"/>
    </row>
    <row r="24" spans="1:26" x14ac:dyDescent="0.35">
      <c r="A24" s="1" t="s">
        <v>85</v>
      </c>
      <c r="B24" s="1" t="s">
        <v>158</v>
      </c>
      <c r="J24" s="1" t="s">
        <v>3</v>
      </c>
      <c r="K24" s="1" t="s">
        <v>109</v>
      </c>
      <c r="L24" s="4" t="s">
        <v>159</v>
      </c>
      <c r="N24" s="1" t="s">
        <v>3</v>
      </c>
      <c r="O24" s="4" t="s">
        <v>111</v>
      </c>
      <c r="P24" s="4" t="s">
        <v>160</v>
      </c>
      <c r="V24" s="1"/>
      <c r="Z24"/>
    </row>
    <row r="25" spans="1:26" x14ac:dyDescent="0.35">
      <c r="J25" s="1" t="s">
        <v>3</v>
      </c>
      <c r="K25" s="1" t="s">
        <v>109</v>
      </c>
      <c r="L25" s="4" t="s">
        <v>161</v>
      </c>
      <c r="N25" s="1" t="s">
        <v>3</v>
      </c>
      <c r="O25" s="4" t="s">
        <v>111</v>
      </c>
      <c r="P25" s="4" t="s">
        <v>162</v>
      </c>
      <c r="V25" s="1"/>
      <c r="Z25"/>
    </row>
    <row r="26" spans="1:26" x14ac:dyDescent="0.35">
      <c r="B26" s="3" t="s">
        <v>66</v>
      </c>
      <c r="C26" s="3" t="s">
        <v>85</v>
      </c>
      <c r="D26" s="3" t="s">
        <v>3</v>
      </c>
      <c r="J26" s="1" t="s">
        <v>3</v>
      </c>
      <c r="K26" s="1" t="s">
        <v>109</v>
      </c>
      <c r="L26" s="4" t="s">
        <v>163</v>
      </c>
      <c r="N26" s="1" t="s">
        <v>3</v>
      </c>
      <c r="O26" s="4" t="s">
        <v>119</v>
      </c>
      <c r="P26" s="4" t="s">
        <v>164</v>
      </c>
      <c r="V26" s="1"/>
      <c r="Z26"/>
    </row>
    <row r="27" spans="1:26" x14ac:dyDescent="0.35">
      <c r="A27" s="7" t="s">
        <v>165</v>
      </c>
      <c r="B27" s="3" t="s">
        <v>130</v>
      </c>
      <c r="C27" s="3" t="s">
        <v>130</v>
      </c>
      <c r="D27" s="3" t="s">
        <v>109</v>
      </c>
      <c r="J27" s="1" t="s">
        <v>3</v>
      </c>
      <c r="K27" s="1" t="s">
        <v>109</v>
      </c>
      <c r="L27" s="4" t="s">
        <v>166</v>
      </c>
      <c r="N27" s="1" t="s">
        <v>3</v>
      </c>
      <c r="O27" s="4" t="s">
        <v>119</v>
      </c>
      <c r="P27" s="4" t="s">
        <v>167</v>
      </c>
      <c r="V27" s="1"/>
      <c r="Z27"/>
    </row>
    <row r="28" spans="1:26" x14ac:dyDescent="0.35">
      <c r="B28" s="3" t="s">
        <v>133</v>
      </c>
      <c r="C28" s="3" t="s">
        <v>114</v>
      </c>
      <c r="D28" s="3" t="s">
        <v>114</v>
      </c>
      <c r="J28" s="1" t="s">
        <v>3</v>
      </c>
      <c r="K28" s="1" t="s">
        <v>109</v>
      </c>
      <c r="L28" s="4" t="s">
        <v>168</v>
      </c>
      <c r="N28" s="1" t="s">
        <v>3</v>
      </c>
      <c r="O28" s="4" t="s">
        <v>119</v>
      </c>
      <c r="P28" s="4" t="s">
        <v>169</v>
      </c>
      <c r="V28" s="1"/>
      <c r="Z28"/>
    </row>
    <row r="29" spans="1:26" x14ac:dyDescent="0.35">
      <c r="B29" s="3" t="s">
        <v>136</v>
      </c>
      <c r="C29" s="3" t="s">
        <v>118</v>
      </c>
      <c r="D29" s="3" t="s">
        <v>118</v>
      </c>
      <c r="J29" s="1" t="s">
        <v>3</v>
      </c>
      <c r="K29" s="1" t="s">
        <v>114</v>
      </c>
      <c r="L29" s="4" t="s">
        <v>170</v>
      </c>
      <c r="N29" s="1" t="s">
        <v>3</v>
      </c>
      <c r="O29" s="4" t="s">
        <v>119</v>
      </c>
      <c r="P29" s="4" t="s">
        <v>171</v>
      </c>
      <c r="V29" s="1"/>
      <c r="Z29"/>
    </row>
    <row r="30" spans="1:26" x14ac:dyDescent="0.35">
      <c r="B30" s="3" t="s">
        <v>138</v>
      </c>
      <c r="C30" s="3" t="s">
        <v>153</v>
      </c>
      <c r="D30" s="3" t="s">
        <v>121</v>
      </c>
      <c r="J30" s="1" t="s">
        <v>3</v>
      </c>
      <c r="K30" s="1" t="s">
        <v>114</v>
      </c>
      <c r="L30" s="4" t="s">
        <v>143</v>
      </c>
      <c r="N30" s="1" t="s">
        <v>3</v>
      </c>
      <c r="O30" s="4" t="s">
        <v>119</v>
      </c>
      <c r="P30" s="4" t="s">
        <v>172</v>
      </c>
      <c r="V30" s="1"/>
      <c r="Z30"/>
    </row>
    <row r="31" spans="1:26" x14ac:dyDescent="0.35">
      <c r="B31" s="3" t="s">
        <v>141</v>
      </c>
      <c r="C31" s="3" t="s">
        <v>141</v>
      </c>
      <c r="D31" s="3" t="s">
        <v>124</v>
      </c>
      <c r="J31" s="1" t="s">
        <v>3</v>
      </c>
      <c r="K31" s="1" t="s">
        <v>114</v>
      </c>
      <c r="L31" s="4" t="s">
        <v>173</v>
      </c>
      <c r="N31" s="1" t="s">
        <v>3</v>
      </c>
      <c r="O31" s="4" t="s">
        <v>119</v>
      </c>
      <c r="P31" s="4" t="s">
        <v>174</v>
      </c>
      <c r="V31" s="1"/>
      <c r="Z31"/>
    </row>
    <row r="32" spans="1:26" x14ac:dyDescent="0.35">
      <c r="B32" s="3" t="s">
        <v>145</v>
      </c>
      <c r="C32" s="3" t="s">
        <v>158</v>
      </c>
      <c r="D32" s="3" t="s">
        <v>127</v>
      </c>
      <c r="J32" s="1" t="s">
        <v>3</v>
      </c>
      <c r="K32" s="1" t="s">
        <v>114</v>
      </c>
      <c r="L32" s="4" t="s">
        <v>124</v>
      </c>
      <c r="N32" s="1" t="s">
        <v>3</v>
      </c>
      <c r="O32" s="4" t="s">
        <v>119</v>
      </c>
      <c r="P32" s="4" t="s">
        <v>175</v>
      </c>
      <c r="V32" s="1"/>
      <c r="Z32"/>
    </row>
    <row r="33" spans="1:26" x14ac:dyDescent="0.35">
      <c r="A33" s="8" t="s">
        <v>176</v>
      </c>
      <c r="B33" s="3" t="s">
        <v>848</v>
      </c>
      <c r="C33" s="3" t="s">
        <v>814</v>
      </c>
      <c r="D33" s="3" t="s">
        <v>809</v>
      </c>
      <c r="J33" s="1" t="s">
        <v>3</v>
      </c>
      <c r="K33" s="1" t="s">
        <v>114</v>
      </c>
      <c r="L33" s="4" t="s">
        <v>151</v>
      </c>
      <c r="N33" s="1" t="s">
        <v>3</v>
      </c>
      <c r="O33" s="4" t="s">
        <v>119</v>
      </c>
      <c r="P33" s="4" t="s">
        <v>177</v>
      </c>
      <c r="V33" s="1"/>
      <c r="Z33"/>
    </row>
    <row r="34" spans="1:26" x14ac:dyDescent="0.35">
      <c r="B34" s="3" t="s">
        <v>812</v>
      </c>
      <c r="C34" s="3" t="s">
        <v>816</v>
      </c>
      <c r="D34" s="3" t="s">
        <v>810</v>
      </c>
      <c r="J34" s="1" t="s">
        <v>3</v>
      </c>
      <c r="K34" s="1" t="s">
        <v>114</v>
      </c>
      <c r="L34" s="4" t="s">
        <v>154</v>
      </c>
      <c r="N34" s="1" t="s">
        <v>3</v>
      </c>
      <c r="O34" s="4" t="s">
        <v>119</v>
      </c>
      <c r="P34" s="4" t="s">
        <v>178</v>
      </c>
      <c r="V34" s="1"/>
      <c r="Z34"/>
    </row>
    <row r="35" spans="1:26" x14ac:dyDescent="0.35">
      <c r="B35" s="3" t="s">
        <v>813</v>
      </c>
      <c r="C35" s="3" t="s">
        <v>815</v>
      </c>
      <c r="D35" s="3" t="s">
        <v>811</v>
      </c>
      <c r="J35" s="1" t="s">
        <v>3</v>
      </c>
      <c r="K35" s="1" t="s">
        <v>114</v>
      </c>
      <c r="L35" s="4" t="s">
        <v>156</v>
      </c>
      <c r="N35" s="1" t="s">
        <v>3</v>
      </c>
      <c r="O35" s="4" t="s">
        <v>119</v>
      </c>
      <c r="P35" s="4" t="s">
        <v>179</v>
      </c>
      <c r="V35" s="1"/>
      <c r="Z35"/>
    </row>
    <row r="36" spans="1:26" x14ac:dyDescent="0.35">
      <c r="B36" s="80" t="s">
        <v>868</v>
      </c>
      <c r="C36" s="80" t="s">
        <v>869</v>
      </c>
      <c r="D36" s="80" t="s">
        <v>866</v>
      </c>
      <c r="L36" s="4"/>
      <c r="O36" s="4"/>
      <c r="P36" s="4"/>
      <c r="V36" s="1"/>
      <c r="Z36"/>
    </row>
    <row r="37" spans="1:26" x14ac:dyDescent="0.35">
      <c r="A37" s="7" t="s">
        <v>20</v>
      </c>
      <c r="B37" s="3" t="s">
        <v>180</v>
      </c>
      <c r="C37" s="3" t="s">
        <v>181</v>
      </c>
      <c r="D37" s="3" t="s">
        <v>111</v>
      </c>
      <c r="J37" s="1" t="s">
        <v>3</v>
      </c>
      <c r="K37" s="1" t="s">
        <v>114</v>
      </c>
      <c r="L37" s="4" t="s">
        <v>159</v>
      </c>
      <c r="N37" s="1" t="s">
        <v>3</v>
      </c>
      <c r="O37" s="4" t="s">
        <v>119</v>
      </c>
      <c r="P37" s="4" t="s">
        <v>182</v>
      </c>
      <c r="V37" s="1"/>
      <c r="Z37"/>
    </row>
    <row r="38" spans="1:26" x14ac:dyDescent="0.35">
      <c r="B38" s="3" t="s">
        <v>183</v>
      </c>
      <c r="C38" s="3" t="s">
        <v>184</v>
      </c>
      <c r="D38" s="3" t="s">
        <v>116</v>
      </c>
      <c r="J38" s="1" t="s">
        <v>3</v>
      </c>
      <c r="K38" s="1" t="s">
        <v>114</v>
      </c>
      <c r="L38" s="4" t="s">
        <v>161</v>
      </c>
      <c r="N38" s="1" t="s">
        <v>3</v>
      </c>
      <c r="O38" s="4" t="s">
        <v>116</v>
      </c>
      <c r="P38" s="4" t="s">
        <v>185</v>
      </c>
      <c r="V38" s="1"/>
      <c r="Z38"/>
    </row>
    <row r="39" spans="1:26" x14ac:dyDescent="0.35">
      <c r="B39" s="3" t="s">
        <v>186</v>
      </c>
      <c r="C39" s="3" t="s">
        <v>187</v>
      </c>
      <c r="D39" s="3" t="s">
        <v>119</v>
      </c>
      <c r="J39" s="1" t="s">
        <v>3</v>
      </c>
      <c r="K39" s="1" t="s">
        <v>114</v>
      </c>
      <c r="L39" s="4" t="s">
        <v>163</v>
      </c>
      <c r="N39" s="1" t="s">
        <v>3</v>
      </c>
      <c r="O39" s="4" t="s">
        <v>116</v>
      </c>
      <c r="P39" s="4" t="s">
        <v>188</v>
      </c>
      <c r="V39" s="1"/>
      <c r="Z39"/>
    </row>
    <row r="40" spans="1:26" x14ac:dyDescent="0.35">
      <c r="B40" s="3" t="s">
        <v>189</v>
      </c>
      <c r="C40" s="3" t="s">
        <v>190</v>
      </c>
      <c r="D40" s="3" t="s">
        <v>122</v>
      </c>
      <c r="J40" s="1" t="s">
        <v>3</v>
      </c>
      <c r="K40" s="1" t="s">
        <v>114</v>
      </c>
      <c r="L40" s="4" t="s">
        <v>166</v>
      </c>
      <c r="N40" s="1" t="s">
        <v>3</v>
      </c>
      <c r="O40" s="4" t="s">
        <v>116</v>
      </c>
      <c r="P40" s="4" t="s">
        <v>191</v>
      </c>
      <c r="V40" s="1"/>
      <c r="Z40"/>
    </row>
    <row r="41" spans="1:26" x14ac:dyDescent="0.35">
      <c r="B41" s="3" t="s">
        <v>192</v>
      </c>
      <c r="C41" s="3" t="s">
        <v>193</v>
      </c>
      <c r="D41" s="3" t="s">
        <v>125</v>
      </c>
      <c r="J41" s="1" t="s">
        <v>3</v>
      </c>
      <c r="K41" s="1" t="s">
        <v>114</v>
      </c>
      <c r="L41" s="4" t="s">
        <v>168</v>
      </c>
      <c r="N41" s="1" t="s">
        <v>3</v>
      </c>
      <c r="O41" s="4" t="s">
        <v>116</v>
      </c>
      <c r="P41" s="4" t="s">
        <v>194</v>
      </c>
      <c r="V41" s="1"/>
      <c r="Z41"/>
    </row>
    <row r="42" spans="1:26" x14ac:dyDescent="0.35">
      <c r="B42" s="3" t="s">
        <v>195</v>
      </c>
      <c r="C42" s="3" t="s">
        <v>196</v>
      </c>
      <c r="D42" s="3" t="s">
        <v>128</v>
      </c>
      <c r="J42" s="1" t="s">
        <v>3</v>
      </c>
      <c r="K42" s="1" t="s">
        <v>118</v>
      </c>
      <c r="L42" s="4" t="s">
        <v>197</v>
      </c>
      <c r="N42" s="1" t="s">
        <v>3</v>
      </c>
      <c r="O42" s="4" t="s">
        <v>116</v>
      </c>
      <c r="P42" s="4" t="s">
        <v>198</v>
      </c>
      <c r="V42" s="1"/>
      <c r="Z42"/>
    </row>
    <row r="43" spans="1:26" x14ac:dyDescent="0.35">
      <c r="B43" s="3" t="s">
        <v>199</v>
      </c>
      <c r="C43" s="3" t="s">
        <v>200</v>
      </c>
      <c r="D43" s="3" t="s">
        <v>131</v>
      </c>
      <c r="J43" s="1" t="s">
        <v>3</v>
      </c>
      <c r="K43" s="1" t="s">
        <v>118</v>
      </c>
      <c r="L43" s="4" t="s">
        <v>143</v>
      </c>
      <c r="N43" s="1" t="s">
        <v>3</v>
      </c>
      <c r="O43" s="4" t="s">
        <v>116</v>
      </c>
      <c r="P43" s="4" t="s">
        <v>201</v>
      </c>
      <c r="V43" s="1"/>
      <c r="Z43"/>
    </row>
    <row r="44" spans="1:26" x14ac:dyDescent="0.35">
      <c r="B44" s="3" t="s">
        <v>202</v>
      </c>
      <c r="C44" s="3" t="s">
        <v>203</v>
      </c>
      <c r="D44" s="3" t="s">
        <v>134</v>
      </c>
      <c r="J44" s="1" t="s">
        <v>3</v>
      </c>
      <c r="K44" s="1" t="s">
        <v>118</v>
      </c>
      <c r="L44" s="4" t="s">
        <v>204</v>
      </c>
      <c r="N44" s="1" t="s">
        <v>3</v>
      </c>
      <c r="O44" s="4" t="s">
        <v>116</v>
      </c>
      <c r="P44" s="4" t="s">
        <v>205</v>
      </c>
      <c r="V44" s="1"/>
      <c r="Z44"/>
    </row>
    <row r="45" spans="1:26" x14ac:dyDescent="0.35">
      <c r="B45" s="3" t="s">
        <v>206</v>
      </c>
      <c r="C45" s="3" t="s">
        <v>207</v>
      </c>
      <c r="D45" s="3" t="s">
        <v>112</v>
      </c>
      <c r="J45" s="1" t="s">
        <v>3</v>
      </c>
      <c r="K45" s="1" t="s">
        <v>118</v>
      </c>
      <c r="L45" s="4" t="s">
        <v>208</v>
      </c>
      <c r="N45" s="1" t="s">
        <v>3</v>
      </c>
      <c r="O45" s="4" t="s">
        <v>116</v>
      </c>
      <c r="P45" s="4" t="s">
        <v>209</v>
      </c>
      <c r="V45" s="1"/>
      <c r="Z45"/>
    </row>
    <row r="46" spans="1:26" x14ac:dyDescent="0.35">
      <c r="B46" s="3" t="s">
        <v>210</v>
      </c>
      <c r="C46" s="3" t="s">
        <v>211</v>
      </c>
      <c r="D46" s="3" t="s">
        <v>139</v>
      </c>
      <c r="J46" s="1" t="s">
        <v>3</v>
      </c>
      <c r="K46" s="1" t="s">
        <v>118</v>
      </c>
      <c r="L46" s="4" t="s">
        <v>151</v>
      </c>
      <c r="N46" s="1" t="s">
        <v>3</v>
      </c>
      <c r="O46" s="4" t="s">
        <v>116</v>
      </c>
      <c r="P46" s="4" t="s">
        <v>212</v>
      </c>
      <c r="V46" s="1"/>
      <c r="Z46"/>
    </row>
    <row r="47" spans="1:26" x14ac:dyDescent="0.35">
      <c r="B47" s="3" t="s">
        <v>213</v>
      </c>
      <c r="C47" s="3" t="s">
        <v>214</v>
      </c>
      <c r="D47" s="3" t="s">
        <v>143</v>
      </c>
      <c r="J47" s="1" t="s">
        <v>3</v>
      </c>
      <c r="K47" s="1" t="s">
        <v>118</v>
      </c>
      <c r="L47" s="4" t="s">
        <v>154</v>
      </c>
      <c r="N47" s="1" t="s">
        <v>3</v>
      </c>
      <c r="O47" s="4" t="s">
        <v>116</v>
      </c>
      <c r="P47" s="4" t="s">
        <v>215</v>
      </c>
      <c r="V47" s="1"/>
      <c r="Z47"/>
    </row>
    <row r="48" spans="1:26" x14ac:dyDescent="0.35">
      <c r="B48" s="3" t="s">
        <v>216</v>
      </c>
      <c r="C48" s="3" t="s">
        <v>217</v>
      </c>
      <c r="D48" s="3" t="s">
        <v>146</v>
      </c>
      <c r="J48" s="1" t="s">
        <v>3</v>
      </c>
      <c r="K48" s="1" t="s">
        <v>118</v>
      </c>
      <c r="L48" s="4" t="s">
        <v>156</v>
      </c>
      <c r="N48" s="1" t="s">
        <v>3</v>
      </c>
      <c r="O48" s="4" t="s">
        <v>116</v>
      </c>
      <c r="P48" s="4" t="s">
        <v>218</v>
      </c>
      <c r="V48" s="1"/>
      <c r="Z48"/>
    </row>
    <row r="49" spans="1:26" x14ac:dyDescent="0.35">
      <c r="B49" s="3" t="s">
        <v>141</v>
      </c>
      <c r="C49" s="3" t="s">
        <v>141</v>
      </c>
      <c r="D49" s="3" t="s">
        <v>124</v>
      </c>
      <c r="J49" s="1" t="s">
        <v>3</v>
      </c>
      <c r="K49" s="1" t="s">
        <v>118</v>
      </c>
      <c r="L49" s="4" t="s">
        <v>159</v>
      </c>
      <c r="N49" s="1" t="s">
        <v>3</v>
      </c>
      <c r="O49" s="4" t="s">
        <v>116</v>
      </c>
      <c r="P49" s="4" t="s">
        <v>219</v>
      </c>
      <c r="V49" s="1"/>
      <c r="Z49"/>
    </row>
    <row r="50" spans="1:26" x14ac:dyDescent="0.35">
      <c r="B50" s="3" t="s">
        <v>220</v>
      </c>
      <c r="C50" s="3" t="s">
        <v>221</v>
      </c>
      <c r="D50" s="3" t="s">
        <v>149</v>
      </c>
      <c r="J50" s="1" t="s">
        <v>3</v>
      </c>
      <c r="K50" s="1" t="s">
        <v>118</v>
      </c>
      <c r="L50" s="4" t="s">
        <v>161</v>
      </c>
      <c r="N50" s="1" t="s">
        <v>3</v>
      </c>
      <c r="O50" s="4" t="s">
        <v>122</v>
      </c>
      <c r="P50" s="4" t="s">
        <v>222</v>
      </c>
      <c r="V50" s="1"/>
      <c r="Z50"/>
    </row>
    <row r="51" spans="1:26" x14ac:dyDescent="0.35">
      <c r="B51" s="3" t="s">
        <v>223</v>
      </c>
      <c r="C51" s="3" t="s">
        <v>224</v>
      </c>
      <c r="D51" s="3" t="s">
        <v>151</v>
      </c>
      <c r="J51" s="1" t="s">
        <v>3</v>
      </c>
      <c r="K51" s="1" t="s">
        <v>118</v>
      </c>
      <c r="L51" s="4" t="s">
        <v>163</v>
      </c>
      <c r="N51" s="1" t="s">
        <v>3</v>
      </c>
      <c r="O51" s="4" t="s">
        <v>122</v>
      </c>
      <c r="P51" s="4" t="s">
        <v>225</v>
      </c>
      <c r="V51" s="1"/>
      <c r="Z51"/>
    </row>
    <row r="52" spans="1:26" x14ac:dyDescent="0.35">
      <c r="B52" s="3" t="s">
        <v>226</v>
      </c>
      <c r="C52" s="3" t="s">
        <v>227</v>
      </c>
      <c r="D52" s="3" t="s">
        <v>154</v>
      </c>
      <c r="J52" s="1" t="s">
        <v>3</v>
      </c>
      <c r="K52" s="1" t="s">
        <v>118</v>
      </c>
      <c r="L52" s="4" t="s">
        <v>166</v>
      </c>
      <c r="N52" s="1" t="s">
        <v>3</v>
      </c>
      <c r="O52" s="4" t="s">
        <v>122</v>
      </c>
      <c r="P52" s="4" t="s">
        <v>228</v>
      </c>
      <c r="V52" s="1"/>
      <c r="Z52"/>
    </row>
    <row r="53" spans="1:26" x14ac:dyDescent="0.35">
      <c r="B53" s="3" t="s">
        <v>229</v>
      </c>
      <c r="C53" s="3" t="s">
        <v>230</v>
      </c>
      <c r="D53" s="3" t="s">
        <v>156</v>
      </c>
      <c r="J53" s="1" t="s">
        <v>3</v>
      </c>
      <c r="K53" s="1" t="s">
        <v>118</v>
      </c>
      <c r="L53" s="4" t="s">
        <v>168</v>
      </c>
      <c r="N53" s="1" t="s">
        <v>3</v>
      </c>
      <c r="O53" s="4" t="s">
        <v>122</v>
      </c>
      <c r="P53" s="4" t="s">
        <v>231</v>
      </c>
      <c r="V53" s="1"/>
      <c r="Z53"/>
    </row>
    <row r="54" spans="1:26" x14ac:dyDescent="0.35">
      <c r="B54" s="3" t="s">
        <v>232</v>
      </c>
      <c r="C54" s="3" t="s">
        <v>233</v>
      </c>
      <c r="D54" s="3" t="s">
        <v>159</v>
      </c>
      <c r="J54" s="1" t="s">
        <v>3</v>
      </c>
      <c r="K54" s="1" t="s">
        <v>124</v>
      </c>
      <c r="L54" s="4" t="s">
        <v>111</v>
      </c>
      <c r="N54" s="1" t="s">
        <v>3</v>
      </c>
      <c r="O54" s="4" t="s">
        <v>122</v>
      </c>
      <c r="P54" s="4" t="s">
        <v>234</v>
      </c>
      <c r="V54" s="1"/>
      <c r="Z54"/>
    </row>
    <row r="55" spans="1:26" x14ac:dyDescent="0.35">
      <c r="B55" s="3" t="s">
        <v>235</v>
      </c>
      <c r="C55" s="3" t="s">
        <v>236</v>
      </c>
      <c r="D55" s="3" t="s">
        <v>161</v>
      </c>
      <c r="J55" s="1" t="s">
        <v>3</v>
      </c>
      <c r="K55" s="1" t="s">
        <v>124</v>
      </c>
      <c r="L55" s="4" t="s">
        <v>116</v>
      </c>
      <c r="N55" s="1" t="s">
        <v>3</v>
      </c>
      <c r="O55" s="4" t="s">
        <v>122</v>
      </c>
      <c r="P55" s="4" t="s">
        <v>237</v>
      </c>
      <c r="V55" s="1"/>
      <c r="Z55"/>
    </row>
    <row r="56" spans="1:26" x14ac:dyDescent="0.35">
      <c r="B56" s="3" t="s">
        <v>238</v>
      </c>
      <c r="C56" s="3" t="s">
        <v>239</v>
      </c>
      <c r="D56" s="3" t="s">
        <v>163</v>
      </c>
      <c r="J56" s="1" t="s">
        <v>3</v>
      </c>
      <c r="K56" s="1" t="s">
        <v>124</v>
      </c>
      <c r="L56" s="4" t="s">
        <v>119</v>
      </c>
      <c r="N56" s="1" t="s">
        <v>3</v>
      </c>
      <c r="O56" s="4" t="s">
        <v>122</v>
      </c>
      <c r="P56" s="4" t="s">
        <v>240</v>
      </c>
      <c r="V56" s="1"/>
      <c r="Z56"/>
    </row>
    <row r="57" spans="1:26" x14ac:dyDescent="0.35">
      <c r="B57" s="3" t="s">
        <v>241</v>
      </c>
      <c r="C57" s="3" t="s">
        <v>242</v>
      </c>
      <c r="D57" s="3" t="s">
        <v>166</v>
      </c>
      <c r="J57" s="1" t="s">
        <v>3</v>
      </c>
      <c r="K57" s="1" t="s">
        <v>124</v>
      </c>
      <c r="L57" s="4" t="s">
        <v>122</v>
      </c>
      <c r="N57" s="1" t="s">
        <v>3</v>
      </c>
      <c r="O57" s="4" t="s">
        <v>122</v>
      </c>
      <c r="P57" s="4" t="s">
        <v>243</v>
      </c>
      <c r="V57" s="1"/>
      <c r="Z57"/>
    </row>
    <row r="58" spans="1:26" x14ac:dyDescent="0.35">
      <c r="B58" s="3" t="s">
        <v>244</v>
      </c>
      <c r="C58" s="3" t="s">
        <v>245</v>
      </c>
      <c r="D58" s="3" t="s">
        <v>168</v>
      </c>
      <c r="J58" s="1" t="s">
        <v>3</v>
      </c>
      <c r="K58" s="1" t="s">
        <v>124</v>
      </c>
      <c r="L58" s="4" t="s">
        <v>125</v>
      </c>
      <c r="N58" s="1" t="s">
        <v>3</v>
      </c>
      <c r="O58" s="4" t="s">
        <v>122</v>
      </c>
      <c r="P58" s="4" t="s">
        <v>246</v>
      </c>
      <c r="V58" s="1"/>
      <c r="Z58"/>
    </row>
    <row r="59" spans="1:26" x14ac:dyDescent="0.35">
      <c r="B59" s="3" t="s">
        <v>247</v>
      </c>
      <c r="C59" s="3" t="s">
        <v>248</v>
      </c>
      <c r="D59" s="3" t="s">
        <v>170</v>
      </c>
      <c r="J59" s="1" t="s">
        <v>3</v>
      </c>
      <c r="K59" s="1" t="s">
        <v>124</v>
      </c>
      <c r="L59" s="4" t="s">
        <v>128</v>
      </c>
      <c r="N59" s="1" t="s">
        <v>3</v>
      </c>
      <c r="O59" s="4" t="s">
        <v>122</v>
      </c>
      <c r="P59" s="4" t="s">
        <v>249</v>
      </c>
      <c r="V59" s="1"/>
      <c r="Z59"/>
    </row>
    <row r="60" spans="1:26" x14ac:dyDescent="0.35">
      <c r="B60" s="9" t="s">
        <v>250</v>
      </c>
      <c r="C60" s="3" t="s">
        <v>251</v>
      </c>
      <c r="D60" s="3" t="s">
        <v>173</v>
      </c>
      <c r="J60" s="1" t="s">
        <v>3</v>
      </c>
      <c r="K60" s="1" t="s">
        <v>124</v>
      </c>
      <c r="L60" s="4" t="s">
        <v>170</v>
      </c>
      <c r="N60" s="1" t="s">
        <v>3</v>
      </c>
      <c r="O60" s="4" t="s">
        <v>122</v>
      </c>
      <c r="P60" s="4" t="s">
        <v>252</v>
      </c>
      <c r="V60" s="1"/>
      <c r="Z60"/>
    </row>
    <row r="61" spans="1:26" x14ac:dyDescent="0.35">
      <c r="B61" s="9" t="s">
        <v>253</v>
      </c>
      <c r="C61" s="3" t="s">
        <v>254</v>
      </c>
      <c r="D61" s="3" t="s">
        <v>197</v>
      </c>
      <c r="J61" s="1" t="s">
        <v>3</v>
      </c>
      <c r="K61" s="1" t="s">
        <v>124</v>
      </c>
      <c r="L61" s="4" t="s">
        <v>131</v>
      </c>
      <c r="N61" s="1" t="s">
        <v>3</v>
      </c>
      <c r="O61" s="4" t="s">
        <v>125</v>
      </c>
      <c r="P61" s="4" t="s">
        <v>255</v>
      </c>
      <c r="V61" s="1"/>
      <c r="Z61"/>
    </row>
    <row r="62" spans="1:26" x14ac:dyDescent="0.35">
      <c r="B62" s="9" t="s">
        <v>256</v>
      </c>
      <c r="C62" s="3" t="s">
        <v>257</v>
      </c>
      <c r="D62" s="3" t="s">
        <v>204</v>
      </c>
      <c r="J62" s="1" t="s">
        <v>3</v>
      </c>
      <c r="K62" s="1" t="s">
        <v>124</v>
      </c>
      <c r="L62" s="4" t="s">
        <v>134</v>
      </c>
      <c r="N62" s="1" t="s">
        <v>3</v>
      </c>
      <c r="O62" s="4" t="s">
        <v>125</v>
      </c>
      <c r="P62" s="4" t="s">
        <v>258</v>
      </c>
      <c r="V62" s="1"/>
      <c r="Z62"/>
    </row>
    <row r="63" spans="1:26" x14ac:dyDescent="0.35">
      <c r="B63" s="9" t="s">
        <v>259</v>
      </c>
      <c r="C63" s="3" t="s">
        <v>260</v>
      </c>
      <c r="D63" s="3" t="s">
        <v>208</v>
      </c>
      <c r="J63" s="1" t="s">
        <v>3</v>
      </c>
      <c r="K63" s="1" t="s">
        <v>124</v>
      </c>
      <c r="L63" s="4" t="s">
        <v>112</v>
      </c>
      <c r="N63" s="1" t="s">
        <v>3</v>
      </c>
      <c r="O63" s="4" t="s">
        <v>125</v>
      </c>
      <c r="P63" s="4" t="s">
        <v>261</v>
      </c>
      <c r="V63" s="1"/>
      <c r="Z63"/>
    </row>
    <row r="64" spans="1:26" x14ac:dyDescent="0.35">
      <c r="A64" s="7" t="s">
        <v>32</v>
      </c>
      <c r="B64" s="3" t="s">
        <v>262</v>
      </c>
      <c r="C64" s="3" t="s">
        <v>263</v>
      </c>
      <c r="D64" s="3" t="s">
        <v>113</v>
      </c>
      <c r="J64" s="1" t="s">
        <v>3</v>
      </c>
      <c r="K64" s="1" t="s">
        <v>124</v>
      </c>
      <c r="L64" s="4" t="s">
        <v>139</v>
      </c>
      <c r="N64" s="1" t="s">
        <v>3</v>
      </c>
      <c r="O64" s="4" t="s">
        <v>125</v>
      </c>
      <c r="P64" s="4" t="s">
        <v>264</v>
      </c>
      <c r="V64" s="1"/>
      <c r="Z64"/>
    </row>
    <row r="65" spans="2:26" x14ac:dyDescent="0.35">
      <c r="B65" s="3" t="s">
        <v>265</v>
      </c>
      <c r="C65" s="3" t="s">
        <v>266</v>
      </c>
      <c r="D65" s="3" t="s">
        <v>117</v>
      </c>
      <c r="J65" s="1" t="s">
        <v>3</v>
      </c>
      <c r="K65" s="1" t="s">
        <v>124</v>
      </c>
      <c r="L65" s="4" t="s">
        <v>143</v>
      </c>
      <c r="N65" s="1" t="s">
        <v>3</v>
      </c>
      <c r="O65" s="4" t="s">
        <v>125</v>
      </c>
      <c r="P65" s="4" t="s">
        <v>267</v>
      </c>
      <c r="V65" s="1"/>
      <c r="Z65"/>
    </row>
    <row r="66" spans="2:26" x14ac:dyDescent="0.35">
      <c r="B66" s="3" t="s">
        <v>268</v>
      </c>
      <c r="C66" s="3" t="s">
        <v>269</v>
      </c>
      <c r="D66" s="3" t="s">
        <v>120</v>
      </c>
      <c r="J66" s="1" t="s">
        <v>3</v>
      </c>
      <c r="K66" s="1" t="s">
        <v>124</v>
      </c>
      <c r="L66" s="4" t="s">
        <v>146</v>
      </c>
      <c r="N66" s="1" t="s">
        <v>3</v>
      </c>
      <c r="O66" s="4" t="s">
        <v>125</v>
      </c>
      <c r="P66" s="4" t="s">
        <v>270</v>
      </c>
      <c r="V66" s="1"/>
      <c r="Z66"/>
    </row>
    <row r="67" spans="2:26" x14ac:dyDescent="0.35">
      <c r="B67" s="3" t="s">
        <v>271</v>
      </c>
      <c r="C67" s="3" t="s">
        <v>272</v>
      </c>
      <c r="D67" s="3" t="s">
        <v>123</v>
      </c>
      <c r="J67" s="1" t="s">
        <v>3</v>
      </c>
      <c r="K67" s="1" t="s">
        <v>124</v>
      </c>
      <c r="L67" s="4" t="s">
        <v>173</v>
      </c>
      <c r="N67" s="1" t="s">
        <v>3</v>
      </c>
      <c r="O67" s="4" t="s">
        <v>125</v>
      </c>
      <c r="P67" s="4" t="s">
        <v>273</v>
      </c>
      <c r="V67" s="1"/>
      <c r="Z67"/>
    </row>
    <row r="68" spans="2:26" x14ac:dyDescent="0.35">
      <c r="B68" s="3" t="s">
        <v>274</v>
      </c>
      <c r="C68" s="3" t="s">
        <v>275</v>
      </c>
      <c r="D68" s="3" t="s">
        <v>126</v>
      </c>
      <c r="J68" s="1" t="s">
        <v>3</v>
      </c>
      <c r="K68" s="1" t="s">
        <v>124</v>
      </c>
      <c r="L68" s="4" t="s">
        <v>124</v>
      </c>
      <c r="N68" s="1" t="s">
        <v>3</v>
      </c>
      <c r="O68" s="4" t="s">
        <v>125</v>
      </c>
      <c r="P68" s="4" t="s">
        <v>276</v>
      </c>
      <c r="V68" s="1"/>
      <c r="Z68"/>
    </row>
    <row r="69" spans="2:26" x14ac:dyDescent="0.35">
      <c r="B69" s="3" t="s">
        <v>277</v>
      </c>
      <c r="C69" s="3" t="s">
        <v>278</v>
      </c>
      <c r="D69" s="3" t="s">
        <v>129</v>
      </c>
      <c r="J69" s="1" t="s">
        <v>3</v>
      </c>
      <c r="K69" s="1" t="s">
        <v>124</v>
      </c>
      <c r="L69" s="4" t="s">
        <v>149</v>
      </c>
      <c r="N69" s="1" t="s">
        <v>3</v>
      </c>
      <c r="O69" s="4" t="s">
        <v>125</v>
      </c>
      <c r="P69" s="4" t="s">
        <v>279</v>
      </c>
      <c r="V69" s="1"/>
      <c r="Z69"/>
    </row>
    <row r="70" spans="2:26" x14ac:dyDescent="0.35">
      <c r="B70" s="3" t="s">
        <v>280</v>
      </c>
      <c r="C70" s="3" t="s">
        <v>281</v>
      </c>
      <c r="D70" s="3" t="s">
        <v>132</v>
      </c>
      <c r="J70" s="1" t="s">
        <v>3</v>
      </c>
      <c r="K70" s="1" t="s">
        <v>124</v>
      </c>
      <c r="L70" s="4" t="s">
        <v>151</v>
      </c>
      <c r="N70" s="1" t="s">
        <v>3</v>
      </c>
      <c r="O70" s="4" t="s">
        <v>125</v>
      </c>
      <c r="P70" s="4" t="s">
        <v>282</v>
      </c>
      <c r="V70" s="1"/>
      <c r="Z70"/>
    </row>
    <row r="71" spans="2:26" x14ac:dyDescent="0.35">
      <c r="B71" s="3" t="s">
        <v>283</v>
      </c>
      <c r="C71" s="3" t="s">
        <v>284</v>
      </c>
      <c r="D71" s="3" t="s">
        <v>135</v>
      </c>
      <c r="J71" s="1" t="s">
        <v>3</v>
      </c>
      <c r="K71" s="1" t="s">
        <v>124</v>
      </c>
      <c r="L71" s="4" t="s">
        <v>154</v>
      </c>
      <c r="N71" s="1" t="s">
        <v>3</v>
      </c>
      <c r="O71" s="4" t="s">
        <v>139</v>
      </c>
      <c r="P71" s="4" t="s">
        <v>285</v>
      </c>
      <c r="V71" s="1"/>
      <c r="Z71"/>
    </row>
    <row r="72" spans="2:26" x14ac:dyDescent="0.35">
      <c r="B72" s="3" t="s">
        <v>286</v>
      </c>
      <c r="C72" s="3" t="s">
        <v>287</v>
      </c>
      <c r="D72" s="3" t="s">
        <v>137</v>
      </c>
      <c r="J72" s="1" t="s">
        <v>3</v>
      </c>
      <c r="K72" s="1" t="s">
        <v>124</v>
      </c>
      <c r="L72" s="4" t="s">
        <v>156</v>
      </c>
      <c r="N72" s="1" t="s">
        <v>3</v>
      </c>
      <c r="O72" s="4" t="s">
        <v>139</v>
      </c>
      <c r="P72" s="4" t="s">
        <v>288</v>
      </c>
      <c r="V72" s="1"/>
      <c r="Z72"/>
    </row>
    <row r="73" spans="2:26" x14ac:dyDescent="0.35">
      <c r="B73" s="3" t="s">
        <v>286</v>
      </c>
      <c r="C73" s="3" t="s">
        <v>289</v>
      </c>
      <c r="D73" s="3" t="s">
        <v>140</v>
      </c>
      <c r="J73" s="1" t="s">
        <v>3</v>
      </c>
      <c r="K73" s="1" t="s">
        <v>124</v>
      </c>
      <c r="L73" s="4" t="s">
        <v>159</v>
      </c>
      <c r="N73" s="1" t="s">
        <v>3</v>
      </c>
      <c r="O73" s="4" t="s">
        <v>139</v>
      </c>
      <c r="P73" s="4" t="s">
        <v>290</v>
      </c>
      <c r="V73" s="1"/>
      <c r="Z73"/>
    </row>
    <row r="74" spans="2:26" x14ac:dyDescent="0.35">
      <c r="B74" s="3" t="s">
        <v>291</v>
      </c>
      <c r="C74" s="3" t="s">
        <v>292</v>
      </c>
      <c r="D74" s="3" t="s">
        <v>144</v>
      </c>
      <c r="J74" s="1" t="s">
        <v>3</v>
      </c>
      <c r="K74" s="1" t="s">
        <v>124</v>
      </c>
      <c r="L74" s="4" t="s">
        <v>161</v>
      </c>
      <c r="N74" s="1" t="s">
        <v>3</v>
      </c>
      <c r="O74" s="4" t="s">
        <v>139</v>
      </c>
      <c r="P74" s="4" t="s">
        <v>293</v>
      </c>
      <c r="V74" s="1"/>
      <c r="Z74"/>
    </row>
    <row r="75" spans="2:26" x14ac:dyDescent="0.35">
      <c r="B75" s="3" t="s">
        <v>294</v>
      </c>
      <c r="C75" s="3" t="s">
        <v>295</v>
      </c>
      <c r="D75" s="3" t="s">
        <v>147</v>
      </c>
      <c r="J75" s="1" t="s">
        <v>3</v>
      </c>
      <c r="K75" s="1" t="s">
        <v>124</v>
      </c>
      <c r="L75" s="4" t="s">
        <v>163</v>
      </c>
      <c r="N75" s="1" t="s">
        <v>3</v>
      </c>
      <c r="O75" s="4" t="s">
        <v>139</v>
      </c>
      <c r="P75" s="4" t="s">
        <v>296</v>
      </c>
      <c r="V75" s="1"/>
      <c r="Z75"/>
    </row>
    <row r="76" spans="2:26" x14ac:dyDescent="0.35">
      <c r="B76" s="3" t="s">
        <v>297</v>
      </c>
      <c r="C76" s="3" t="s">
        <v>298</v>
      </c>
      <c r="D76" s="3" t="s">
        <v>148</v>
      </c>
      <c r="J76" s="1" t="s">
        <v>3</v>
      </c>
      <c r="K76" s="1" t="s">
        <v>124</v>
      </c>
      <c r="L76" s="4" t="s">
        <v>166</v>
      </c>
      <c r="N76" s="1" t="s">
        <v>3</v>
      </c>
      <c r="O76" s="4" t="s">
        <v>134</v>
      </c>
      <c r="P76" s="4" t="s">
        <v>299</v>
      </c>
      <c r="V76" s="1"/>
      <c r="Z76"/>
    </row>
    <row r="77" spans="2:26" x14ac:dyDescent="0.35">
      <c r="B77" s="3" t="s">
        <v>300</v>
      </c>
      <c r="C77" s="3" t="s">
        <v>301</v>
      </c>
      <c r="D77" s="3" t="s">
        <v>150</v>
      </c>
      <c r="J77" s="1" t="s">
        <v>3</v>
      </c>
      <c r="K77" s="1" t="s">
        <v>124</v>
      </c>
      <c r="L77" s="4" t="s">
        <v>168</v>
      </c>
      <c r="N77" s="1" t="s">
        <v>3</v>
      </c>
      <c r="O77" s="4" t="s">
        <v>134</v>
      </c>
      <c r="P77" s="4" t="s">
        <v>302</v>
      </c>
      <c r="V77" s="1"/>
      <c r="Z77"/>
    </row>
    <row r="78" spans="2:26" x14ac:dyDescent="0.35">
      <c r="B78" s="3" t="s">
        <v>303</v>
      </c>
      <c r="C78" s="3" t="s">
        <v>304</v>
      </c>
      <c r="D78" s="3" t="s">
        <v>152</v>
      </c>
      <c r="J78" s="1" t="s">
        <v>3</v>
      </c>
      <c r="K78" s="1" t="s">
        <v>127</v>
      </c>
      <c r="L78" s="4" t="s">
        <v>197</v>
      </c>
      <c r="N78" s="1" t="s">
        <v>3</v>
      </c>
      <c r="O78" s="4" t="s">
        <v>134</v>
      </c>
      <c r="P78" s="4" t="s">
        <v>305</v>
      </c>
      <c r="V78" s="1"/>
      <c r="Z78"/>
    </row>
    <row r="79" spans="2:26" x14ac:dyDescent="0.35">
      <c r="B79" s="3" t="s">
        <v>306</v>
      </c>
      <c r="C79" s="3" t="s">
        <v>307</v>
      </c>
      <c r="D79" s="3" t="s">
        <v>155</v>
      </c>
      <c r="J79" s="1" t="s">
        <v>3</v>
      </c>
      <c r="K79" s="1" t="s">
        <v>127</v>
      </c>
      <c r="L79" s="4" t="s">
        <v>111</v>
      </c>
      <c r="N79" s="1" t="s">
        <v>3</v>
      </c>
      <c r="O79" s="4" t="s">
        <v>134</v>
      </c>
      <c r="P79" s="4" t="s">
        <v>308</v>
      </c>
      <c r="V79" s="1"/>
      <c r="Z79"/>
    </row>
    <row r="80" spans="2:26" x14ac:dyDescent="0.35">
      <c r="B80" s="3" t="s">
        <v>309</v>
      </c>
      <c r="C80" s="3" t="s">
        <v>310</v>
      </c>
      <c r="D80" s="3" t="s">
        <v>157</v>
      </c>
      <c r="J80" s="1" t="s">
        <v>3</v>
      </c>
      <c r="K80" s="1" t="s">
        <v>127</v>
      </c>
      <c r="L80" s="4" t="s">
        <v>116</v>
      </c>
      <c r="N80" s="1" t="s">
        <v>3</v>
      </c>
      <c r="O80" s="4" t="s">
        <v>134</v>
      </c>
      <c r="P80" s="4" t="s">
        <v>311</v>
      </c>
      <c r="V80" s="1"/>
      <c r="Z80"/>
    </row>
    <row r="81" spans="2:26" x14ac:dyDescent="0.35">
      <c r="B81" s="3" t="s">
        <v>312</v>
      </c>
      <c r="C81" s="3" t="s">
        <v>313</v>
      </c>
      <c r="D81" s="3" t="s">
        <v>160</v>
      </c>
      <c r="J81" s="1" t="s">
        <v>3</v>
      </c>
      <c r="K81" s="1" t="s">
        <v>127</v>
      </c>
      <c r="L81" s="4" t="s">
        <v>119</v>
      </c>
      <c r="N81" s="1" t="s">
        <v>3</v>
      </c>
      <c r="O81" s="4" t="s">
        <v>134</v>
      </c>
      <c r="P81" s="4" t="s">
        <v>314</v>
      </c>
      <c r="V81" s="1"/>
      <c r="Z81"/>
    </row>
    <row r="82" spans="2:26" x14ac:dyDescent="0.35">
      <c r="B82" s="3" t="s">
        <v>315</v>
      </c>
      <c r="C82" s="3" t="s">
        <v>316</v>
      </c>
      <c r="D82" s="3" t="s">
        <v>162</v>
      </c>
      <c r="J82" s="1" t="s">
        <v>3</v>
      </c>
      <c r="K82" s="1" t="s">
        <v>127</v>
      </c>
      <c r="L82" s="4" t="s">
        <v>122</v>
      </c>
      <c r="N82" s="1" t="s">
        <v>3</v>
      </c>
      <c r="O82" s="4" t="s">
        <v>134</v>
      </c>
      <c r="P82" s="4" t="s">
        <v>317</v>
      </c>
      <c r="V82" s="1"/>
      <c r="Z82"/>
    </row>
    <row r="83" spans="2:26" x14ac:dyDescent="0.35">
      <c r="B83" s="3" t="s">
        <v>318</v>
      </c>
      <c r="C83" s="3" t="s">
        <v>319</v>
      </c>
      <c r="D83" s="3" t="s">
        <v>164</v>
      </c>
      <c r="J83" s="1" t="s">
        <v>3</v>
      </c>
      <c r="K83" s="1" t="s">
        <v>127</v>
      </c>
      <c r="L83" s="4" t="s">
        <v>125</v>
      </c>
      <c r="N83" s="1" t="s">
        <v>3</v>
      </c>
      <c r="O83" s="4" t="s">
        <v>134</v>
      </c>
      <c r="P83" s="4" t="s">
        <v>320</v>
      </c>
      <c r="V83" s="1"/>
      <c r="Z83"/>
    </row>
    <row r="84" spans="2:26" x14ac:dyDescent="0.35">
      <c r="B84" s="3" t="s">
        <v>321</v>
      </c>
      <c r="C84" s="3" t="s">
        <v>322</v>
      </c>
      <c r="D84" s="3" t="s">
        <v>167</v>
      </c>
      <c r="J84" s="1" t="s">
        <v>3</v>
      </c>
      <c r="K84" s="1" t="s">
        <v>127</v>
      </c>
      <c r="L84" s="4" t="s">
        <v>128</v>
      </c>
      <c r="N84" s="1" t="s">
        <v>3</v>
      </c>
      <c r="O84" s="4" t="s">
        <v>134</v>
      </c>
      <c r="P84" s="4" t="s">
        <v>129</v>
      </c>
      <c r="V84" s="1"/>
      <c r="Z84"/>
    </row>
    <row r="85" spans="2:26" x14ac:dyDescent="0.35">
      <c r="B85" s="3" t="s">
        <v>323</v>
      </c>
      <c r="C85" s="3" t="s">
        <v>324</v>
      </c>
      <c r="D85" s="3" t="s">
        <v>169</v>
      </c>
      <c r="J85" s="1" t="s">
        <v>3</v>
      </c>
      <c r="K85" s="1" t="s">
        <v>127</v>
      </c>
      <c r="L85" s="4" t="s">
        <v>170</v>
      </c>
      <c r="N85" s="1" t="s">
        <v>3</v>
      </c>
      <c r="O85" s="4" t="s">
        <v>134</v>
      </c>
      <c r="P85" s="4" t="s">
        <v>325</v>
      </c>
      <c r="V85" s="1"/>
      <c r="Z85"/>
    </row>
    <row r="86" spans="2:26" x14ac:dyDescent="0.35">
      <c r="B86" s="3" t="s">
        <v>326</v>
      </c>
      <c r="C86" s="3" t="s">
        <v>327</v>
      </c>
      <c r="D86" s="3" t="s">
        <v>171</v>
      </c>
      <c r="J86" s="1" t="s">
        <v>3</v>
      </c>
      <c r="K86" s="1" t="s">
        <v>127</v>
      </c>
      <c r="L86" s="4" t="s">
        <v>131</v>
      </c>
      <c r="N86" s="1" t="s">
        <v>3</v>
      </c>
      <c r="O86" s="4" t="s">
        <v>134</v>
      </c>
      <c r="P86" s="4" t="s">
        <v>328</v>
      </c>
      <c r="V86" s="1"/>
      <c r="Z86"/>
    </row>
    <row r="87" spans="2:26" x14ac:dyDescent="0.35">
      <c r="B87" s="3" t="s">
        <v>329</v>
      </c>
      <c r="C87" s="3" t="s">
        <v>330</v>
      </c>
      <c r="D87" s="3" t="s">
        <v>172</v>
      </c>
      <c r="J87" s="1" t="s">
        <v>3</v>
      </c>
      <c r="K87" s="1" t="s">
        <v>127</v>
      </c>
      <c r="L87" s="4" t="s">
        <v>134</v>
      </c>
      <c r="N87" s="1" t="s">
        <v>3</v>
      </c>
      <c r="O87" s="4" t="s">
        <v>131</v>
      </c>
      <c r="P87" s="4" t="s">
        <v>331</v>
      </c>
      <c r="V87" s="1"/>
      <c r="Z87"/>
    </row>
    <row r="88" spans="2:26" x14ac:dyDescent="0.35">
      <c r="B88" s="3" t="s">
        <v>332</v>
      </c>
      <c r="C88" s="3" t="s">
        <v>333</v>
      </c>
      <c r="D88" s="3" t="s">
        <v>174</v>
      </c>
      <c r="J88" s="1" t="s">
        <v>3</v>
      </c>
      <c r="K88" s="1" t="s">
        <v>127</v>
      </c>
      <c r="L88" s="4" t="s">
        <v>112</v>
      </c>
      <c r="N88" s="1" t="s">
        <v>3</v>
      </c>
      <c r="O88" s="4" t="s">
        <v>131</v>
      </c>
      <c r="P88" s="4" t="s">
        <v>334</v>
      </c>
      <c r="V88" s="1"/>
      <c r="Z88"/>
    </row>
    <row r="89" spans="2:26" x14ac:dyDescent="0.35">
      <c r="B89" s="3" t="s">
        <v>335</v>
      </c>
      <c r="C89" s="3" t="s">
        <v>336</v>
      </c>
      <c r="D89" s="3" t="s">
        <v>175</v>
      </c>
      <c r="J89" s="1" t="s">
        <v>3</v>
      </c>
      <c r="K89" s="1" t="s">
        <v>127</v>
      </c>
      <c r="L89" s="4" t="s">
        <v>139</v>
      </c>
      <c r="N89" s="1" t="s">
        <v>3</v>
      </c>
      <c r="O89" s="4" t="s">
        <v>131</v>
      </c>
      <c r="P89" s="4" t="s">
        <v>337</v>
      </c>
      <c r="V89" s="1"/>
      <c r="Z89"/>
    </row>
    <row r="90" spans="2:26" x14ac:dyDescent="0.35">
      <c r="B90" s="3" t="s">
        <v>338</v>
      </c>
      <c r="C90" s="3" t="s">
        <v>339</v>
      </c>
      <c r="D90" s="3" t="s">
        <v>177</v>
      </c>
      <c r="J90" s="1" t="s">
        <v>3</v>
      </c>
      <c r="K90" s="1" t="s">
        <v>127</v>
      </c>
      <c r="L90" s="4" t="s">
        <v>143</v>
      </c>
      <c r="N90" s="1" t="s">
        <v>3</v>
      </c>
      <c r="O90" s="4" t="s">
        <v>131</v>
      </c>
      <c r="P90" s="4" t="s">
        <v>340</v>
      </c>
      <c r="V90" s="1"/>
      <c r="Z90"/>
    </row>
    <row r="91" spans="2:26" x14ac:dyDescent="0.35">
      <c r="B91" s="3" t="s">
        <v>341</v>
      </c>
      <c r="C91" s="3" t="s">
        <v>342</v>
      </c>
      <c r="D91" s="3" t="s">
        <v>178</v>
      </c>
      <c r="J91" s="1" t="s">
        <v>3</v>
      </c>
      <c r="K91" s="1" t="s">
        <v>127</v>
      </c>
      <c r="L91" s="4" t="s">
        <v>146</v>
      </c>
      <c r="N91" s="1" t="s">
        <v>3</v>
      </c>
      <c r="O91" s="4" t="s">
        <v>131</v>
      </c>
      <c r="P91" s="4" t="s">
        <v>343</v>
      </c>
      <c r="V91" s="1"/>
      <c r="Z91"/>
    </row>
    <row r="92" spans="2:26" x14ac:dyDescent="0.35">
      <c r="B92" s="3" t="s">
        <v>344</v>
      </c>
      <c r="C92" s="3" t="s">
        <v>345</v>
      </c>
      <c r="D92" s="3" t="s">
        <v>179</v>
      </c>
      <c r="J92" s="1" t="s">
        <v>3</v>
      </c>
      <c r="K92" s="1" t="s">
        <v>127</v>
      </c>
      <c r="L92" s="4" t="s">
        <v>204</v>
      </c>
      <c r="N92" s="1" t="s">
        <v>3</v>
      </c>
      <c r="O92" s="4" t="s">
        <v>128</v>
      </c>
      <c r="P92" s="4" t="s">
        <v>346</v>
      </c>
      <c r="V92" s="1"/>
      <c r="Z92"/>
    </row>
    <row r="93" spans="2:26" x14ac:dyDescent="0.35">
      <c r="B93" s="3" t="s">
        <v>347</v>
      </c>
      <c r="C93" s="3" t="s">
        <v>348</v>
      </c>
      <c r="D93" s="3" t="s">
        <v>182</v>
      </c>
      <c r="J93" s="1" t="s">
        <v>3</v>
      </c>
      <c r="K93" s="1" t="s">
        <v>127</v>
      </c>
      <c r="L93" s="4" t="s">
        <v>173</v>
      </c>
      <c r="N93" s="1" t="s">
        <v>3</v>
      </c>
      <c r="O93" s="4" t="s">
        <v>149</v>
      </c>
      <c r="P93" s="4" t="s">
        <v>349</v>
      </c>
      <c r="V93" s="1"/>
      <c r="Z93"/>
    </row>
    <row r="94" spans="2:26" x14ac:dyDescent="0.35">
      <c r="B94" s="3" t="s">
        <v>350</v>
      </c>
      <c r="C94" s="3" t="s">
        <v>351</v>
      </c>
      <c r="D94" s="3" t="s">
        <v>185</v>
      </c>
      <c r="J94" s="1" t="s">
        <v>3</v>
      </c>
      <c r="K94" s="1" t="s">
        <v>127</v>
      </c>
      <c r="L94" s="4" t="s">
        <v>124</v>
      </c>
      <c r="N94" s="1" t="s">
        <v>3</v>
      </c>
      <c r="O94" s="4" t="s">
        <v>149</v>
      </c>
      <c r="P94" s="4" t="s">
        <v>352</v>
      </c>
      <c r="V94" s="1"/>
      <c r="Z94"/>
    </row>
    <row r="95" spans="2:26" x14ac:dyDescent="0.35">
      <c r="B95" s="3" t="s">
        <v>353</v>
      </c>
      <c r="C95" s="3" t="s">
        <v>354</v>
      </c>
      <c r="D95" s="3" t="s">
        <v>188</v>
      </c>
      <c r="J95" s="1" t="s">
        <v>3</v>
      </c>
      <c r="K95" s="1" t="s">
        <v>127</v>
      </c>
      <c r="L95" s="4" t="s">
        <v>149</v>
      </c>
      <c r="N95" s="1" t="s">
        <v>3</v>
      </c>
      <c r="O95" s="4" t="s">
        <v>149</v>
      </c>
      <c r="P95" s="4" t="s">
        <v>355</v>
      </c>
      <c r="V95" s="1"/>
      <c r="Z95"/>
    </row>
    <row r="96" spans="2:26" x14ac:dyDescent="0.35">
      <c r="B96" s="3" t="s">
        <v>356</v>
      </c>
      <c r="C96" s="3" t="s">
        <v>357</v>
      </c>
      <c r="D96" s="3" t="s">
        <v>191</v>
      </c>
      <c r="J96" s="1" t="s">
        <v>3</v>
      </c>
      <c r="K96" s="1" t="s">
        <v>127</v>
      </c>
      <c r="L96" s="4" t="s">
        <v>208</v>
      </c>
      <c r="N96" s="1" t="s">
        <v>3</v>
      </c>
      <c r="O96" s="4" t="s">
        <v>149</v>
      </c>
      <c r="P96" s="4" t="s">
        <v>358</v>
      </c>
      <c r="V96" s="1"/>
      <c r="Z96"/>
    </row>
    <row r="97" spans="2:26" x14ac:dyDescent="0.35">
      <c r="B97" s="3" t="s">
        <v>359</v>
      </c>
      <c r="C97" s="3" t="s">
        <v>360</v>
      </c>
      <c r="D97" s="3" t="s">
        <v>194</v>
      </c>
      <c r="J97" s="1" t="s">
        <v>3</v>
      </c>
      <c r="K97" s="1" t="s">
        <v>127</v>
      </c>
      <c r="L97" s="4" t="s">
        <v>151</v>
      </c>
      <c r="N97" s="1" t="s">
        <v>3</v>
      </c>
      <c r="O97" s="4" t="s">
        <v>149</v>
      </c>
      <c r="P97" s="4" t="s">
        <v>361</v>
      </c>
      <c r="V97" s="1"/>
      <c r="Z97"/>
    </row>
    <row r="98" spans="2:26" x14ac:dyDescent="0.35">
      <c r="B98" s="3" t="s">
        <v>362</v>
      </c>
      <c r="C98" s="3" t="s">
        <v>363</v>
      </c>
      <c r="D98" s="3" t="s">
        <v>198</v>
      </c>
      <c r="J98" s="1" t="s">
        <v>3</v>
      </c>
      <c r="K98" s="1" t="s">
        <v>127</v>
      </c>
      <c r="L98" s="4" t="s">
        <v>154</v>
      </c>
      <c r="N98" s="1" t="s">
        <v>3</v>
      </c>
      <c r="O98" s="4" t="s">
        <v>149</v>
      </c>
      <c r="P98" s="4" t="s">
        <v>364</v>
      </c>
      <c r="V98" s="1"/>
      <c r="Z98"/>
    </row>
    <row r="99" spans="2:26" x14ac:dyDescent="0.35">
      <c r="B99" s="3" t="s">
        <v>365</v>
      </c>
      <c r="C99" s="3" t="s">
        <v>366</v>
      </c>
      <c r="D99" s="3" t="s">
        <v>201</v>
      </c>
      <c r="J99" s="1" t="s">
        <v>3</v>
      </c>
      <c r="K99" s="1" t="s">
        <v>127</v>
      </c>
      <c r="L99" s="4" t="s">
        <v>156</v>
      </c>
      <c r="N99" s="1" t="s">
        <v>3</v>
      </c>
      <c r="O99" s="4" t="s">
        <v>149</v>
      </c>
      <c r="P99" s="4" t="s">
        <v>367</v>
      </c>
      <c r="V99" s="1"/>
      <c r="Z99"/>
    </row>
    <row r="100" spans="2:26" x14ac:dyDescent="0.35">
      <c r="B100" s="3" t="s">
        <v>368</v>
      </c>
      <c r="C100" s="3" t="s">
        <v>369</v>
      </c>
      <c r="D100" s="3" t="s">
        <v>205</v>
      </c>
      <c r="J100" s="1" t="s">
        <v>3</v>
      </c>
      <c r="K100" s="1" t="s">
        <v>127</v>
      </c>
      <c r="L100" s="4" t="s">
        <v>159</v>
      </c>
      <c r="N100" s="1" t="s">
        <v>3</v>
      </c>
      <c r="O100" s="4" t="s">
        <v>149</v>
      </c>
      <c r="P100" s="4" t="s">
        <v>370</v>
      </c>
      <c r="V100" s="1"/>
      <c r="Z100"/>
    </row>
    <row r="101" spans="2:26" x14ac:dyDescent="0.35">
      <c r="B101" s="3" t="s">
        <v>371</v>
      </c>
      <c r="C101" s="3" t="s">
        <v>372</v>
      </c>
      <c r="D101" s="3" t="s">
        <v>209</v>
      </c>
      <c r="J101" s="1" t="s">
        <v>3</v>
      </c>
      <c r="K101" s="1" t="s">
        <v>127</v>
      </c>
      <c r="L101" s="4" t="s">
        <v>161</v>
      </c>
      <c r="N101" s="1" t="s">
        <v>3</v>
      </c>
      <c r="O101" s="4" t="s">
        <v>124</v>
      </c>
      <c r="P101" s="4" t="s">
        <v>373</v>
      </c>
      <c r="V101" s="1"/>
      <c r="Z101"/>
    </row>
    <row r="102" spans="2:26" x14ac:dyDescent="0.35">
      <c r="B102" s="3" t="s">
        <v>374</v>
      </c>
      <c r="C102" s="3" t="s">
        <v>375</v>
      </c>
      <c r="D102" s="3" t="s">
        <v>212</v>
      </c>
      <c r="J102" s="1" t="s">
        <v>3</v>
      </c>
      <c r="K102" s="1" t="s">
        <v>127</v>
      </c>
      <c r="L102" s="4" t="s">
        <v>163</v>
      </c>
      <c r="N102" s="1" t="s">
        <v>3</v>
      </c>
      <c r="O102" s="4" t="s">
        <v>124</v>
      </c>
      <c r="P102" s="4" t="s">
        <v>376</v>
      </c>
      <c r="V102" s="1"/>
      <c r="Z102"/>
    </row>
    <row r="103" spans="2:26" x14ac:dyDescent="0.35">
      <c r="B103" s="3" t="s">
        <v>377</v>
      </c>
      <c r="C103" s="3" t="s">
        <v>378</v>
      </c>
      <c r="D103" s="3" t="s">
        <v>215</v>
      </c>
      <c r="J103" s="1" t="s">
        <v>3</v>
      </c>
      <c r="K103" s="1" t="s">
        <v>127</v>
      </c>
      <c r="L103" s="4" t="s">
        <v>166</v>
      </c>
      <c r="N103" s="1" t="s">
        <v>3</v>
      </c>
      <c r="O103" s="4" t="s">
        <v>124</v>
      </c>
      <c r="P103" s="4" t="s">
        <v>379</v>
      </c>
      <c r="V103" s="1"/>
      <c r="Z103"/>
    </row>
    <row r="104" spans="2:26" x14ac:dyDescent="0.35">
      <c r="B104" s="3" t="s">
        <v>380</v>
      </c>
      <c r="C104" s="3" t="s">
        <v>381</v>
      </c>
      <c r="D104" s="3" t="s">
        <v>218</v>
      </c>
      <c r="J104" s="1" t="s">
        <v>3</v>
      </c>
      <c r="K104" s="1" t="s">
        <v>127</v>
      </c>
      <c r="L104" s="4" t="s">
        <v>168</v>
      </c>
      <c r="N104" s="1" t="s">
        <v>3</v>
      </c>
      <c r="O104" s="4" t="s">
        <v>124</v>
      </c>
      <c r="P104" s="4" t="s">
        <v>382</v>
      </c>
      <c r="V104" s="1"/>
      <c r="Z104"/>
    </row>
    <row r="105" spans="2:26" x14ac:dyDescent="0.35">
      <c r="B105" s="3" t="s">
        <v>383</v>
      </c>
      <c r="C105" s="3" t="s">
        <v>384</v>
      </c>
      <c r="D105" s="3" t="s">
        <v>219</v>
      </c>
      <c r="J105" s="1" t="s">
        <v>3</v>
      </c>
      <c r="K105" s="1" t="s">
        <v>121</v>
      </c>
      <c r="L105" s="4" t="s">
        <v>151</v>
      </c>
      <c r="N105" s="1" t="s">
        <v>3</v>
      </c>
      <c r="O105" s="4" t="s">
        <v>124</v>
      </c>
      <c r="P105" s="4" t="s">
        <v>385</v>
      </c>
      <c r="V105" s="1"/>
      <c r="Z105"/>
    </row>
    <row r="106" spans="2:26" x14ac:dyDescent="0.35">
      <c r="B106" s="3" t="s">
        <v>386</v>
      </c>
      <c r="C106" s="3" t="s">
        <v>387</v>
      </c>
      <c r="D106" s="3" t="s">
        <v>222</v>
      </c>
      <c r="J106" s="1" t="s">
        <v>3</v>
      </c>
      <c r="K106" s="1" t="s">
        <v>121</v>
      </c>
      <c r="L106" s="4" t="s">
        <v>154</v>
      </c>
      <c r="N106" s="1" t="s">
        <v>3</v>
      </c>
      <c r="O106" s="4" t="s">
        <v>124</v>
      </c>
      <c r="P106" s="4" t="s">
        <v>388</v>
      </c>
      <c r="V106" s="1"/>
      <c r="Z106"/>
    </row>
    <row r="107" spans="2:26" x14ac:dyDescent="0.35">
      <c r="B107" s="3" t="s">
        <v>389</v>
      </c>
      <c r="C107" s="3" t="s">
        <v>390</v>
      </c>
      <c r="D107" s="3" t="s">
        <v>225</v>
      </c>
      <c r="J107" s="1" t="s">
        <v>3</v>
      </c>
      <c r="K107" s="1" t="s">
        <v>121</v>
      </c>
      <c r="L107" s="4" t="s">
        <v>156</v>
      </c>
      <c r="N107" s="1" t="s">
        <v>3</v>
      </c>
      <c r="O107" s="4" t="s">
        <v>124</v>
      </c>
      <c r="P107" s="4" t="s">
        <v>391</v>
      </c>
      <c r="V107" s="1"/>
      <c r="Z107"/>
    </row>
    <row r="108" spans="2:26" x14ac:dyDescent="0.35">
      <c r="B108" s="3" t="s">
        <v>392</v>
      </c>
      <c r="C108" s="3" t="s">
        <v>393</v>
      </c>
      <c r="D108" s="3" t="s">
        <v>228</v>
      </c>
      <c r="J108" s="1" t="s">
        <v>3</v>
      </c>
      <c r="K108" s="1" t="s">
        <v>121</v>
      </c>
      <c r="L108" s="4" t="s">
        <v>159</v>
      </c>
      <c r="N108" s="1" t="s">
        <v>3</v>
      </c>
      <c r="O108" s="4" t="s">
        <v>124</v>
      </c>
      <c r="P108" s="4" t="s">
        <v>394</v>
      </c>
      <c r="V108" s="1"/>
      <c r="Z108"/>
    </row>
    <row r="109" spans="2:26" x14ac:dyDescent="0.35">
      <c r="B109" s="3" t="s">
        <v>395</v>
      </c>
      <c r="C109" s="3" t="s">
        <v>396</v>
      </c>
      <c r="D109" s="3" t="s">
        <v>231</v>
      </c>
      <c r="J109" s="1" t="s">
        <v>3</v>
      </c>
      <c r="K109" s="1" t="s">
        <v>121</v>
      </c>
      <c r="L109" s="4" t="s">
        <v>161</v>
      </c>
      <c r="N109" s="1" t="s">
        <v>3</v>
      </c>
      <c r="O109" s="4" t="s">
        <v>146</v>
      </c>
      <c r="P109" s="4" t="s">
        <v>397</v>
      </c>
      <c r="V109" s="1"/>
      <c r="Z109"/>
    </row>
    <row r="110" spans="2:26" x14ac:dyDescent="0.35">
      <c r="B110" s="3" t="s">
        <v>398</v>
      </c>
      <c r="C110" s="3" t="s">
        <v>399</v>
      </c>
      <c r="D110" s="3" t="s">
        <v>234</v>
      </c>
      <c r="J110" s="1" t="s">
        <v>3</v>
      </c>
      <c r="K110" s="1" t="s">
        <v>121</v>
      </c>
      <c r="L110" s="4" t="s">
        <v>163</v>
      </c>
      <c r="N110" s="1" t="s">
        <v>3</v>
      </c>
      <c r="O110" s="4" t="s">
        <v>146</v>
      </c>
      <c r="P110" s="4" t="s">
        <v>400</v>
      </c>
      <c r="V110" s="1"/>
      <c r="Z110"/>
    </row>
    <row r="111" spans="2:26" x14ac:dyDescent="0.35">
      <c r="B111" s="3" t="s">
        <v>401</v>
      </c>
      <c r="C111" s="3" t="s">
        <v>402</v>
      </c>
      <c r="D111" s="3" t="s">
        <v>237</v>
      </c>
      <c r="J111" s="1" t="s">
        <v>3</v>
      </c>
      <c r="K111" s="1" t="s">
        <v>121</v>
      </c>
      <c r="L111" s="4" t="s">
        <v>166</v>
      </c>
      <c r="N111" s="1" t="s">
        <v>3</v>
      </c>
      <c r="O111" s="4" t="s">
        <v>146</v>
      </c>
      <c r="P111" s="4" t="s">
        <v>403</v>
      </c>
      <c r="V111" s="1"/>
      <c r="Z111"/>
    </row>
    <row r="112" spans="2:26" x14ac:dyDescent="0.35">
      <c r="B112" s="3" t="s">
        <v>404</v>
      </c>
      <c r="C112" s="3" t="s">
        <v>405</v>
      </c>
      <c r="D112" s="3" t="s">
        <v>240</v>
      </c>
      <c r="J112" s="1" t="s">
        <v>3</v>
      </c>
      <c r="K112" s="1" t="s">
        <v>121</v>
      </c>
      <c r="L112" s="4" t="s">
        <v>168</v>
      </c>
      <c r="N112" s="1" t="s">
        <v>3</v>
      </c>
      <c r="O112" s="4" t="s">
        <v>146</v>
      </c>
      <c r="P112" s="4" t="s">
        <v>406</v>
      </c>
      <c r="V112" s="1"/>
      <c r="Z112"/>
    </row>
    <row r="113" spans="2:26" x14ac:dyDescent="0.35">
      <c r="B113" s="3" t="s">
        <v>407</v>
      </c>
      <c r="C113" s="3" t="s">
        <v>408</v>
      </c>
      <c r="D113" s="3" t="s">
        <v>243</v>
      </c>
      <c r="J113" s="1" t="s">
        <v>66</v>
      </c>
      <c r="K113" s="5" t="s">
        <v>130</v>
      </c>
      <c r="L113" s="6" t="s">
        <v>180</v>
      </c>
      <c r="N113" s="1" t="s">
        <v>3</v>
      </c>
      <c r="O113" s="4" t="s">
        <v>146</v>
      </c>
      <c r="P113" s="4" t="s">
        <v>409</v>
      </c>
      <c r="V113" s="1"/>
      <c r="Z113"/>
    </row>
    <row r="114" spans="2:26" x14ac:dyDescent="0.35">
      <c r="B114" s="3" t="s">
        <v>410</v>
      </c>
      <c r="C114" s="3" t="s">
        <v>411</v>
      </c>
      <c r="D114" s="3" t="s">
        <v>246</v>
      </c>
      <c r="J114" s="1" t="s">
        <v>66</v>
      </c>
      <c r="K114" s="5" t="s">
        <v>130</v>
      </c>
      <c r="L114" s="6" t="s">
        <v>183</v>
      </c>
      <c r="N114" s="1" t="s">
        <v>3</v>
      </c>
      <c r="O114" s="4" t="s">
        <v>146</v>
      </c>
      <c r="P114" s="4" t="s">
        <v>412</v>
      </c>
      <c r="V114" s="1"/>
      <c r="Z114"/>
    </row>
    <row r="115" spans="2:26" x14ac:dyDescent="0.35">
      <c r="B115" s="3" t="s">
        <v>413</v>
      </c>
      <c r="C115" s="3" t="s">
        <v>414</v>
      </c>
      <c r="D115" s="3" t="s">
        <v>249</v>
      </c>
      <c r="J115" s="1" t="s">
        <v>66</v>
      </c>
      <c r="K115" s="5" t="s">
        <v>130</v>
      </c>
      <c r="L115" s="6" t="s">
        <v>186</v>
      </c>
      <c r="N115" s="1" t="s">
        <v>3</v>
      </c>
      <c r="O115" s="4" t="s">
        <v>146</v>
      </c>
      <c r="P115" s="4" t="s">
        <v>415</v>
      </c>
      <c r="V115" s="1"/>
      <c r="Z115"/>
    </row>
    <row r="116" spans="2:26" x14ac:dyDescent="0.35">
      <c r="B116" s="3" t="s">
        <v>416</v>
      </c>
      <c r="C116" s="3" t="s">
        <v>417</v>
      </c>
      <c r="D116" s="3" t="s">
        <v>252</v>
      </c>
      <c r="J116" s="1" t="s">
        <v>66</v>
      </c>
      <c r="K116" s="5" t="s">
        <v>130</v>
      </c>
      <c r="L116" s="6" t="s">
        <v>189</v>
      </c>
      <c r="N116" s="1" t="s">
        <v>3</v>
      </c>
      <c r="O116" s="4" t="s">
        <v>146</v>
      </c>
      <c r="P116" s="4" t="s">
        <v>418</v>
      </c>
      <c r="V116" s="1"/>
      <c r="Z116"/>
    </row>
    <row r="117" spans="2:26" x14ac:dyDescent="0.35">
      <c r="B117" s="3" t="s">
        <v>419</v>
      </c>
      <c r="C117" s="3" t="s">
        <v>420</v>
      </c>
      <c r="D117" s="3" t="s">
        <v>255</v>
      </c>
      <c r="J117" s="1" t="s">
        <v>66</v>
      </c>
      <c r="K117" s="5" t="s">
        <v>130</v>
      </c>
      <c r="L117" s="6" t="s">
        <v>192</v>
      </c>
      <c r="N117" s="1" t="s">
        <v>3</v>
      </c>
      <c r="O117" s="4" t="s">
        <v>143</v>
      </c>
      <c r="P117" s="4" t="s">
        <v>421</v>
      </c>
      <c r="V117" s="1"/>
      <c r="Z117"/>
    </row>
    <row r="118" spans="2:26" x14ac:dyDescent="0.35">
      <c r="B118" s="3" t="s">
        <v>422</v>
      </c>
      <c r="C118" s="3" t="s">
        <v>423</v>
      </c>
      <c r="D118" s="3" t="s">
        <v>258</v>
      </c>
      <c r="J118" s="1" t="s">
        <v>66</v>
      </c>
      <c r="K118" s="5" t="s">
        <v>130</v>
      </c>
      <c r="L118" s="6" t="s">
        <v>195</v>
      </c>
      <c r="N118" s="1" t="s">
        <v>3</v>
      </c>
      <c r="O118" s="4" t="s">
        <v>143</v>
      </c>
      <c r="P118" s="4" t="s">
        <v>424</v>
      </c>
      <c r="V118" s="1"/>
      <c r="Z118"/>
    </row>
    <row r="119" spans="2:26" x14ac:dyDescent="0.35">
      <c r="B119" s="3" t="s">
        <v>425</v>
      </c>
      <c r="C119" s="3" t="s">
        <v>426</v>
      </c>
      <c r="D119" s="3" t="s">
        <v>261</v>
      </c>
      <c r="J119" s="1" t="s">
        <v>66</v>
      </c>
      <c r="K119" s="5" t="s">
        <v>130</v>
      </c>
      <c r="L119" s="6" t="s">
        <v>199</v>
      </c>
      <c r="N119" s="1" t="s">
        <v>3</v>
      </c>
      <c r="O119" s="4" t="s">
        <v>143</v>
      </c>
      <c r="P119" s="4" t="s">
        <v>427</v>
      </c>
      <c r="V119" s="1"/>
      <c r="Z119"/>
    </row>
    <row r="120" spans="2:26" x14ac:dyDescent="0.35">
      <c r="B120" s="3" t="s">
        <v>428</v>
      </c>
      <c r="C120" s="3" t="s">
        <v>429</v>
      </c>
      <c r="D120" s="3" t="s">
        <v>264</v>
      </c>
      <c r="J120" s="1" t="s">
        <v>66</v>
      </c>
      <c r="K120" s="5" t="s">
        <v>130</v>
      </c>
      <c r="L120" s="6" t="s">
        <v>202</v>
      </c>
      <c r="N120" s="1" t="s">
        <v>3</v>
      </c>
      <c r="O120" s="4" t="s">
        <v>173</v>
      </c>
      <c r="P120" s="4" t="s">
        <v>430</v>
      </c>
      <c r="V120" s="1"/>
      <c r="Z120"/>
    </row>
    <row r="121" spans="2:26" x14ac:dyDescent="0.35">
      <c r="B121" s="3" t="s">
        <v>431</v>
      </c>
      <c r="C121" s="3" t="s">
        <v>432</v>
      </c>
      <c r="D121" s="3" t="s">
        <v>267</v>
      </c>
      <c r="J121" s="1" t="s">
        <v>66</v>
      </c>
      <c r="K121" s="5" t="s">
        <v>130</v>
      </c>
      <c r="L121" s="6" t="s">
        <v>206</v>
      </c>
      <c r="N121" s="1" t="s">
        <v>3</v>
      </c>
      <c r="O121" s="4" t="s">
        <v>173</v>
      </c>
      <c r="P121" s="4" t="s">
        <v>433</v>
      </c>
      <c r="V121" s="1"/>
      <c r="Z121"/>
    </row>
    <row r="122" spans="2:26" x14ac:dyDescent="0.35">
      <c r="B122" s="3" t="s">
        <v>434</v>
      </c>
      <c r="C122" s="3" t="s">
        <v>435</v>
      </c>
      <c r="D122" s="3" t="s">
        <v>270</v>
      </c>
      <c r="J122" s="1" t="s">
        <v>66</v>
      </c>
      <c r="K122" s="5" t="s">
        <v>130</v>
      </c>
      <c r="L122" s="6" t="s">
        <v>210</v>
      </c>
      <c r="N122" s="1" t="s">
        <v>3</v>
      </c>
      <c r="O122" s="4" t="s">
        <v>173</v>
      </c>
      <c r="P122" s="4" t="s">
        <v>436</v>
      </c>
      <c r="V122" s="1"/>
      <c r="Z122"/>
    </row>
    <row r="123" spans="2:26" x14ac:dyDescent="0.35">
      <c r="B123" s="3" t="s">
        <v>437</v>
      </c>
      <c r="C123" s="3" t="s">
        <v>438</v>
      </c>
      <c r="D123" s="3" t="s">
        <v>273</v>
      </c>
      <c r="J123" s="1" t="s">
        <v>66</v>
      </c>
      <c r="K123" s="5" t="s">
        <v>130</v>
      </c>
      <c r="L123" s="6" t="s">
        <v>213</v>
      </c>
      <c r="N123" s="1" t="s">
        <v>3</v>
      </c>
      <c r="O123" s="4" t="s">
        <v>173</v>
      </c>
      <c r="P123" s="4" t="s">
        <v>439</v>
      </c>
      <c r="V123" s="1"/>
      <c r="Z123"/>
    </row>
    <row r="124" spans="2:26" x14ac:dyDescent="0.35">
      <c r="B124" s="3" t="s">
        <v>440</v>
      </c>
      <c r="C124" s="3" t="s">
        <v>441</v>
      </c>
      <c r="D124" s="3" t="s">
        <v>276</v>
      </c>
      <c r="J124" s="1" t="s">
        <v>66</v>
      </c>
      <c r="K124" s="5" t="s">
        <v>130</v>
      </c>
      <c r="L124" s="6" t="s">
        <v>216</v>
      </c>
      <c r="N124" s="1" t="s">
        <v>3</v>
      </c>
      <c r="O124" s="4" t="s">
        <v>173</v>
      </c>
      <c r="P124" s="4" t="s">
        <v>442</v>
      </c>
      <c r="V124" s="1"/>
      <c r="Z124"/>
    </row>
    <row r="125" spans="2:26" x14ac:dyDescent="0.35">
      <c r="B125" s="3" t="s">
        <v>443</v>
      </c>
      <c r="C125" s="3" t="s">
        <v>444</v>
      </c>
      <c r="D125" s="3" t="s">
        <v>279</v>
      </c>
      <c r="J125" s="1" t="s">
        <v>66</v>
      </c>
      <c r="K125" s="5" t="s">
        <v>130</v>
      </c>
      <c r="L125" s="6" t="s">
        <v>141</v>
      </c>
      <c r="N125" s="1" t="s">
        <v>3</v>
      </c>
      <c r="O125" s="4" t="s">
        <v>173</v>
      </c>
      <c r="P125" s="4" t="s">
        <v>445</v>
      </c>
      <c r="V125" s="1"/>
      <c r="Z125"/>
    </row>
    <row r="126" spans="2:26" x14ac:dyDescent="0.35">
      <c r="B126" s="3" t="s">
        <v>446</v>
      </c>
      <c r="C126" s="3" t="s">
        <v>447</v>
      </c>
      <c r="D126" s="3" t="s">
        <v>282</v>
      </c>
      <c r="J126" s="1" t="s">
        <v>66</v>
      </c>
      <c r="K126" s="5" t="s">
        <v>130</v>
      </c>
      <c r="L126" s="6" t="s">
        <v>220</v>
      </c>
      <c r="N126" s="1" t="s">
        <v>3</v>
      </c>
      <c r="O126" s="4" t="s">
        <v>173</v>
      </c>
      <c r="P126" s="4" t="s">
        <v>448</v>
      </c>
      <c r="V126" s="1"/>
      <c r="Z126"/>
    </row>
    <row r="127" spans="2:26" x14ac:dyDescent="0.35">
      <c r="B127" s="3" t="s">
        <v>449</v>
      </c>
      <c r="C127" s="3" t="s">
        <v>450</v>
      </c>
      <c r="D127" s="3" t="s">
        <v>285</v>
      </c>
      <c r="J127" s="1" t="s">
        <v>66</v>
      </c>
      <c r="K127" s="5" t="s">
        <v>130</v>
      </c>
      <c r="L127" s="6" t="s">
        <v>223</v>
      </c>
      <c r="N127" s="1" t="s">
        <v>3</v>
      </c>
      <c r="O127" s="4" t="s">
        <v>173</v>
      </c>
      <c r="P127" s="4" t="s">
        <v>451</v>
      </c>
      <c r="V127" s="1"/>
      <c r="Z127"/>
    </row>
    <row r="128" spans="2:26" x14ac:dyDescent="0.35">
      <c r="B128" s="3" t="s">
        <v>452</v>
      </c>
      <c r="C128" s="3" t="s">
        <v>453</v>
      </c>
      <c r="D128" s="3" t="s">
        <v>288</v>
      </c>
      <c r="J128" s="1" t="s">
        <v>66</v>
      </c>
      <c r="K128" s="5" t="s">
        <v>130</v>
      </c>
      <c r="L128" s="6" t="s">
        <v>226</v>
      </c>
      <c r="N128" s="1" t="s">
        <v>3</v>
      </c>
      <c r="O128" s="4" t="s">
        <v>173</v>
      </c>
      <c r="P128" s="4" t="s">
        <v>454</v>
      </c>
      <c r="V128" s="1"/>
      <c r="Z128"/>
    </row>
    <row r="129" spans="2:26" x14ac:dyDescent="0.35">
      <c r="B129" s="3" t="s">
        <v>455</v>
      </c>
      <c r="C129" s="3" t="s">
        <v>456</v>
      </c>
      <c r="D129" s="3" t="s">
        <v>290</v>
      </c>
      <c r="J129" s="1" t="s">
        <v>66</v>
      </c>
      <c r="K129" s="5" t="s">
        <v>130</v>
      </c>
      <c r="L129" s="6" t="s">
        <v>229</v>
      </c>
      <c r="N129" s="1" t="s">
        <v>3</v>
      </c>
      <c r="O129" s="4" t="s">
        <v>173</v>
      </c>
      <c r="P129" s="4" t="s">
        <v>457</v>
      </c>
      <c r="V129" s="1"/>
      <c r="Z129"/>
    </row>
    <row r="130" spans="2:26" x14ac:dyDescent="0.35">
      <c r="B130" s="3" t="s">
        <v>458</v>
      </c>
      <c r="C130" s="3" t="s">
        <v>459</v>
      </c>
      <c r="D130" s="3" t="s">
        <v>293</v>
      </c>
      <c r="J130" s="1" t="s">
        <v>66</v>
      </c>
      <c r="K130" s="5" t="s">
        <v>130</v>
      </c>
      <c r="L130" s="6" t="s">
        <v>232</v>
      </c>
      <c r="N130" s="1" t="s">
        <v>3</v>
      </c>
      <c r="O130" s="4" t="s">
        <v>170</v>
      </c>
      <c r="P130" s="4" t="s">
        <v>460</v>
      </c>
      <c r="V130" s="1"/>
      <c r="Z130"/>
    </row>
    <row r="131" spans="2:26" x14ac:dyDescent="0.35">
      <c r="B131" s="3" t="s">
        <v>461</v>
      </c>
      <c r="C131" s="3" t="s">
        <v>462</v>
      </c>
      <c r="D131" s="3" t="s">
        <v>296</v>
      </c>
      <c r="J131" s="1" t="s">
        <v>66</v>
      </c>
      <c r="K131" s="5" t="s">
        <v>130</v>
      </c>
      <c r="L131" s="6" t="s">
        <v>235</v>
      </c>
      <c r="N131" s="1" t="s">
        <v>3</v>
      </c>
      <c r="O131" s="4" t="s">
        <v>170</v>
      </c>
      <c r="P131" s="4" t="s">
        <v>463</v>
      </c>
      <c r="V131" s="1"/>
      <c r="Z131"/>
    </row>
    <row r="132" spans="2:26" x14ac:dyDescent="0.35">
      <c r="B132" s="3" t="s">
        <v>464</v>
      </c>
      <c r="C132" s="3" t="s">
        <v>465</v>
      </c>
      <c r="D132" s="3" t="s">
        <v>299</v>
      </c>
      <c r="J132" s="1" t="s">
        <v>66</v>
      </c>
      <c r="K132" s="5" t="s">
        <v>130</v>
      </c>
      <c r="L132" s="6" t="s">
        <v>238</v>
      </c>
      <c r="N132" s="1" t="s">
        <v>3</v>
      </c>
      <c r="O132" s="4" t="s">
        <v>170</v>
      </c>
      <c r="P132" s="4" t="s">
        <v>466</v>
      </c>
      <c r="V132" s="1"/>
      <c r="Z132"/>
    </row>
    <row r="133" spans="2:26" x14ac:dyDescent="0.35">
      <c r="B133" s="3" t="s">
        <v>467</v>
      </c>
      <c r="C133" s="3" t="s">
        <v>468</v>
      </c>
      <c r="D133" s="3" t="s">
        <v>302</v>
      </c>
      <c r="J133" s="1" t="s">
        <v>66</v>
      </c>
      <c r="K133" s="5" t="s">
        <v>130</v>
      </c>
      <c r="L133" s="6" t="s">
        <v>241</v>
      </c>
      <c r="N133" s="1" t="s">
        <v>3</v>
      </c>
      <c r="O133" s="4" t="s">
        <v>170</v>
      </c>
      <c r="P133" s="4" t="s">
        <v>469</v>
      </c>
      <c r="V133" s="1"/>
      <c r="Z133"/>
    </row>
    <row r="134" spans="2:26" x14ac:dyDescent="0.35">
      <c r="B134" s="3" t="s">
        <v>470</v>
      </c>
      <c r="C134" s="3" t="s">
        <v>471</v>
      </c>
      <c r="D134" s="3" t="s">
        <v>305</v>
      </c>
      <c r="J134" s="1" t="s">
        <v>66</v>
      </c>
      <c r="K134" s="5" t="s">
        <v>130</v>
      </c>
      <c r="L134" s="6" t="s">
        <v>244</v>
      </c>
      <c r="N134" s="1" t="s">
        <v>3</v>
      </c>
      <c r="O134" s="4" t="s">
        <v>170</v>
      </c>
      <c r="P134" s="4" t="s">
        <v>472</v>
      </c>
      <c r="V134" s="1"/>
      <c r="Z134"/>
    </row>
    <row r="135" spans="2:26" x14ac:dyDescent="0.35">
      <c r="B135" s="3" t="s">
        <v>473</v>
      </c>
      <c r="C135" s="3" t="s">
        <v>474</v>
      </c>
      <c r="D135" s="3" t="s">
        <v>308</v>
      </c>
      <c r="J135" s="1" t="s">
        <v>66</v>
      </c>
      <c r="K135" s="5" t="s">
        <v>133</v>
      </c>
      <c r="L135" s="6" t="s">
        <v>247</v>
      </c>
      <c r="N135" s="1" t="s">
        <v>3</v>
      </c>
      <c r="O135" s="4" t="s">
        <v>170</v>
      </c>
      <c r="P135" s="4" t="s">
        <v>475</v>
      </c>
      <c r="V135" s="1"/>
      <c r="Z135"/>
    </row>
    <row r="136" spans="2:26" x14ac:dyDescent="0.35">
      <c r="B136" s="3" t="s">
        <v>476</v>
      </c>
      <c r="C136" s="3" t="s">
        <v>477</v>
      </c>
      <c r="D136" s="3" t="s">
        <v>311</v>
      </c>
      <c r="J136" s="1" t="s">
        <v>66</v>
      </c>
      <c r="K136" s="5" t="s">
        <v>133</v>
      </c>
      <c r="L136" s="6" t="s">
        <v>213</v>
      </c>
      <c r="N136" s="1" t="s">
        <v>3</v>
      </c>
      <c r="O136" s="4" t="s">
        <v>170</v>
      </c>
      <c r="P136" s="4" t="s">
        <v>478</v>
      </c>
      <c r="V136" s="1"/>
      <c r="Z136"/>
    </row>
    <row r="137" spans="2:26" x14ac:dyDescent="0.35">
      <c r="B137" s="3" t="s">
        <v>479</v>
      </c>
      <c r="C137" s="3" t="s">
        <v>480</v>
      </c>
      <c r="D137" s="3" t="s">
        <v>314</v>
      </c>
      <c r="J137" s="1" t="s">
        <v>66</v>
      </c>
      <c r="K137" s="5" t="s">
        <v>133</v>
      </c>
      <c r="L137" s="6" t="s">
        <v>250</v>
      </c>
      <c r="N137" s="1" t="s">
        <v>3</v>
      </c>
      <c r="O137" s="4" t="s">
        <v>170</v>
      </c>
      <c r="P137" s="4" t="s">
        <v>481</v>
      </c>
      <c r="V137" s="1"/>
      <c r="Z137"/>
    </row>
    <row r="138" spans="2:26" x14ac:dyDescent="0.35">
      <c r="B138" s="3" t="s">
        <v>482</v>
      </c>
      <c r="C138" s="3" t="s">
        <v>483</v>
      </c>
      <c r="D138" s="3" t="s">
        <v>317</v>
      </c>
      <c r="J138" s="1" t="s">
        <v>66</v>
      </c>
      <c r="K138" s="5" t="s">
        <v>133</v>
      </c>
      <c r="L138" s="6" t="s">
        <v>141</v>
      </c>
      <c r="N138" s="1" t="s">
        <v>3</v>
      </c>
      <c r="O138" s="4" t="s">
        <v>170</v>
      </c>
      <c r="P138" s="4" t="s">
        <v>484</v>
      </c>
      <c r="V138" s="1"/>
      <c r="Z138"/>
    </row>
    <row r="139" spans="2:26" x14ac:dyDescent="0.35">
      <c r="B139" s="3" t="s">
        <v>485</v>
      </c>
      <c r="C139" s="3" t="s">
        <v>486</v>
      </c>
      <c r="D139" s="3" t="s">
        <v>320</v>
      </c>
      <c r="J139" s="1" t="s">
        <v>66</v>
      </c>
      <c r="K139" s="5" t="s">
        <v>133</v>
      </c>
      <c r="L139" s="6" t="s">
        <v>223</v>
      </c>
      <c r="N139" s="1" t="s">
        <v>3</v>
      </c>
      <c r="O139" s="4" t="s">
        <v>170</v>
      </c>
      <c r="P139" s="4" t="s">
        <v>487</v>
      </c>
      <c r="V139" s="1"/>
      <c r="Z139"/>
    </row>
    <row r="140" spans="2:26" x14ac:dyDescent="0.35">
      <c r="B140" s="3" t="s">
        <v>488</v>
      </c>
      <c r="C140" s="3" t="s">
        <v>489</v>
      </c>
      <c r="D140" s="3" t="s">
        <v>129</v>
      </c>
      <c r="J140" s="1" t="s">
        <v>66</v>
      </c>
      <c r="K140" s="5" t="s">
        <v>133</v>
      </c>
      <c r="L140" s="6" t="s">
        <v>226</v>
      </c>
      <c r="N140" s="1" t="s">
        <v>3</v>
      </c>
      <c r="O140" s="4" t="s">
        <v>208</v>
      </c>
      <c r="P140" s="4" t="s">
        <v>490</v>
      </c>
      <c r="V140" s="1"/>
      <c r="Z140"/>
    </row>
    <row r="141" spans="2:26" x14ac:dyDescent="0.35">
      <c r="B141" s="3" t="s">
        <v>491</v>
      </c>
      <c r="C141" s="3" t="s">
        <v>492</v>
      </c>
      <c r="D141" s="3" t="s">
        <v>325</v>
      </c>
      <c r="J141" s="1" t="s">
        <v>66</v>
      </c>
      <c r="K141" s="5" t="s">
        <v>133</v>
      </c>
      <c r="L141" s="6" t="s">
        <v>229</v>
      </c>
      <c r="N141" s="1" t="s">
        <v>3</v>
      </c>
      <c r="O141" s="4" t="s">
        <v>208</v>
      </c>
      <c r="P141" s="4" t="s">
        <v>493</v>
      </c>
      <c r="V141" s="1"/>
      <c r="Z141"/>
    </row>
    <row r="142" spans="2:26" x14ac:dyDescent="0.35">
      <c r="B142" s="3" t="s">
        <v>494</v>
      </c>
      <c r="C142" s="3" t="s">
        <v>495</v>
      </c>
      <c r="D142" s="3" t="s">
        <v>328</v>
      </c>
      <c r="J142" s="1" t="s">
        <v>66</v>
      </c>
      <c r="K142" s="5" t="s">
        <v>133</v>
      </c>
      <c r="L142" s="6" t="s">
        <v>232</v>
      </c>
      <c r="N142" s="1" t="s">
        <v>3</v>
      </c>
      <c r="O142" s="4" t="s">
        <v>208</v>
      </c>
      <c r="P142" s="4" t="s">
        <v>496</v>
      </c>
      <c r="V142" s="1"/>
      <c r="Z142"/>
    </row>
    <row r="143" spans="2:26" x14ac:dyDescent="0.35">
      <c r="B143" s="3" t="s">
        <v>497</v>
      </c>
      <c r="C143" s="3" t="s">
        <v>498</v>
      </c>
      <c r="D143" s="3" t="s">
        <v>331</v>
      </c>
      <c r="J143" s="1" t="s">
        <v>66</v>
      </c>
      <c r="K143" s="5" t="s">
        <v>133</v>
      </c>
      <c r="L143" s="6" t="s">
        <v>235</v>
      </c>
      <c r="N143" s="1" t="s">
        <v>3</v>
      </c>
      <c r="O143" s="4" t="s">
        <v>208</v>
      </c>
      <c r="P143" s="4" t="s">
        <v>499</v>
      </c>
      <c r="V143" s="1"/>
      <c r="Z143"/>
    </row>
    <row r="144" spans="2:26" x14ac:dyDescent="0.35">
      <c r="B144" s="3" t="s">
        <v>500</v>
      </c>
      <c r="C144" s="3" t="s">
        <v>501</v>
      </c>
      <c r="D144" s="3" t="s">
        <v>334</v>
      </c>
      <c r="J144" s="1" t="s">
        <v>66</v>
      </c>
      <c r="K144" s="5" t="s">
        <v>133</v>
      </c>
      <c r="L144" s="6" t="s">
        <v>238</v>
      </c>
      <c r="N144" s="1" t="s">
        <v>3</v>
      </c>
      <c r="O144" s="4" t="s">
        <v>208</v>
      </c>
      <c r="P144" s="4" t="s">
        <v>502</v>
      </c>
      <c r="V144" s="1"/>
      <c r="Z144"/>
    </row>
    <row r="145" spans="2:26" x14ac:dyDescent="0.35">
      <c r="B145" s="3" t="s">
        <v>503</v>
      </c>
      <c r="C145" s="3" t="s">
        <v>504</v>
      </c>
      <c r="D145" s="3" t="s">
        <v>337</v>
      </c>
      <c r="J145" s="1" t="s">
        <v>66</v>
      </c>
      <c r="K145" s="5" t="s">
        <v>133</v>
      </c>
      <c r="L145" s="6" t="s">
        <v>241</v>
      </c>
      <c r="N145" s="1" t="s">
        <v>3</v>
      </c>
      <c r="O145" s="4" t="s">
        <v>208</v>
      </c>
      <c r="P145" s="4" t="s">
        <v>505</v>
      </c>
      <c r="V145" s="1"/>
      <c r="Z145"/>
    </row>
    <row r="146" spans="2:26" x14ac:dyDescent="0.35">
      <c r="B146" s="3" t="s">
        <v>506</v>
      </c>
      <c r="C146" s="3" t="s">
        <v>507</v>
      </c>
      <c r="D146" s="3" t="s">
        <v>340</v>
      </c>
      <c r="J146" s="1" t="s">
        <v>66</v>
      </c>
      <c r="K146" s="5" t="s">
        <v>133</v>
      </c>
      <c r="L146" s="6" t="s">
        <v>244</v>
      </c>
      <c r="N146" s="1" t="s">
        <v>3</v>
      </c>
      <c r="O146" s="4" t="s">
        <v>208</v>
      </c>
      <c r="P146" s="4" t="s">
        <v>508</v>
      </c>
      <c r="V146" s="1"/>
      <c r="Z146"/>
    </row>
    <row r="147" spans="2:26" x14ac:dyDescent="0.35">
      <c r="B147" s="3" t="s">
        <v>509</v>
      </c>
      <c r="C147" s="3" t="s">
        <v>510</v>
      </c>
      <c r="D147" s="3" t="s">
        <v>343</v>
      </c>
      <c r="J147" s="1" t="s">
        <v>66</v>
      </c>
      <c r="K147" s="5" t="s">
        <v>136</v>
      </c>
      <c r="L147" s="6" t="s">
        <v>253</v>
      </c>
      <c r="N147" s="1" t="s">
        <v>3</v>
      </c>
      <c r="O147" s="4" t="s">
        <v>197</v>
      </c>
      <c r="P147" s="4" t="s">
        <v>511</v>
      </c>
      <c r="V147" s="1"/>
      <c r="Z147"/>
    </row>
    <row r="148" spans="2:26" x14ac:dyDescent="0.35">
      <c r="B148" s="3" t="s">
        <v>512</v>
      </c>
      <c r="C148" s="3" t="s">
        <v>513</v>
      </c>
      <c r="D148" s="3" t="s">
        <v>346</v>
      </c>
      <c r="J148" s="1" t="s">
        <v>66</v>
      </c>
      <c r="K148" s="5" t="s">
        <v>136</v>
      </c>
      <c r="L148" s="6" t="s">
        <v>213</v>
      </c>
      <c r="N148" s="1" t="s">
        <v>3</v>
      </c>
      <c r="O148" s="4" t="s">
        <v>197</v>
      </c>
      <c r="P148" s="4" t="s">
        <v>514</v>
      </c>
      <c r="V148" s="1"/>
      <c r="Z148"/>
    </row>
    <row r="149" spans="2:26" x14ac:dyDescent="0.35">
      <c r="B149" s="3" t="s">
        <v>515</v>
      </c>
      <c r="C149" s="3" t="s">
        <v>516</v>
      </c>
      <c r="D149" s="3" t="s">
        <v>349</v>
      </c>
      <c r="J149" s="1" t="s">
        <v>66</v>
      </c>
      <c r="K149" s="5" t="s">
        <v>136</v>
      </c>
      <c r="L149" s="6" t="s">
        <v>256</v>
      </c>
      <c r="N149" s="1" t="s">
        <v>3</v>
      </c>
      <c r="O149" s="4" t="s">
        <v>197</v>
      </c>
      <c r="P149" s="4" t="s">
        <v>517</v>
      </c>
      <c r="V149" s="1"/>
      <c r="Z149"/>
    </row>
    <row r="150" spans="2:26" x14ac:dyDescent="0.35">
      <c r="B150" s="3" t="s">
        <v>518</v>
      </c>
      <c r="C150" s="3" t="s">
        <v>519</v>
      </c>
      <c r="D150" s="3" t="s">
        <v>352</v>
      </c>
      <c r="J150" s="1" t="s">
        <v>66</v>
      </c>
      <c r="K150" s="5" t="s">
        <v>136</v>
      </c>
      <c r="L150" s="6" t="s">
        <v>259</v>
      </c>
      <c r="N150" s="1" t="s">
        <v>3</v>
      </c>
      <c r="O150" s="4" t="s">
        <v>197</v>
      </c>
      <c r="P150" s="4" t="s">
        <v>520</v>
      </c>
      <c r="V150" s="1"/>
      <c r="Z150"/>
    </row>
    <row r="151" spans="2:26" x14ac:dyDescent="0.35">
      <c r="B151" s="3" t="s">
        <v>521</v>
      </c>
      <c r="C151" s="3" t="s">
        <v>522</v>
      </c>
      <c r="D151" s="3" t="s">
        <v>355</v>
      </c>
      <c r="J151" s="1" t="s">
        <v>66</v>
      </c>
      <c r="K151" s="5" t="s">
        <v>136</v>
      </c>
      <c r="L151" s="6" t="s">
        <v>223</v>
      </c>
      <c r="N151" s="1" t="s">
        <v>3</v>
      </c>
      <c r="O151" s="4" t="s">
        <v>197</v>
      </c>
      <c r="P151" s="4" t="s">
        <v>523</v>
      </c>
      <c r="V151" s="1"/>
      <c r="Z151"/>
    </row>
    <row r="152" spans="2:26" x14ac:dyDescent="0.35">
      <c r="B152" s="3" t="s">
        <v>524</v>
      </c>
      <c r="C152" s="3" t="s">
        <v>525</v>
      </c>
      <c r="D152" s="3" t="s">
        <v>358</v>
      </c>
      <c r="J152" s="1" t="s">
        <v>66</v>
      </c>
      <c r="K152" s="5" t="s">
        <v>136</v>
      </c>
      <c r="L152" s="6" t="s">
        <v>226</v>
      </c>
      <c r="N152" s="1" t="s">
        <v>3</v>
      </c>
      <c r="O152" s="4" t="s">
        <v>197</v>
      </c>
      <c r="P152" s="4" t="s">
        <v>526</v>
      </c>
      <c r="V152" s="1"/>
      <c r="Z152"/>
    </row>
    <row r="153" spans="2:26" x14ac:dyDescent="0.35">
      <c r="B153" s="3" t="s">
        <v>527</v>
      </c>
      <c r="C153" s="3" t="s">
        <v>528</v>
      </c>
      <c r="D153" s="3" t="s">
        <v>361</v>
      </c>
      <c r="J153" s="1" t="s">
        <v>66</v>
      </c>
      <c r="K153" s="5" t="s">
        <v>136</v>
      </c>
      <c r="L153" s="6" t="s">
        <v>229</v>
      </c>
      <c r="N153" s="1" t="s">
        <v>3</v>
      </c>
      <c r="O153" s="4" t="s">
        <v>197</v>
      </c>
      <c r="P153" s="4" t="s">
        <v>529</v>
      </c>
      <c r="V153" s="1"/>
      <c r="Z153"/>
    </row>
    <row r="154" spans="2:26" x14ac:dyDescent="0.35">
      <c r="B154" s="3" t="s">
        <v>530</v>
      </c>
      <c r="C154" s="3" t="s">
        <v>531</v>
      </c>
      <c r="D154" s="3" t="s">
        <v>364</v>
      </c>
      <c r="J154" s="1" t="s">
        <v>66</v>
      </c>
      <c r="K154" s="5" t="s">
        <v>136</v>
      </c>
      <c r="L154" s="6" t="s">
        <v>232</v>
      </c>
      <c r="N154" s="1" t="s">
        <v>3</v>
      </c>
      <c r="O154" s="4" t="s">
        <v>197</v>
      </c>
      <c r="P154" s="4" t="s">
        <v>532</v>
      </c>
      <c r="V154" s="1"/>
      <c r="Z154"/>
    </row>
    <row r="155" spans="2:26" x14ac:dyDescent="0.35">
      <c r="B155" s="3" t="s">
        <v>533</v>
      </c>
      <c r="C155" s="3" t="s">
        <v>534</v>
      </c>
      <c r="D155" s="3" t="s">
        <v>367</v>
      </c>
      <c r="J155" s="1" t="s">
        <v>66</v>
      </c>
      <c r="K155" s="5" t="s">
        <v>136</v>
      </c>
      <c r="L155" s="6" t="s">
        <v>235</v>
      </c>
      <c r="N155" s="1" t="s">
        <v>3</v>
      </c>
      <c r="O155" s="4" t="s">
        <v>197</v>
      </c>
      <c r="P155" s="4" t="s">
        <v>535</v>
      </c>
      <c r="V155" s="1"/>
      <c r="Z155"/>
    </row>
    <row r="156" spans="2:26" x14ac:dyDescent="0.35">
      <c r="B156" s="3" t="s">
        <v>536</v>
      </c>
      <c r="C156" s="3" t="s">
        <v>537</v>
      </c>
      <c r="D156" s="3" t="s">
        <v>370</v>
      </c>
      <c r="J156" s="1" t="s">
        <v>66</v>
      </c>
      <c r="K156" s="5" t="s">
        <v>136</v>
      </c>
      <c r="L156" s="6" t="s">
        <v>238</v>
      </c>
      <c r="N156" s="1" t="s">
        <v>3</v>
      </c>
      <c r="O156" s="4" t="s">
        <v>197</v>
      </c>
      <c r="P156" s="4" t="s">
        <v>538</v>
      </c>
      <c r="V156" s="1"/>
      <c r="Z156"/>
    </row>
    <row r="157" spans="2:26" x14ac:dyDescent="0.35">
      <c r="B157" s="3" t="s">
        <v>539</v>
      </c>
      <c r="C157" s="3" t="s">
        <v>540</v>
      </c>
      <c r="D157" s="3" t="s">
        <v>373</v>
      </c>
      <c r="J157" s="1" t="s">
        <v>66</v>
      </c>
      <c r="K157" s="5" t="s">
        <v>136</v>
      </c>
      <c r="L157" s="6" t="s">
        <v>241</v>
      </c>
      <c r="N157" s="1" t="s">
        <v>3</v>
      </c>
      <c r="O157" s="4" t="s">
        <v>197</v>
      </c>
      <c r="P157" s="4" t="s">
        <v>541</v>
      </c>
      <c r="V157" s="1"/>
      <c r="Z157"/>
    </row>
    <row r="158" spans="2:26" x14ac:dyDescent="0.35">
      <c r="B158" s="3" t="s">
        <v>542</v>
      </c>
      <c r="C158" s="3" t="s">
        <v>543</v>
      </c>
      <c r="D158" s="3" t="s">
        <v>376</v>
      </c>
      <c r="J158" s="1" t="s">
        <v>66</v>
      </c>
      <c r="K158" s="5" t="s">
        <v>136</v>
      </c>
      <c r="L158" s="6" t="s">
        <v>244</v>
      </c>
      <c r="N158" s="1" t="s">
        <v>3</v>
      </c>
      <c r="O158" s="4" t="s">
        <v>204</v>
      </c>
      <c r="P158" s="4" t="s">
        <v>544</v>
      </c>
      <c r="V158" s="1"/>
      <c r="Z158"/>
    </row>
    <row r="159" spans="2:26" x14ac:dyDescent="0.35">
      <c r="B159" s="3" t="s">
        <v>545</v>
      </c>
      <c r="C159" s="3" t="s">
        <v>546</v>
      </c>
      <c r="D159" s="3" t="s">
        <v>379</v>
      </c>
      <c r="J159" s="1" t="s">
        <v>66</v>
      </c>
      <c r="K159" s="5" t="s">
        <v>141</v>
      </c>
      <c r="L159" s="6" t="s">
        <v>180</v>
      </c>
      <c r="N159" s="1" t="s">
        <v>3</v>
      </c>
      <c r="O159" s="4" t="s">
        <v>204</v>
      </c>
      <c r="P159" s="4" t="s">
        <v>547</v>
      </c>
      <c r="V159" s="1"/>
      <c r="Z159"/>
    </row>
    <row r="160" spans="2:26" x14ac:dyDescent="0.35">
      <c r="B160" s="3" t="s">
        <v>548</v>
      </c>
      <c r="C160" s="3" t="s">
        <v>549</v>
      </c>
      <c r="D160" s="3" t="s">
        <v>382</v>
      </c>
      <c r="J160" s="1" t="s">
        <v>66</v>
      </c>
      <c r="K160" s="5" t="s">
        <v>141</v>
      </c>
      <c r="L160" s="6" t="s">
        <v>183</v>
      </c>
      <c r="N160" s="1" t="s">
        <v>3</v>
      </c>
      <c r="O160" s="4" t="s">
        <v>204</v>
      </c>
      <c r="P160" s="4" t="s">
        <v>550</v>
      </c>
      <c r="V160" s="1"/>
      <c r="Z160"/>
    </row>
    <row r="161" spans="2:26" x14ac:dyDescent="0.35">
      <c r="B161" s="3" t="s">
        <v>551</v>
      </c>
      <c r="C161" s="3" t="s">
        <v>552</v>
      </c>
      <c r="D161" s="3" t="s">
        <v>385</v>
      </c>
      <c r="J161" s="1" t="s">
        <v>66</v>
      </c>
      <c r="K161" s="5" t="s">
        <v>141</v>
      </c>
      <c r="L161" s="6" t="s">
        <v>186</v>
      </c>
      <c r="N161" s="1" t="s">
        <v>3</v>
      </c>
      <c r="O161" s="4" t="s">
        <v>204</v>
      </c>
      <c r="P161" s="4" t="s">
        <v>553</v>
      </c>
      <c r="V161" s="1"/>
      <c r="Z161"/>
    </row>
    <row r="162" spans="2:26" x14ac:dyDescent="0.35">
      <c r="B162" s="3" t="s">
        <v>554</v>
      </c>
      <c r="C162" s="3" t="s">
        <v>555</v>
      </c>
      <c r="D162" s="3" t="s">
        <v>388</v>
      </c>
      <c r="J162" s="1" t="s">
        <v>66</v>
      </c>
      <c r="K162" s="5" t="s">
        <v>141</v>
      </c>
      <c r="L162" s="6" t="s">
        <v>189</v>
      </c>
      <c r="N162" s="1" t="s">
        <v>3</v>
      </c>
      <c r="O162" s="4" t="s">
        <v>204</v>
      </c>
      <c r="P162" s="4" t="s">
        <v>556</v>
      </c>
      <c r="V162" s="1"/>
      <c r="Z162"/>
    </row>
    <row r="163" spans="2:26" x14ac:dyDescent="0.35">
      <c r="B163" s="3" t="s">
        <v>557</v>
      </c>
      <c r="C163" s="3" t="s">
        <v>558</v>
      </c>
      <c r="D163" s="3" t="s">
        <v>391</v>
      </c>
      <c r="J163" s="1" t="s">
        <v>66</v>
      </c>
      <c r="K163" s="5" t="s">
        <v>141</v>
      </c>
      <c r="L163" s="6" t="s">
        <v>192</v>
      </c>
      <c r="N163" s="1" t="s">
        <v>3</v>
      </c>
      <c r="O163" s="4" t="s">
        <v>204</v>
      </c>
      <c r="P163" s="4" t="s">
        <v>559</v>
      </c>
      <c r="V163" s="1"/>
      <c r="Z163"/>
    </row>
    <row r="164" spans="2:26" x14ac:dyDescent="0.35">
      <c r="B164" s="3" t="s">
        <v>560</v>
      </c>
      <c r="C164" s="3" t="s">
        <v>561</v>
      </c>
      <c r="D164" s="3" t="s">
        <v>394</v>
      </c>
      <c r="J164" s="1" t="s">
        <v>66</v>
      </c>
      <c r="K164" s="5" t="s">
        <v>141</v>
      </c>
      <c r="L164" s="6" t="s">
        <v>195</v>
      </c>
      <c r="N164" s="1" t="s">
        <v>3</v>
      </c>
      <c r="O164" s="4" t="s">
        <v>204</v>
      </c>
      <c r="P164" s="4" t="s">
        <v>562</v>
      </c>
      <c r="V164" s="1"/>
      <c r="Z164"/>
    </row>
    <row r="165" spans="2:26" x14ac:dyDescent="0.35">
      <c r="B165" s="3" t="s">
        <v>563</v>
      </c>
      <c r="C165" s="3" t="s">
        <v>564</v>
      </c>
      <c r="D165" s="3" t="s">
        <v>397</v>
      </c>
      <c r="J165" s="1" t="s">
        <v>66</v>
      </c>
      <c r="K165" s="5" t="s">
        <v>141</v>
      </c>
      <c r="L165" s="6" t="s">
        <v>247</v>
      </c>
      <c r="N165" s="1" t="s">
        <v>3</v>
      </c>
      <c r="O165" s="4" t="s">
        <v>151</v>
      </c>
      <c r="P165" s="4" t="s">
        <v>565</v>
      </c>
      <c r="V165" s="1"/>
      <c r="Z165"/>
    </row>
    <row r="166" spans="2:26" x14ac:dyDescent="0.35">
      <c r="B166" s="3" t="s">
        <v>566</v>
      </c>
      <c r="C166" s="3" t="s">
        <v>567</v>
      </c>
      <c r="D166" s="3" t="s">
        <v>400</v>
      </c>
      <c r="J166" s="1" t="s">
        <v>66</v>
      </c>
      <c r="K166" s="5" t="s">
        <v>141</v>
      </c>
      <c r="L166" s="6" t="s">
        <v>199</v>
      </c>
      <c r="N166" s="1" t="s">
        <v>3</v>
      </c>
      <c r="O166" s="4" t="s">
        <v>151</v>
      </c>
      <c r="P166" s="4" t="s">
        <v>568</v>
      </c>
      <c r="V166" s="1"/>
      <c r="Z166"/>
    </row>
    <row r="167" spans="2:26" x14ac:dyDescent="0.35">
      <c r="B167" s="3" t="s">
        <v>569</v>
      </c>
      <c r="C167" s="3" t="s">
        <v>570</v>
      </c>
      <c r="D167" s="3" t="s">
        <v>403</v>
      </c>
      <c r="J167" s="1" t="s">
        <v>66</v>
      </c>
      <c r="K167" s="5" t="s">
        <v>141</v>
      </c>
      <c r="L167" s="6" t="s">
        <v>202</v>
      </c>
      <c r="N167" s="1" t="s">
        <v>3</v>
      </c>
      <c r="O167" s="4" t="s">
        <v>151</v>
      </c>
      <c r="P167" s="4" t="s">
        <v>571</v>
      </c>
      <c r="V167" s="1"/>
      <c r="Z167"/>
    </row>
    <row r="168" spans="2:26" x14ac:dyDescent="0.35">
      <c r="B168" s="3" t="s">
        <v>572</v>
      </c>
      <c r="C168" s="3" t="s">
        <v>573</v>
      </c>
      <c r="D168" s="3" t="s">
        <v>406</v>
      </c>
      <c r="J168" s="1" t="s">
        <v>66</v>
      </c>
      <c r="K168" s="5" t="s">
        <v>141</v>
      </c>
      <c r="L168" s="6" t="s">
        <v>206</v>
      </c>
      <c r="N168" s="1" t="s">
        <v>3</v>
      </c>
      <c r="O168" s="4" t="s">
        <v>151</v>
      </c>
      <c r="P168" s="4" t="s">
        <v>574</v>
      </c>
      <c r="V168" s="1"/>
      <c r="Z168"/>
    </row>
    <row r="169" spans="2:26" x14ac:dyDescent="0.35">
      <c r="B169" s="3" t="s">
        <v>575</v>
      </c>
      <c r="C169" s="3" t="s">
        <v>576</v>
      </c>
      <c r="D169" s="3" t="s">
        <v>409</v>
      </c>
      <c r="J169" s="1" t="s">
        <v>66</v>
      </c>
      <c r="K169" s="5" t="s">
        <v>141</v>
      </c>
      <c r="L169" s="6" t="s">
        <v>210</v>
      </c>
      <c r="N169" s="1" t="s">
        <v>3</v>
      </c>
      <c r="O169" s="4" t="s">
        <v>151</v>
      </c>
      <c r="P169" s="4" t="s">
        <v>577</v>
      </c>
      <c r="V169" s="1"/>
      <c r="Z169"/>
    </row>
    <row r="170" spans="2:26" x14ac:dyDescent="0.35">
      <c r="B170" s="3" t="s">
        <v>578</v>
      </c>
      <c r="C170" s="3" t="s">
        <v>579</v>
      </c>
      <c r="D170" s="3" t="s">
        <v>412</v>
      </c>
      <c r="J170" s="1" t="s">
        <v>66</v>
      </c>
      <c r="K170" s="5" t="s">
        <v>141</v>
      </c>
      <c r="L170" s="6" t="s">
        <v>213</v>
      </c>
      <c r="N170" s="1" t="s">
        <v>3</v>
      </c>
      <c r="O170" s="4" t="s">
        <v>154</v>
      </c>
      <c r="P170" s="4" t="s">
        <v>580</v>
      </c>
      <c r="V170" s="1"/>
      <c r="Z170"/>
    </row>
    <row r="171" spans="2:26" x14ac:dyDescent="0.35">
      <c r="B171" s="3" t="s">
        <v>581</v>
      </c>
      <c r="C171" s="3" t="s">
        <v>582</v>
      </c>
      <c r="D171" s="3" t="s">
        <v>415</v>
      </c>
      <c r="J171" s="1" t="s">
        <v>66</v>
      </c>
      <c r="K171" s="5" t="s">
        <v>141</v>
      </c>
      <c r="L171" s="6" t="s">
        <v>216</v>
      </c>
      <c r="N171" s="1" t="s">
        <v>3</v>
      </c>
      <c r="O171" s="4" t="s">
        <v>154</v>
      </c>
      <c r="P171" s="4" t="s">
        <v>583</v>
      </c>
      <c r="V171" s="1"/>
      <c r="Z171"/>
    </row>
    <row r="172" spans="2:26" x14ac:dyDescent="0.35">
      <c r="B172" s="3" t="s">
        <v>584</v>
      </c>
      <c r="C172" s="3" t="s">
        <v>585</v>
      </c>
      <c r="D172" s="3" t="s">
        <v>418</v>
      </c>
      <c r="J172" s="1" t="s">
        <v>66</v>
      </c>
      <c r="K172" s="5" t="s">
        <v>141</v>
      </c>
      <c r="L172" s="6" t="s">
        <v>250</v>
      </c>
      <c r="N172" s="1" t="s">
        <v>3</v>
      </c>
      <c r="O172" s="4" t="s">
        <v>154</v>
      </c>
      <c r="P172" s="4" t="s">
        <v>586</v>
      </c>
      <c r="V172" s="1"/>
      <c r="Z172"/>
    </row>
    <row r="173" spans="2:26" x14ac:dyDescent="0.35">
      <c r="B173" s="3" t="s">
        <v>587</v>
      </c>
      <c r="C173" s="3" t="s">
        <v>588</v>
      </c>
      <c r="D173" s="3" t="s">
        <v>421</v>
      </c>
      <c r="J173" s="1" t="s">
        <v>66</v>
      </c>
      <c r="K173" s="5" t="s">
        <v>141</v>
      </c>
      <c r="L173" s="6" t="s">
        <v>141</v>
      </c>
      <c r="N173" s="1" t="s">
        <v>3</v>
      </c>
      <c r="O173" s="4" t="s">
        <v>154</v>
      </c>
      <c r="P173" s="4" t="s">
        <v>589</v>
      </c>
      <c r="V173" s="1"/>
      <c r="Z173"/>
    </row>
    <row r="174" spans="2:26" x14ac:dyDescent="0.35">
      <c r="B174" s="3" t="s">
        <v>590</v>
      </c>
      <c r="C174" s="3" t="s">
        <v>591</v>
      </c>
      <c r="D174" s="3" t="s">
        <v>424</v>
      </c>
      <c r="J174" s="1" t="s">
        <v>66</v>
      </c>
      <c r="K174" s="5" t="s">
        <v>141</v>
      </c>
      <c r="L174" s="6" t="s">
        <v>220</v>
      </c>
      <c r="N174" s="1" t="s">
        <v>3</v>
      </c>
      <c r="O174" s="4" t="s">
        <v>154</v>
      </c>
      <c r="P174" s="4" t="s">
        <v>592</v>
      </c>
      <c r="V174" s="1"/>
      <c r="Z174"/>
    </row>
    <row r="175" spans="2:26" x14ac:dyDescent="0.35">
      <c r="B175" s="3" t="s">
        <v>593</v>
      </c>
      <c r="C175" s="3" t="s">
        <v>594</v>
      </c>
      <c r="D175" s="3" t="s">
        <v>427</v>
      </c>
      <c r="J175" s="1" t="s">
        <v>66</v>
      </c>
      <c r="K175" s="5" t="s">
        <v>141</v>
      </c>
      <c r="L175" s="6" t="s">
        <v>223</v>
      </c>
      <c r="N175" s="1" t="s">
        <v>3</v>
      </c>
      <c r="O175" s="4" t="s">
        <v>154</v>
      </c>
      <c r="P175" s="4" t="s">
        <v>595</v>
      </c>
      <c r="V175" s="1"/>
      <c r="Z175"/>
    </row>
    <row r="176" spans="2:26" x14ac:dyDescent="0.35">
      <c r="B176" s="3" t="s">
        <v>596</v>
      </c>
      <c r="C176" s="3" t="s">
        <v>597</v>
      </c>
      <c r="D176" s="3" t="s">
        <v>430</v>
      </c>
      <c r="J176" s="1" t="s">
        <v>66</v>
      </c>
      <c r="K176" s="5" t="s">
        <v>141</v>
      </c>
      <c r="L176" s="6" t="s">
        <v>226</v>
      </c>
      <c r="N176" s="1" t="s">
        <v>3</v>
      </c>
      <c r="O176" s="4" t="s">
        <v>154</v>
      </c>
      <c r="P176" s="4" t="s">
        <v>598</v>
      </c>
      <c r="V176" s="1"/>
      <c r="Z176"/>
    </row>
    <row r="177" spans="2:26" x14ac:dyDescent="0.35">
      <c r="B177" s="3" t="s">
        <v>599</v>
      </c>
      <c r="C177" s="3" t="s">
        <v>600</v>
      </c>
      <c r="D177" s="3" t="s">
        <v>433</v>
      </c>
      <c r="J177" s="1" t="s">
        <v>66</v>
      </c>
      <c r="K177" s="5" t="s">
        <v>141</v>
      </c>
      <c r="L177" s="6" t="s">
        <v>229</v>
      </c>
      <c r="N177" s="1" t="s">
        <v>3</v>
      </c>
      <c r="O177" s="4" t="s">
        <v>156</v>
      </c>
      <c r="P177" s="4" t="s">
        <v>601</v>
      </c>
      <c r="V177" s="1"/>
      <c r="Z177"/>
    </row>
    <row r="178" spans="2:26" x14ac:dyDescent="0.35">
      <c r="B178" s="3" t="s">
        <v>602</v>
      </c>
      <c r="C178" s="3" t="s">
        <v>603</v>
      </c>
      <c r="D178" s="3" t="s">
        <v>436</v>
      </c>
      <c r="J178" s="1" t="s">
        <v>66</v>
      </c>
      <c r="K178" s="5" t="s">
        <v>141</v>
      </c>
      <c r="L178" s="6" t="s">
        <v>232</v>
      </c>
      <c r="N178" s="1" t="s">
        <v>3</v>
      </c>
      <c r="O178" s="4" t="s">
        <v>156</v>
      </c>
      <c r="P178" s="4" t="s">
        <v>604</v>
      </c>
      <c r="V178" s="1"/>
      <c r="Z178"/>
    </row>
    <row r="179" spans="2:26" x14ac:dyDescent="0.35">
      <c r="B179" s="3" t="s">
        <v>605</v>
      </c>
      <c r="C179" s="3" t="s">
        <v>606</v>
      </c>
      <c r="D179" s="3" t="s">
        <v>439</v>
      </c>
      <c r="J179" s="1" t="s">
        <v>66</v>
      </c>
      <c r="K179" s="5" t="s">
        <v>141</v>
      </c>
      <c r="L179" s="6" t="s">
        <v>235</v>
      </c>
      <c r="N179" s="1" t="s">
        <v>3</v>
      </c>
      <c r="O179" s="4" t="s">
        <v>156</v>
      </c>
      <c r="P179" s="4" t="s">
        <v>607</v>
      </c>
      <c r="V179" s="1"/>
      <c r="Z179"/>
    </row>
    <row r="180" spans="2:26" x14ac:dyDescent="0.35">
      <c r="B180" s="3" t="s">
        <v>608</v>
      </c>
      <c r="C180" s="3" t="s">
        <v>609</v>
      </c>
      <c r="D180" s="3" t="s">
        <v>442</v>
      </c>
      <c r="J180" s="1" t="s">
        <v>66</v>
      </c>
      <c r="K180" s="5" t="s">
        <v>141</v>
      </c>
      <c r="L180" s="6" t="s">
        <v>238</v>
      </c>
      <c r="N180" s="1" t="s">
        <v>3</v>
      </c>
      <c r="O180" s="4" t="s">
        <v>159</v>
      </c>
      <c r="P180" s="4" t="s">
        <v>610</v>
      </c>
      <c r="V180" s="1"/>
      <c r="Z180"/>
    </row>
    <row r="181" spans="2:26" x14ac:dyDescent="0.35">
      <c r="B181" s="3" t="s">
        <v>611</v>
      </c>
      <c r="C181" s="3" t="s">
        <v>612</v>
      </c>
      <c r="D181" s="3" t="s">
        <v>445</v>
      </c>
      <c r="J181" s="1" t="s">
        <v>66</v>
      </c>
      <c r="K181" s="5" t="s">
        <v>141</v>
      </c>
      <c r="L181" s="6" t="s">
        <v>241</v>
      </c>
      <c r="N181" s="1" t="s">
        <v>3</v>
      </c>
      <c r="O181" s="4" t="s">
        <v>159</v>
      </c>
      <c r="P181" s="4" t="s">
        <v>613</v>
      </c>
      <c r="V181" s="1"/>
      <c r="Z181"/>
    </row>
    <row r="182" spans="2:26" x14ac:dyDescent="0.35">
      <c r="B182" s="3" t="s">
        <v>614</v>
      </c>
      <c r="C182" s="3" t="s">
        <v>615</v>
      </c>
      <c r="D182" s="3" t="s">
        <v>448</v>
      </c>
      <c r="J182" s="1" t="s">
        <v>66</v>
      </c>
      <c r="K182" s="5" t="s">
        <v>141</v>
      </c>
      <c r="L182" s="6" t="s">
        <v>244</v>
      </c>
      <c r="N182" s="1" t="s">
        <v>3</v>
      </c>
      <c r="O182" s="4" t="s">
        <v>159</v>
      </c>
      <c r="P182" s="4" t="s">
        <v>616</v>
      </c>
      <c r="V182" s="1"/>
      <c r="Z182"/>
    </row>
    <row r="183" spans="2:26" x14ac:dyDescent="0.35">
      <c r="B183" s="3" t="s">
        <v>617</v>
      </c>
      <c r="C183" s="3" t="s">
        <v>618</v>
      </c>
      <c r="D183" s="3" t="s">
        <v>451</v>
      </c>
      <c r="J183" s="1" t="s">
        <v>66</v>
      </c>
      <c r="K183" s="5" t="s">
        <v>145</v>
      </c>
      <c r="L183" s="6" t="s">
        <v>253</v>
      </c>
      <c r="N183" s="1" t="s">
        <v>3</v>
      </c>
      <c r="O183" s="4" t="s">
        <v>159</v>
      </c>
      <c r="P183" s="4" t="s">
        <v>619</v>
      </c>
      <c r="V183" s="1"/>
      <c r="Z183"/>
    </row>
    <row r="184" spans="2:26" x14ac:dyDescent="0.35">
      <c r="B184" s="3" t="s">
        <v>620</v>
      </c>
      <c r="C184" s="3" t="s">
        <v>621</v>
      </c>
      <c r="D184" s="3" t="s">
        <v>454</v>
      </c>
      <c r="J184" s="1" t="s">
        <v>66</v>
      </c>
      <c r="K184" s="5" t="s">
        <v>145</v>
      </c>
      <c r="L184" s="6" t="s">
        <v>180</v>
      </c>
      <c r="N184" s="1" t="s">
        <v>3</v>
      </c>
      <c r="O184" s="4" t="s">
        <v>159</v>
      </c>
      <c r="P184" s="4" t="s">
        <v>622</v>
      </c>
      <c r="V184" s="1"/>
      <c r="Z184"/>
    </row>
    <row r="185" spans="2:26" x14ac:dyDescent="0.35">
      <c r="B185" s="3" t="s">
        <v>623</v>
      </c>
      <c r="C185" s="3" t="s">
        <v>624</v>
      </c>
      <c r="D185" s="3" t="s">
        <v>457</v>
      </c>
      <c r="J185" s="1" t="s">
        <v>66</v>
      </c>
      <c r="K185" s="5" t="s">
        <v>145</v>
      </c>
      <c r="L185" s="6" t="s">
        <v>183</v>
      </c>
      <c r="N185" s="1" t="s">
        <v>3</v>
      </c>
      <c r="O185" s="4" t="s">
        <v>159</v>
      </c>
      <c r="P185" s="4" t="s">
        <v>625</v>
      </c>
      <c r="V185" s="1"/>
      <c r="Z185"/>
    </row>
    <row r="186" spans="2:26" x14ac:dyDescent="0.35">
      <c r="B186" s="3" t="s">
        <v>626</v>
      </c>
      <c r="C186" s="3" t="s">
        <v>627</v>
      </c>
      <c r="D186" s="3" t="s">
        <v>460</v>
      </c>
      <c r="J186" s="1" t="s">
        <v>66</v>
      </c>
      <c r="K186" s="5" t="s">
        <v>145</v>
      </c>
      <c r="L186" s="6" t="s">
        <v>186</v>
      </c>
      <c r="N186" s="1" t="s">
        <v>3</v>
      </c>
      <c r="O186" s="4" t="s">
        <v>161</v>
      </c>
      <c r="P186" s="4" t="s">
        <v>628</v>
      </c>
      <c r="V186" s="1"/>
      <c r="Z186"/>
    </row>
    <row r="187" spans="2:26" x14ac:dyDescent="0.35">
      <c r="B187" s="3" t="s">
        <v>629</v>
      </c>
      <c r="C187" s="3" t="s">
        <v>630</v>
      </c>
      <c r="D187" s="3" t="s">
        <v>463</v>
      </c>
      <c r="J187" s="1" t="s">
        <v>66</v>
      </c>
      <c r="K187" s="5" t="s">
        <v>145</v>
      </c>
      <c r="L187" s="6" t="s">
        <v>189</v>
      </c>
      <c r="N187" s="1" t="s">
        <v>3</v>
      </c>
      <c r="O187" s="4" t="s">
        <v>161</v>
      </c>
      <c r="P187" s="4" t="s">
        <v>631</v>
      </c>
      <c r="V187" s="1"/>
      <c r="Z187"/>
    </row>
    <row r="188" spans="2:26" x14ac:dyDescent="0.35">
      <c r="B188" s="3" t="s">
        <v>632</v>
      </c>
      <c r="C188" s="3" t="s">
        <v>633</v>
      </c>
      <c r="D188" s="3" t="s">
        <v>466</v>
      </c>
      <c r="J188" s="1" t="s">
        <v>66</v>
      </c>
      <c r="K188" s="5" t="s">
        <v>145</v>
      </c>
      <c r="L188" s="6" t="s">
        <v>192</v>
      </c>
      <c r="N188" s="1" t="s">
        <v>3</v>
      </c>
      <c r="O188" s="4" t="s">
        <v>161</v>
      </c>
      <c r="P188" s="4" t="s">
        <v>634</v>
      </c>
      <c r="V188" s="1"/>
      <c r="Z188"/>
    </row>
    <row r="189" spans="2:26" x14ac:dyDescent="0.35">
      <c r="B189" s="3" t="s">
        <v>635</v>
      </c>
      <c r="C189" s="3" t="s">
        <v>636</v>
      </c>
      <c r="D189" s="3" t="s">
        <v>469</v>
      </c>
      <c r="J189" s="1" t="s">
        <v>66</v>
      </c>
      <c r="K189" s="5" t="s">
        <v>145</v>
      </c>
      <c r="L189" s="6" t="s">
        <v>195</v>
      </c>
      <c r="N189" s="1" t="s">
        <v>3</v>
      </c>
      <c r="O189" s="4" t="s">
        <v>163</v>
      </c>
      <c r="P189" s="4" t="s">
        <v>637</v>
      </c>
      <c r="V189" s="1"/>
      <c r="Z189"/>
    </row>
    <row r="190" spans="2:26" x14ac:dyDescent="0.35">
      <c r="B190" s="3" t="s">
        <v>638</v>
      </c>
      <c r="C190" s="3" t="s">
        <v>639</v>
      </c>
      <c r="D190" s="3" t="s">
        <v>472</v>
      </c>
      <c r="J190" s="1" t="s">
        <v>66</v>
      </c>
      <c r="K190" s="5" t="s">
        <v>145</v>
      </c>
      <c r="L190" s="6" t="s">
        <v>247</v>
      </c>
      <c r="N190" s="1" t="s">
        <v>3</v>
      </c>
      <c r="O190" s="4" t="s">
        <v>163</v>
      </c>
      <c r="P190" s="4" t="s">
        <v>640</v>
      </c>
      <c r="V190" s="1"/>
      <c r="Z190"/>
    </row>
    <row r="191" spans="2:26" x14ac:dyDescent="0.35">
      <c r="B191" s="3" t="s">
        <v>641</v>
      </c>
      <c r="C191" s="3" t="s">
        <v>642</v>
      </c>
      <c r="D191" s="3" t="s">
        <v>475</v>
      </c>
      <c r="J191" s="1" t="s">
        <v>66</v>
      </c>
      <c r="K191" s="5" t="s">
        <v>145</v>
      </c>
      <c r="L191" s="6" t="s">
        <v>199</v>
      </c>
      <c r="N191" s="1" t="s">
        <v>3</v>
      </c>
      <c r="O191" s="4" t="s">
        <v>166</v>
      </c>
      <c r="P191" s="4" t="s">
        <v>643</v>
      </c>
      <c r="V191" s="1"/>
      <c r="Z191"/>
    </row>
    <row r="192" spans="2:26" x14ac:dyDescent="0.35">
      <c r="B192" s="3" t="s">
        <v>644</v>
      </c>
      <c r="C192" s="3" t="s">
        <v>645</v>
      </c>
      <c r="D192" s="3" t="s">
        <v>478</v>
      </c>
      <c r="J192" s="1" t="s">
        <v>66</v>
      </c>
      <c r="K192" s="5" t="s">
        <v>145</v>
      </c>
      <c r="L192" s="6" t="s">
        <v>202</v>
      </c>
      <c r="N192" s="1" t="s">
        <v>3</v>
      </c>
      <c r="O192" s="4" t="s">
        <v>166</v>
      </c>
      <c r="P192" s="4" t="s">
        <v>646</v>
      </c>
      <c r="V192" s="1"/>
      <c r="Z192"/>
    </row>
    <row r="193" spans="2:27" x14ac:dyDescent="0.35">
      <c r="B193" s="3" t="s">
        <v>647</v>
      </c>
      <c r="C193" s="3" t="s">
        <v>648</v>
      </c>
      <c r="D193" s="3" t="s">
        <v>481</v>
      </c>
      <c r="J193" s="1" t="s">
        <v>66</v>
      </c>
      <c r="K193" s="5" t="s">
        <v>145</v>
      </c>
      <c r="L193" s="6" t="s">
        <v>206</v>
      </c>
      <c r="N193" s="1" t="s">
        <v>3</v>
      </c>
      <c r="O193" s="4" t="s">
        <v>166</v>
      </c>
      <c r="P193" s="4" t="s">
        <v>649</v>
      </c>
      <c r="V193" s="1"/>
      <c r="Z193"/>
    </row>
    <row r="194" spans="2:27" x14ac:dyDescent="0.35">
      <c r="B194" s="3" t="s">
        <v>650</v>
      </c>
      <c r="C194" s="3" t="s">
        <v>651</v>
      </c>
      <c r="D194" s="3" t="s">
        <v>484</v>
      </c>
      <c r="J194" s="1" t="s">
        <v>66</v>
      </c>
      <c r="K194" s="5" t="s">
        <v>145</v>
      </c>
      <c r="L194" s="6" t="s">
        <v>210</v>
      </c>
      <c r="N194" s="1" t="s">
        <v>3</v>
      </c>
      <c r="O194" s="4" t="s">
        <v>166</v>
      </c>
      <c r="P194" s="4" t="s">
        <v>652</v>
      </c>
      <c r="V194" s="1"/>
      <c r="Z194"/>
    </row>
    <row r="195" spans="2:27" x14ac:dyDescent="0.35">
      <c r="B195" s="3" t="s">
        <v>653</v>
      </c>
      <c r="C195" s="3" t="s">
        <v>654</v>
      </c>
      <c r="D195" s="3" t="s">
        <v>487</v>
      </c>
      <c r="J195" s="1" t="s">
        <v>66</v>
      </c>
      <c r="K195" s="5" t="s">
        <v>145</v>
      </c>
      <c r="L195" s="6" t="s">
        <v>213</v>
      </c>
      <c r="N195" s="1" t="s">
        <v>3</v>
      </c>
      <c r="O195" s="4" t="s">
        <v>166</v>
      </c>
      <c r="P195" s="4" t="s">
        <v>655</v>
      </c>
      <c r="V195" s="1"/>
      <c r="Z195"/>
    </row>
    <row r="196" spans="2:27" x14ac:dyDescent="0.35">
      <c r="B196" s="3" t="s">
        <v>656</v>
      </c>
      <c r="C196" s="3" t="s">
        <v>657</v>
      </c>
      <c r="D196" s="3" t="s">
        <v>490</v>
      </c>
      <c r="J196" s="1" t="s">
        <v>66</v>
      </c>
      <c r="K196" s="5" t="s">
        <v>145</v>
      </c>
      <c r="L196" s="6" t="s">
        <v>216</v>
      </c>
      <c r="N196" s="1" t="s">
        <v>3</v>
      </c>
      <c r="O196" s="4" t="s">
        <v>168</v>
      </c>
      <c r="P196" s="4" t="s">
        <v>421</v>
      </c>
      <c r="V196" s="1"/>
      <c r="Z196"/>
    </row>
    <row r="197" spans="2:27" x14ac:dyDescent="0.35">
      <c r="B197" s="3" t="s">
        <v>658</v>
      </c>
      <c r="C197" s="3" t="s">
        <v>659</v>
      </c>
      <c r="D197" s="3" t="s">
        <v>493</v>
      </c>
      <c r="J197" s="1" t="s">
        <v>66</v>
      </c>
      <c r="K197" s="5" t="s">
        <v>145</v>
      </c>
      <c r="L197" s="6" t="s">
        <v>256</v>
      </c>
      <c r="N197" s="1" t="s">
        <v>3</v>
      </c>
      <c r="O197" s="4" t="s">
        <v>168</v>
      </c>
      <c r="P197" s="4" t="s">
        <v>424</v>
      </c>
      <c r="V197" s="1"/>
      <c r="Z197"/>
    </row>
    <row r="198" spans="2:27" x14ac:dyDescent="0.35">
      <c r="B198" s="3" t="s">
        <v>660</v>
      </c>
      <c r="C198" s="3" t="s">
        <v>661</v>
      </c>
      <c r="D198" s="3" t="s">
        <v>496</v>
      </c>
      <c r="J198" s="1" t="s">
        <v>66</v>
      </c>
      <c r="K198" s="5" t="s">
        <v>145</v>
      </c>
      <c r="L198" s="6" t="s">
        <v>250</v>
      </c>
      <c r="N198" s="1" t="s">
        <v>3</v>
      </c>
      <c r="O198" s="4" t="s">
        <v>168</v>
      </c>
      <c r="P198" s="4" t="s">
        <v>427</v>
      </c>
      <c r="V198" s="1"/>
      <c r="Z198"/>
    </row>
    <row r="199" spans="2:27" x14ac:dyDescent="0.35">
      <c r="B199" s="3" t="s">
        <v>662</v>
      </c>
      <c r="C199" s="3" t="s">
        <v>663</v>
      </c>
      <c r="D199" s="3" t="s">
        <v>499</v>
      </c>
      <c r="J199" s="1" t="s">
        <v>66</v>
      </c>
      <c r="K199" s="5" t="s">
        <v>145</v>
      </c>
      <c r="L199" s="6" t="s">
        <v>141</v>
      </c>
      <c r="N199" s="1" t="s">
        <v>66</v>
      </c>
      <c r="O199" s="6" t="s">
        <v>206</v>
      </c>
      <c r="P199" s="6" t="s">
        <v>262</v>
      </c>
      <c r="V199" s="1"/>
      <c r="Z199"/>
      <c r="AA199"/>
    </row>
    <row r="200" spans="2:27" x14ac:dyDescent="0.35">
      <c r="B200" s="3" t="s">
        <v>664</v>
      </c>
      <c r="C200" s="3" t="s">
        <v>665</v>
      </c>
      <c r="D200" s="3" t="s">
        <v>502</v>
      </c>
      <c r="J200" s="1" t="s">
        <v>66</v>
      </c>
      <c r="K200" s="5" t="s">
        <v>145</v>
      </c>
      <c r="L200" s="6" t="s">
        <v>220</v>
      </c>
      <c r="N200" s="1" t="s">
        <v>66</v>
      </c>
      <c r="O200" s="6" t="s">
        <v>206</v>
      </c>
      <c r="P200" s="6" t="s">
        <v>265</v>
      </c>
      <c r="V200" s="1"/>
      <c r="Z200"/>
      <c r="AA200"/>
    </row>
    <row r="201" spans="2:27" x14ac:dyDescent="0.35">
      <c r="B201" s="3" t="s">
        <v>666</v>
      </c>
      <c r="C201" s="3" t="s">
        <v>667</v>
      </c>
      <c r="D201" s="3" t="s">
        <v>505</v>
      </c>
      <c r="J201" s="1" t="s">
        <v>66</v>
      </c>
      <c r="K201" s="5" t="s">
        <v>145</v>
      </c>
      <c r="L201" s="6" t="s">
        <v>259</v>
      </c>
      <c r="N201" s="1" t="s">
        <v>66</v>
      </c>
      <c r="O201" s="6" t="s">
        <v>206</v>
      </c>
      <c r="P201" s="6" t="s">
        <v>268</v>
      </c>
      <c r="V201" s="1"/>
      <c r="Z201"/>
      <c r="AA201"/>
    </row>
    <row r="202" spans="2:27" x14ac:dyDescent="0.35">
      <c r="B202" s="3" t="s">
        <v>668</v>
      </c>
      <c r="C202" s="3" t="s">
        <v>669</v>
      </c>
      <c r="D202" s="3" t="s">
        <v>508</v>
      </c>
      <c r="J202" s="1" t="s">
        <v>66</v>
      </c>
      <c r="K202" s="5" t="s">
        <v>145</v>
      </c>
      <c r="L202" s="6" t="s">
        <v>223</v>
      </c>
      <c r="N202" s="1" t="s">
        <v>66</v>
      </c>
      <c r="O202" s="6" t="s">
        <v>206</v>
      </c>
      <c r="P202" s="6" t="s">
        <v>271</v>
      </c>
      <c r="V202" s="1"/>
      <c r="Z202"/>
      <c r="AA202"/>
    </row>
    <row r="203" spans="2:27" x14ac:dyDescent="0.35">
      <c r="B203" s="3" t="s">
        <v>670</v>
      </c>
      <c r="C203" s="3" t="s">
        <v>671</v>
      </c>
      <c r="D203" s="3" t="s">
        <v>511</v>
      </c>
      <c r="J203" s="1" t="s">
        <v>66</v>
      </c>
      <c r="K203" s="5" t="s">
        <v>145</v>
      </c>
      <c r="L203" s="6" t="s">
        <v>226</v>
      </c>
      <c r="N203" s="1" t="s">
        <v>66</v>
      </c>
      <c r="O203" s="6" t="s">
        <v>206</v>
      </c>
      <c r="P203" s="6" t="s">
        <v>274</v>
      </c>
      <c r="V203" s="1"/>
      <c r="Z203"/>
      <c r="AA203"/>
    </row>
    <row r="204" spans="2:27" x14ac:dyDescent="0.35">
      <c r="B204" s="3" t="s">
        <v>672</v>
      </c>
      <c r="C204" s="3" t="s">
        <v>673</v>
      </c>
      <c r="D204" s="3" t="s">
        <v>514</v>
      </c>
      <c r="J204" s="1" t="s">
        <v>66</v>
      </c>
      <c r="K204" s="5" t="s">
        <v>145</v>
      </c>
      <c r="L204" s="6" t="s">
        <v>229</v>
      </c>
      <c r="N204" s="1" t="s">
        <v>66</v>
      </c>
      <c r="O204" s="6" t="s">
        <v>206</v>
      </c>
      <c r="P204" s="6" t="s">
        <v>277</v>
      </c>
      <c r="V204" s="1"/>
      <c r="Z204"/>
      <c r="AA204"/>
    </row>
    <row r="205" spans="2:27" x14ac:dyDescent="0.35">
      <c r="B205" s="3" t="s">
        <v>674</v>
      </c>
      <c r="C205" s="3" t="s">
        <v>675</v>
      </c>
      <c r="D205" s="3" t="s">
        <v>517</v>
      </c>
      <c r="J205" s="1" t="s">
        <v>66</v>
      </c>
      <c r="K205" s="5" t="s">
        <v>145</v>
      </c>
      <c r="L205" s="6" t="s">
        <v>232</v>
      </c>
      <c r="N205" s="1" t="s">
        <v>66</v>
      </c>
      <c r="O205" s="6" t="s">
        <v>206</v>
      </c>
      <c r="P205" s="6" t="s">
        <v>280</v>
      </c>
      <c r="V205" s="1"/>
      <c r="Z205"/>
      <c r="AA205"/>
    </row>
    <row r="206" spans="2:27" x14ac:dyDescent="0.35">
      <c r="B206" s="3" t="s">
        <v>676</v>
      </c>
      <c r="C206" s="3" t="s">
        <v>677</v>
      </c>
      <c r="D206" s="3" t="s">
        <v>520</v>
      </c>
      <c r="J206" s="1" t="s">
        <v>66</v>
      </c>
      <c r="K206" s="5" t="s">
        <v>145</v>
      </c>
      <c r="L206" s="6" t="s">
        <v>235</v>
      </c>
      <c r="N206" s="1" t="s">
        <v>66</v>
      </c>
      <c r="O206" s="6" t="s">
        <v>206</v>
      </c>
      <c r="P206" s="6" t="s">
        <v>283</v>
      </c>
      <c r="V206" s="1"/>
      <c r="Z206"/>
      <c r="AA206"/>
    </row>
    <row r="207" spans="2:27" x14ac:dyDescent="0.35">
      <c r="B207" s="3" t="s">
        <v>678</v>
      </c>
      <c r="C207" s="3" t="s">
        <v>679</v>
      </c>
      <c r="D207" s="3" t="s">
        <v>523</v>
      </c>
      <c r="J207" s="1" t="s">
        <v>66</v>
      </c>
      <c r="K207" s="5" t="s">
        <v>145</v>
      </c>
      <c r="L207" s="6" t="s">
        <v>238</v>
      </c>
      <c r="N207" s="1" t="s">
        <v>66</v>
      </c>
      <c r="O207" s="6" t="s">
        <v>180</v>
      </c>
      <c r="P207" s="6" t="s">
        <v>286</v>
      </c>
      <c r="V207" s="1"/>
      <c r="Z207"/>
      <c r="AA207"/>
    </row>
    <row r="208" spans="2:27" x14ac:dyDescent="0.35">
      <c r="B208" s="3" t="s">
        <v>680</v>
      </c>
      <c r="C208" s="3" t="s">
        <v>681</v>
      </c>
      <c r="D208" s="3" t="s">
        <v>526</v>
      </c>
      <c r="J208" s="1" t="s">
        <v>66</v>
      </c>
      <c r="K208" s="5" t="s">
        <v>145</v>
      </c>
      <c r="L208" s="6" t="s">
        <v>241</v>
      </c>
      <c r="N208" s="1" t="s">
        <v>66</v>
      </c>
      <c r="O208" s="6" t="s">
        <v>180</v>
      </c>
      <c r="P208" s="6" t="s">
        <v>286</v>
      </c>
      <c r="V208" s="1"/>
      <c r="Z208"/>
      <c r="AA208"/>
    </row>
    <row r="209" spans="2:27" x14ac:dyDescent="0.35">
      <c r="B209" s="3" t="s">
        <v>682</v>
      </c>
      <c r="C209" s="3" t="s">
        <v>683</v>
      </c>
      <c r="D209" s="3" t="s">
        <v>529</v>
      </c>
      <c r="J209" s="1" t="s">
        <v>66</v>
      </c>
      <c r="K209" s="5" t="s">
        <v>145</v>
      </c>
      <c r="L209" s="6" t="s">
        <v>244</v>
      </c>
      <c r="N209" s="1" t="s">
        <v>66</v>
      </c>
      <c r="O209" s="6" t="s">
        <v>180</v>
      </c>
      <c r="P209" s="6" t="s">
        <v>291</v>
      </c>
      <c r="V209" s="1"/>
      <c r="Z209"/>
      <c r="AA209"/>
    </row>
    <row r="210" spans="2:27" x14ac:dyDescent="0.35">
      <c r="B210" s="3" t="s">
        <v>684</v>
      </c>
      <c r="C210" s="3" t="s">
        <v>685</v>
      </c>
      <c r="D210" s="3" t="s">
        <v>532</v>
      </c>
      <c r="J210" s="1" t="s">
        <v>66</v>
      </c>
      <c r="K210" s="5" t="s">
        <v>138</v>
      </c>
      <c r="L210" s="6" t="s">
        <v>223</v>
      </c>
      <c r="N210" s="1" t="s">
        <v>66</v>
      </c>
      <c r="O210" s="6" t="s">
        <v>180</v>
      </c>
      <c r="P210" s="6" t="s">
        <v>294</v>
      </c>
      <c r="V210" s="1"/>
      <c r="Z210"/>
      <c r="AA210"/>
    </row>
    <row r="211" spans="2:27" x14ac:dyDescent="0.35">
      <c r="B211" s="3" t="s">
        <v>686</v>
      </c>
      <c r="C211" s="3" t="s">
        <v>687</v>
      </c>
      <c r="D211" s="3" t="s">
        <v>535</v>
      </c>
      <c r="J211" s="1" t="s">
        <v>66</v>
      </c>
      <c r="K211" s="5" t="s">
        <v>138</v>
      </c>
      <c r="L211" s="6" t="s">
        <v>226</v>
      </c>
      <c r="N211" s="1" t="s">
        <v>66</v>
      </c>
      <c r="O211" s="6" t="s">
        <v>180</v>
      </c>
      <c r="P211" s="6" t="s">
        <v>297</v>
      </c>
      <c r="V211" s="1"/>
      <c r="Z211"/>
      <c r="AA211"/>
    </row>
    <row r="212" spans="2:27" x14ac:dyDescent="0.35">
      <c r="B212" s="3" t="s">
        <v>688</v>
      </c>
      <c r="C212" s="3" t="s">
        <v>689</v>
      </c>
      <c r="D212" s="3" t="s">
        <v>538</v>
      </c>
      <c r="J212" s="1" t="s">
        <v>66</v>
      </c>
      <c r="K212" s="5" t="s">
        <v>138</v>
      </c>
      <c r="L212" s="6" t="s">
        <v>229</v>
      </c>
      <c r="N212" s="1" t="s">
        <v>66</v>
      </c>
      <c r="O212" s="6" t="s">
        <v>180</v>
      </c>
      <c r="P212" s="6" t="s">
        <v>300</v>
      </c>
      <c r="V212" s="1"/>
      <c r="Z212"/>
      <c r="AA212"/>
    </row>
    <row r="213" spans="2:27" x14ac:dyDescent="0.35">
      <c r="B213" s="3" t="s">
        <v>690</v>
      </c>
      <c r="C213" s="3" t="s">
        <v>691</v>
      </c>
      <c r="D213" s="3" t="s">
        <v>541</v>
      </c>
      <c r="J213" s="1" t="s">
        <v>66</v>
      </c>
      <c r="K213" s="5" t="s">
        <v>138</v>
      </c>
      <c r="L213" s="6" t="s">
        <v>232</v>
      </c>
      <c r="N213" s="1" t="s">
        <v>66</v>
      </c>
      <c r="O213" s="6" t="s">
        <v>180</v>
      </c>
      <c r="P213" s="6" t="s">
        <v>303</v>
      </c>
      <c r="V213" s="1"/>
      <c r="Z213"/>
      <c r="AA213"/>
    </row>
    <row r="214" spans="2:27" x14ac:dyDescent="0.35">
      <c r="B214" s="3" t="s">
        <v>692</v>
      </c>
      <c r="C214" s="3" t="s">
        <v>693</v>
      </c>
      <c r="D214" s="3" t="s">
        <v>544</v>
      </c>
      <c r="J214" s="1" t="s">
        <v>66</v>
      </c>
      <c r="K214" s="5" t="s">
        <v>138</v>
      </c>
      <c r="L214" s="6" t="s">
        <v>235</v>
      </c>
      <c r="N214" s="1" t="s">
        <v>66</v>
      </c>
      <c r="O214" s="6" t="s">
        <v>180</v>
      </c>
      <c r="P214" s="6" t="s">
        <v>306</v>
      </c>
      <c r="V214" s="1"/>
      <c r="Z214"/>
      <c r="AA214"/>
    </row>
    <row r="215" spans="2:27" x14ac:dyDescent="0.35">
      <c r="B215" s="3" t="s">
        <v>694</v>
      </c>
      <c r="C215" s="3" t="s">
        <v>695</v>
      </c>
      <c r="D215" s="3" t="s">
        <v>547</v>
      </c>
      <c r="J215" s="1" t="s">
        <v>66</v>
      </c>
      <c r="K215" s="5" t="s">
        <v>138</v>
      </c>
      <c r="L215" s="6" t="s">
        <v>238</v>
      </c>
      <c r="N215" s="1" t="s">
        <v>66</v>
      </c>
      <c r="O215" s="6" t="s">
        <v>180</v>
      </c>
      <c r="P215" s="6" t="s">
        <v>309</v>
      </c>
      <c r="V215" s="1"/>
      <c r="Z215"/>
      <c r="AA215"/>
    </row>
    <row r="216" spans="2:27" x14ac:dyDescent="0.35">
      <c r="B216" s="3" t="s">
        <v>696</v>
      </c>
      <c r="C216" s="3" t="s">
        <v>697</v>
      </c>
      <c r="D216" s="3" t="s">
        <v>550</v>
      </c>
      <c r="J216" s="1" t="s">
        <v>66</v>
      </c>
      <c r="K216" s="5" t="s">
        <v>138</v>
      </c>
      <c r="L216" s="6" t="s">
        <v>241</v>
      </c>
      <c r="N216" s="1" t="s">
        <v>66</v>
      </c>
      <c r="O216" s="6" t="s">
        <v>180</v>
      </c>
      <c r="P216" s="6" t="s">
        <v>312</v>
      </c>
      <c r="V216" s="1"/>
      <c r="Z216"/>
      <c r="AA216"/>
    </row>
    <row r="217" spans="2:27" x14ac:dyDescent="0.35">
      <c r="B217" s="3" t="s">
        <v>698</v>
      </c>
      <c r="C217" s="3" t="s">
        <v>699</v>
      </c>
      <c r="D217" s="3" t="s">
        <v>553</v>
      </c>
      <c r="J217" s="1" t="s">
        <v>66</v>
      </c>
      <c r="K217" s="5" t="s">
        <v>138</v>
      </c>
      <c r="L217" s="6" t="s">
        <v>244</v>
      </c>
      <c r="N217" s="1" t="s">
        <v>66</v>
      </c>
      <c r="O217" s="6" t="s">
        <v>180</v>
      </c>
      <c r="P217" s="6" t="s">
        <v>315</v>
      </c>
      <c r="V217" s="1"/>
      <c r="Z217"/>
      <c r="AA217"/>
    </row>
    <row r="218" spans="2:27" x14ac:dyDescent="0.35">
      <c r="B218" s="3" t="s">
        <v>700</v>
      </c>
      <c r="C218" s="3" t="s">
        <v>701</v>
      </c>
      <c r="D218" s="3" t="s">
        <v>556</v>
      </c>
      <c r="J218" s="1" t="s">
        <v>85</v>
      </c>
      <c r="K218" s="3" t="s">
        <v>130</v>
      </c>
      <c r="L218" s="4" t="s">
        <v>181</v>
      </c>
      <c r="N218" s="1" t="s">
        <v>66</v>
      </c>
      <c r="O218" s="6" t="s">
        <v>186</v>
      </c>
      <c r="P218" s="6" t="s">
        <v>318</v>
      </c>
      <c r="V218" s="1"/>
      <c r="Z218"/>
      <c r="AA218"/>
    </row>
    <row r="219" spans="2:27" x14ac:dyDescent="0.35">
      <c r="B219" s="3" t="s">
        <v>702</v>
      </c>
      <c r="C219" s="3" t="s">
        <v>703</v>
      </c>
      <c r="D219" s="3" t="s">
        <v>559</v>
      </c>
      <c r="J219" s="1" t="s">
        <v>85</v>
      </c>
      <c r="K219" s="3" t="s">
        <v>130</v>
      </c>
      <c r="L219" s="4" t="s">
        <v>184</v>
      </c>
      <c r="N219" s="1" t="s">
        <v>66</v>
      </c>
      <c r="O219" s="6" t="s">
        <v>186</v>
      </c>
      <c r="P219" s="6" t="s">
        <v>321</v>
      </c>
      <c r="V219" s="1"/>
      <c r="Z219"/>
      <c r="AA219"/>
    </row>
    <row r="220" spans="2:27" x14ac:dyDescent="0.35">
      <c r="B220" s="3" t="s">
        <v>704</v>
      </c>
      <c r="C220" s="3" t="s">
        <v>705</v>
      </c>
      <c r="D220" s="3" t="s">
        <v>562</v>
      </c>
      <c r="J220" s="1" t="s">
        <v>85</v>
      </c>
      <c r="K220" s="3" t="s">
        <v>130</v>
      </c>
      <c r="L220" s="4" t="s">
        <v>187</v>
      </c>
      <c r="N220" s="1" t="s">
        <v>66</v>
      </c>
      <c r="O220" s="6" t="s">
        <v>186</v>
      </c>
      <c r="P220" s="6" t="s">
        <v>323</v>
      </c>
      <c r="V220" s="1"/>
      <c r="Z220"/>
      <c r="AA220"/>
    </row>
    <row r="221" spans="2:27" x14ac:dyDescent="0.35">
      <c r="B221" s="3" t="s">
        <v>706</v>
      </c>
      <c r="C221" s="3" t="s">
        <v>707</v>
      </c>
      <c r="D221" s="3" t="s">
        <v>565</v>
      </c>
      <c r="J221" s="1" t="s">
        <v>85</v>
      </c>
      <c r="K221" s="3" t="s">
        <v>130</v>
      </c>
      <c r="L221" s="4" t="s">
        <v>190</v>
      </c>
      <c r="N221" s="1" t="s">
        <v>66</v>
      </c>
      <c r="O221" s="6" t="s">
        <v>186</v>
      </c>
      <c r="P221" s="6" t="s">
        <v>326</v>
      </c>
      <c r="V221" s="1"/>
      <c r="Z221"/>
      <c r="AA221"/>
    </row>
    <row r="222" spans="2:27" x14ac:dyDescent="0.35">
      <c r="B222" s="3" t="s">
        <v>708</v>
      </c>
      <c r="C222" s="3" t="s">
        <v>709</v>
      </c>
      <c r="D222" s="3" t="s">
        <v>568</v>
      </c>
      <c r="J222" s="1" t="s">
        <v>85</v>
      </c>
      <c r="K222" s="3" t="s">
        <v>130</v>
      </c>
      <c r="L222" s="4" t="s">
        <v>193</v>
      </c>
      <c r="N222" s="1" t="s">
        <v>66</v>
      </c>
      <c r="O222" s="6" t="s">
        <v>186</v>
      </c>
      <c r="P222" s="6" t="s">
        <v>329</v>
      </c>
      <c r="V222" s="1"/>
      <c r="Z222"/>
      <c r="AA222"/>
    </row>
    <row r="223" spans="2:27" x14ac:dyDescent="0.35">
      <c r="B223" s="3" t="s">
        <v>710</v>
      </c>
      <c r="C223" s="3" t="s">
        <v>711</v>
      </c>
      <c r="D223" s="3" t="s">
        <v>571</v>
      </c>
      <c r="J223" s="1" t="s">
        <v>85</v>
      </c>
      <c r="K223" s="3" t="s">
        <v>130</v>
      </c>
      <c r="L223" s="4" t="s">
        <v>196</v>
      </c>
      <c r="N223" s="1" t="s">
        <v>66</v>
      </c>
      <c r="O223" s="6" t="s">
        <v>186</v>
      </c>
      <c r="P223" s="6" t="s">
        <v>332</v>
      </c>
      <c r="V223" s="1"/>
      <c r="Z223"/>
      <c r="AA223"/>
    </row>
    <row r="224" spans="2:27" x14ac:dyDescent="0.35">
      <c r="B224" s="3" t="s">
        <v>712</v>
      </c>
      <c r="C224" s="3" t="s">
        <v>713</v>
      </c>
      <c r="D224" s="3" t="s">
        <v>574</v>
      </c>
      <c r="J224" s="1" t="s">
        <v>85</v>
      </c>
      <c r="K224" s="3" t="s">
        <v>130</v>
      </c>
      <c r="L224" s="4" t="s">
        <v>200</v>
      </c>
      <c r="N224" s="1" t="s">
        <v>66</v>
      </c>
      <c r="O224" s="6" t="s">
        <v>186</v>
      </c>
      <c r="P224" s="6" t="s">
        <v>335</v>
      </c>
      <c r="V224" s="1"/>
      <c r="Z224"/>
      <c r="AA224"/>
    </row>
    <row r="225" spans="2:27" x14ac:dyDescent="0.35">
      <c r="B225" s="3" t="s">
        <v>714</v>
      </c>
      <c r="C225" s="3" t="s">
        <v>715</v>
      </c>
      <c r="D225" s="3" t="s">
        <v>577</v>
      </c>
      <c r="J225" s="1" t="s">
        <v>85</v>
      </c>
      <c r="K225" s="3" t="s">
        <v>130</v>
      </c>
      <c r="L225" s="4" t="s">
        <v>203</v>
      </c>
      <c r="N225" s="1" t="s">
        <v>66</v>
      </c>
      <c r="O225" s="6" t="s">
        <v>186</v>
      </c>
      <c r="P225" s="6" t="s">
        <v>338</v>
      </c>
      <c r="V225" s="1"/>
      <c r="Z225"/>
      <c r="AA225"/>
    </row>
    <row r="226" spans="2:27" x14ac:dyDescent="0.35">
      <c r="B226" s="3" t="s">
        <v>716</v>
      </c>
      <c r="C226" s="3" t="s">
        <v>717</v>
      </c>
      <c r="D226" s="3" t="s">
        <v>580</v>
      </c>
      <c r="J226" s="1" t="s">
        <v>85</v>
      </c>
      <c r="K226" s="3" t="s">
        <v>130</v>
      </c>
      <c r="L226" s="4" t="s">
        <v>207</v>
      </c>
      <c r="N226" s="1" t="s">
        <v>66</v>
      </c>
      <c r="O226" s="6" t="s">
        <v>186</v>
      </c>
      <c r="P226" s="6" t="s">
        <v>341</v>
      </c>
      <c r="V226" s="1"/>
      <c r="Z226"/>
      <c r="AA226"/>
    </row>
    <row r="227" spans="2:27" x14ac:dyDescent="0.35">
      <c r="B227" s="3" t="s">
        <v>718</v>
      </c>
      <c r="C227" s="3" t="s">
        <v>719</v>
      </c>
      <c r="D227" s="3" t="s">
        <v>583</v>
      </c>
      <c r="J227" s="1" t="s">
        <v>85</v>
      </c>
      <c r="K227" s="3" t="s">
        <v>130</v>
      </c>
      <c r="L227" s="4" t="s">
        <v>211</v>
      </c>
      <c r="N227" s="1" t="s">
        <v>66</v>
      </c>
      <c r="O227" s="6" t="s">
        <v>186</v>
      </c>
      <c r="P227" s="6" t="s">
        <v>344</v>
      </c>
      <c r="V227" s="1"/>
      <c r="Z227"/>
      <c r="AA227"/>
    </row>
    <row r="228" spans="2:27" x14ac:dyDescent="0.35">
      <c r="B228" s="3" t="s">
        <v>720</v>
      </c>
      <c r="C228" s="3" t="s">
        <v>721</v>
      </c>
      <c r="D228" s="3" t="s">
        <v>586</v>
      </c>
      <c r="J228" s="1" t="s">
        <v>85</v>
      </c>
      <c r="K228" s="3" t="s">
        <v>130</v>
      </c>
      <c r="L228" s="4" t="s">
        <v>214</v>
      </c>
      <c r="N228" s="1" t="s">
        <v>66</v>
      </c>
      <c r="O228" s="6" t="s">
        <v>186</v>
      </c>
      <c r="P228" s="6" t="s">
        <v>347</v>
      </c>
      <c r="V228" s="1"/>
      <c r="Z228"/>
      <c r="AA228"/>
    </row>
    <row r="229" spans="2:27" x14ac:dyDescent="0.35">
      <c r="B229" s="3" t="s">
        <v>722</v>
      </c>
      <c r="C229" s="3" t="s">
        <v>723</v>
      </c>
      <c r="D229" s="3" t="s">
        <v>589</v>
      </c>
      <c r="J229" s="1" t="s">
        <v>85</v>
      </c>
      <c r="K229" s="3" t="s">
        <v>130</v>
      </c>
      <c r="L229" s="4" t="s">
        <v>217</v>
      </c>
      <c r="N229" s="1" t="s">
        <v>66</v>
      </c>
      <c r="O229" s="6" t="s">
        <v>183</v>
      </c>
      <c r="P229" s="6" t="s">
        <v>350</v>
      </c>
      <c r="V229" s="1"/>
      <c r="Z229"/>
      <c r="AA229"/>
    </row>
    <row r="230" spans="2:27" x14ac:dyDescent="0.35">
      <c r="B230" s="3" t="s">
        <v>724</v>
      </c>
      <c r="C230" s="3" t="s">
        <v>725</v>
      </c>
      <c r="D230" s="3" t="s">
        <v>592</v>
      </c>
      <c r="J230" s="1" t="s">
        <v>85</v>
      </c>
      <c r="K230" s="3" t="s">
        <v>130</v>
      </c>
      <c r="L230" s="4" t="s">
        <v>141</v>
      </c>
      <c r="N230" s="1" t="s">
        <v>66</v>
      </c>
      <c r="O230" s="6" t="s">
        <v>183</v>
      </c>
      <c r="P230" s="6" t="s">
        <v>353</v>
      </c>
      <c r="V230" s="1"/>
      <c r="Z230"/>
      <c r="AA230"/>
    </row>
    <row r="231" spans="2:27" x14ac:dyDescent="0.35">
      <c r="B231" s="3" t="s">
        <v>726</v>
      </c>
      <c r="C231" s="3" t="s">
        <v>727</v>
      </c>
      <c r="D231" s="3" t="s">
        <v>595</v>
      </c>
      <c r="J231" s="1" t="s">
        <v>85</v>
      </c>
      <c r="K231" s="3" t="s">
        <v>130</v>
      </c>
      <c r="L231" s="4" t="s">
        <v>221</v>
      </c>
      <c r="N231" s="1" t="s">
        <v>66</v>
      </c>
      <c r="O231" s="6" t="s">
        <v>183</v>
      </c>
      <c r="P231" s="6" t="s">
        <v>356</v>
      </c>
      <c r="V231" s="1"/>
      <c r="Z231"/>
      <c r="AA231"/>
    </row>
    <row r="232" spans="2:27" x14ac:dyDescent="0.35">
      <c r="B232" s="3" t="s">
        <v>728</v>
      </c>
      <c r="C232" s="3" t="s">
        <v>729</v>
      </c>
      <c r="D232" s="3" t="s">
        <v>598</v>
      </c>
      <c r="J232" s="1" t="s">
        <v>85</v>
      </c>
      <c r="K232" s="3" t="s">
        <v>130</v>
      </c>
      <c r="L232" s="4" t="s">
        <v>224</v>
      </c>
      <c r="N232" s="1" t="s">
        <v>66</v>
      </c>
      <c r="O232" s="6" t="s">
        <v>183</v>
      </c>
      <c r="P232" s="6" t="s">
        <v>359</v>
      </c>
      <c r="V232" s="1"/>
      <c r="Z232"/>
      <c r="AA232"/>
    </row>
    <row r="233" spans="2:27" x14ac:dyDescent="0.35">
      <c r="B233" s="3" t="s">
        <v>730</v>
      </c>
      <c r="C233" s="3" t="s">
        <v>731</v>
      </c>
      <c r="D233" s="3" t="s">
        <v>601</v>
      </c>
      <c r="J233" s="1" t="s">
        <v>85</v>
      </c>
      <c r="K233" s="3" t="s">
        <v>130</v>
      </c>
      <c r="L233" s="4" t="s">
        <v>227</v>
      </c>
      <c r="N233" s="1" t="s">
        <v>66</v>
      </c>
      <c r="O233" s="6" t="s">
        <v>183</v>
      </c>
      <c r="P233" s="6" t="s">
        <v>362</v>
      </c>
      <c r="V233" s="1"/>
      <c r="Z233"/>
      <c r="AA233"/>
    </row>
    <row r="234" spans="2:27" x14ac:dyDescent="0.35">
      <c r="B234" s="3" t="s">
        <v>732</v>
      </c>
      <c r="C234" s="3" t="s">
        <v>733</v>
      </c>
      <c r="D234" s="3" t="s">
        <v>604</v>
      </c>
      <c r="J234" s="1" t="s">
        <v>85</v>
      </c>
      <c r="K234" s="3" t="s">
        <v>130</v>
      </c>
      <c r="L234" s="4" t="s">
        <v>230</v>
      </c>
      <c r="N234" s="1" t="s">
        <v>66</v>
      </c>
      <c r="O234" s="6" t="s">
        <v>183</v>
      </c>
      <c r="P234" s="6" t="s">
        <v>365</v>
      </c>
      <c r="V234" s="1"/>
      <c r="Z234"/>
      <c r="AA234"/>
    </row>
    <row r="235" spans="2:27" x14ac:dyDescent="0.35">
      <c r="B235" s="3" t="s">
        <v>734</v>
      </c>
      <c r="C235" s="3" t="s">
        <v>735</v>
      </c>
      <c r="D235" s="3" t="s">
        <v>607</v>
      </c>
      <c r="J235" s="1" t="s">
        <v>85</v>
      </c>
      <c r="K235" s="3" t="s">
        <v>130</v>
      </c>
      <c r="L235" s="4" t="s">
        <v>233</v>
      </c>
      <c r="N235" s="1" t="s">
        <v>66</v>
      </c>
      <c r="O235" s="6" t="s">
        <v>183</v>
      </c>
      <c r="P235" s="6" t="s">
        <v>368</v>
      </c>
      <c r="V235" s="1"/>
      <c r="Z235"/>
      <c r="AA235"/>
    </row>
    <row r="236" spans="2:27" x14ac:dyDescent="0.35">
      <c r="B236" s="3" t="s">
        <v>736</v>
      </c>
      <c r="C236" s="3" t="s">
        <v>737</v>
      </c>
      <c r="D236" s="3" t="s">
        <v>610</v>
      </c>
      <c r="J236" s="1" t="s">
        <v>85</v>
      </c>
      <c r="K236" s="3" t="s">
        <v>130</v>
      </c>
      <c r="L236" s="4" t="s">
        <v>236</v>
      </c>
      <c r="N236" s="1" t="s">
        <v>66</v>
      </c>
      <c r="O236" s="6" t="s">
        <v>183</v>
      </c>
      <c r="P236" s="6" t="s">
        <v>371</v>
      </c>
      <c r="V236" s="1"/>
      <c r="Z236"/>
      <c r="AA236"/>
    </row>
    <row r="237" spans="2:27" x14ac:dyDescent="0.35">
      <c r="B237" s="3" t="s">
        <v>738</v>
      </c>
      <c r="C237" s="3" t="s">
        <v>739</v>
      </c>
      <c r="D237" s="3" t="s">
        <v>613</v>
      </c>
      <c r="J237" s="1" t="s">
        <v>85</v>
      </c>
      <c r="K237" s="3" t="s">
        <v>130</v>
      </c>
      <c r="L237" s="4" t="s">
        <v>239</v>
      </c>
      <c r="N237" s="1" t="s">
        <v>66</v>
      </c>
      <c r="O237" s="6" t="s">
        <v>183</v>
      </c>
      <c r="P237" s="6" t="s">
        <v>374</v>
      </c>
      <c r="V237" s="1"/>
      <c r="Z237"/>
      <c r="AA237"/>
    </row>
    <row r="238" spans="2:27" x14ac:dyDescent="0.35">
      <c r="B238" s="3" t="s">
        <v>740</v>
      </c>
      <c r="C238" s="3" t="s">
        <v>741</v>
      </c>
      <c r="D238" s="3" t="s">
        <v>616</v>
      </c>
      <c r="J238" s="1" t="s">
        <v>85</v>
      </c>
      <c r="K238" s="3" t="s">
        <v>130</v>
      </c>
      <c r="L238" s="4" t="s">
        <v>242</v>
      </c>
      <c r="N238" s="1" t="s">
        <v>66</v>
      </c>
      <c r="O238" s="6" t="s">
        <v>183</v>
      </c>
      <c r="P238" s="6" t="s">
        <v>377</v>
      </c>
      <c r="V238" s="1"/>
      <c r="Z238"/>
      <c r="AA238"/>
    </row>
    <row r="239" spans="2:27" x14ac:dyDescent="0.35">
      <c r="B239" s="3" t="s">
        <v>742</v>
      </c>
      <c r="C239" s="3" t="s">
        <v>743</v>
      </c>
      <c r="D239" s="3" t="s">
        <v>619</v>
      </c>
      <c r="J239" s="1" t="s">
        <v>85</v>
      </c>
      <c r="K239" s="3" t="s">
        <v>130</v>
      </c>
      <c r="L239" s="4" t="s">
        <v>245</v>
      </c>
      <c r="N239" s="1" t="s">
        <v>66</v>
      </c>
      <c r="O239" s="6" t="s">
        <v>183</v>
      </c>
      <c r="P239" s="6" t="s">
        <v>380</v>
      </c>
      <c r="V239" s="1"/>
      <c r="Z239"/>
      <c r="AA239"/>
    </row>
    <row r="240" spans="2:27" x14ac:dyDescent="0.35">
      <c r="B240" s="3" t="s">
        <v>744</v>
      </c>
      <c r="C240" s="3" t="s">
        <v>745</v>
      </c>
      <c r="D240" s="3" t="s">
        <v>622</v>
      </c>
      <c r="J240" s="1" t="s">
        <v>85</v>
      </c>
      <c r="K240" s="3" t="s">
        <v>114</v>
      </c>
      <c r="L240" s="4" t="s">
        <v>248</v>
      </c>
      <c r="N240" s="1" t="s">
        <v>66</v>
      </c>
      <c r="O240" s="6" t="s">
        <v>183</v>
      </c>
      <c r="P240" s="6" t="s">
        <v>383</v>
      </c>
      <c r="V240" s="1"/>
      <c r="Z240"/>
      <c r="AA240"/>
    </row>
    <row r="241" spans="2:27" x14ac:dyDescent="0.35">
      <c r="B241" s="3" t="s">
        <v>746</v>
      </c>
      <c r="C241" s="3" t="s">
        <v>747</v>
      </c>
      <c r="D241" s="3" t="s">
        <v>625</v>
      </c>
      <c r="J241" s="1" t="s">
        <v>85</v>
      </c>
      <c r="K241" s="3" t="s">
        <v>114</v>
      </c>
      <c r="L241" s="4" t="s">
        <v>214</v>
      </c>
      <c r="N241" s="1" t="s">
        <v>66</v>
      </c>
      <c r="O241" s="6" t="s">
        <v>189</v>
      </c>
      <c r="P241" s="6" t="s">
        <v>386</v>
      </c>
      <c r="V241" s="1"/>
      <c r="Z241"/>
      <c r="AA241"/>
    </row>
    <row r="242" spans="2:27" x14ac:dyDescent="0.35">
      <c r="B242" s="3" t="s">
        <v>748</v>
      </c>
      <c r="C242" s="3" t="s">
        <v>749</v>
      </c>
      <c r="D242" s="3" t="s">
        <v>628</v>
      </c>
      <c r="J242" s="1" t="s">
        <v>85</v>
      </c>
      <c r="K242" s="3" t="s">
        <v>114</v>
      </c>
      <c r="L242" s="4" t="s">
        <v>251</v>
      </c>
      <c r="N242" s="1" t="s">
        <v>66</v>
      </c>
      <c r="O242" s="6" t="s">
        <v>189</v>
      </c>
      <c r="P242" s="6" t="s">
        <v>389</v>
      </c>
      <c r="V242" s="1"/>
      <c r="Z242"/>
      <c r="AA242"/>
    </row>
    <row r="243" spans="2:27" x14ac:dyDescent="0.35">
      <c r="B243" s="3" t="s">
        <v>750</v>
      </c>
      <c r="C243" s="3" t="s">
        <v>751</v>
      </c>
      <c r="D243" s="3" t="s">
        <v>631</v>
      </c>
      <c r="J243" s="1" t="s">
        <v>85</v>
      </c>
      <c r="K243" s="3" t="s">
        <v>114</v>
      </c>
      <c r="L243" s="4" t="s">
        <v>141</v>
      </c>
      <c r="N243" s="1" t="s">
        <v>66</v>
      </c>
      <c r="O243" s="6" t="s">
        <v>189</v>
      </c>
      <c r="P243" s="6" t="s">
        <v>392</v>
      </c>
      <c r="V243" s="1"/>
      <c r="Z243"/>
      <c r="AA243"/>
    </row>
    <row r="244" spans="2:27" x14ac:dyDescent="0.35">
      <c r="B244" s="3" t="s">
        <v>752</v>
      </c>
      <c r="C244" s="3" t="s">
        <v>753</v>
      </c>
      <c r="D244" s="3" t="s">
        <v>634</v>
      </c>
      <c r="J244" s="1" t="s">
        <v>85</v>
      </c>
      <c r="K244" s="3" t="s">
        <v>114</v>
      </c>
      <c r="L244" s="4" t="s">
        <v>224</v>
      </c>
      <c r="N244" s="1" t="s">
        <v>66</v>
      </c>
      <c r="O244" s="6" t="s">
        <v>189</v>
      </c>
      <c r="P244" s="6" t="s">
        <v>395</v>
      </c>
      <c r="V244" s="1"/>
      <c r="Z244"/>
      <c r="AA244"/>
    </row>
    <row r="245" spans="2:27" x14ac:dyDescent="0.35">
      <c r="B245" s="3" t="s">
        <v>754</v>
      </c>
      <c r="C245" s="3" t="s">
        <v>755</v>
      </c>
      <c r="D245" s="3" t="s">
        <v>637</v>
      </c>
      <c r="J245" s="1" t="s">
        <v>85</v>
      </c>
      <c r="K245" s="3" t="s">
        <v>114</v>
      </c>
      <c r="L245" s="4" t="s">
        <v>227</v>
      </c>
      <c r="N245" s="1" t="s">
        <v>66</v>
      </c>
      <c r="O245" s="6" t="s">
        <v>189</v>
      </c>
      <c r="P245" s="6" t="s">
        <v>398</v>
      </c>
      <c r="V245" s="1"/>
      <c r="Z245"/>
      <c r="AA245"/>
    </row>
    <row r="246" spans="2:27" x14ac:dyDescent="0.35">
      <c r="B246" s="3" t="s">
        <v>756</v>
      </c>
      <c r="C246" s="3" t="s">
        <v>757</v>
      </c>
      <c r="D246" s="3" t="s">
        <v>640</v>
      </c>
      <c r="J246" s="1" t="s">
        <v>85</v>
      </c>
      <c r="K246" s="3" t="s">
        <v>114</v>
      </c>
      <c r="L246" s="4" t="s">
        <v>230</v>
      </c>
      <c r="N246" s="1" t="s">
        <v>66</v>
      </c>
      <c r="O246" s="6" t="s">
        <v>189</v>
      </c>
      <c r="P246" s="6" t="s">
        <v>401</v>
      </c>
      <c r="V246" s="1"/>
      <c r="Z246"/>
      <c r="AA246"/>
    </row>
    <row r="247" spans="2:27" x14ac:dyDescent="0.35">
      <c r="B247" s="3" t="s">
        <v>758</v>
      </c>
      <c r="C247" s="3" t="s">
        <v>759</v>
      </c>
      <c r="D247" s="3" t="s">
        <v>643</v>
      </c>
      <c r="J247" s="1" t="s">
        <v>85</v>
      </c>
      <c r="K247" s="3" t="s">
        <v>114</v>
      </c>
      <c r="L247" s="4" t="s">
        <v>233</v>
      </c>
      <c r="N247" s="1" t="s">
        <v>66</v>
      </c>
      <c r="O247" s="6" t="s">
        <v>189</v>
      </c>
      <c r="P247" s="6" t="s">
        <v>404</v>
      </c>
      <c r="V247" s="1"/>
      <c r="Z247"/>
      <c r="AA247"/>
    </row>
    <row r="248" spans="2:27" x14ac:dyDescent="0.35">
      <c r="B248" s="3" t="s">
        <v>760</v>
      </c>
      <c r="C248" s="3" t="s">
        <v>761</v>
      </c>
      <c r="D248" s="3" t="s">
        <v>646</v>
      </c>
      <c r="J248" s="1" t="s">
        <v>85</v>
      </c>
      <c r="K248" s="3" t="s">
        <v>114</v>
      </c>
      <c r="L248" s="4" t="s">
        <v>236</v>
      </c>
      <c r="N248" s="1" t="s">
        <v>66</v>
      </c>
      <c r="O248" s="6" t="s">
        <v>189</v>
      </c>
      <c r="P248" s="6" t="s">
        <v>407</v>
      </c>
      <c r="V248" s="1"/>
      <c r="Z248"/>
      <c r="AA248"/>
    </row>
    <row r="249" spans="2:27" x14ac:dyDescent="0.35">
      <c r="B249" s="3" t="s">
        <v>762</v>
      </c>
      <c r="C249" s="3" t="s">
        <v>763</v>
      </c>
      <c r="D249" s="3" t="s">
        <v>649</v>
      </c>
      <c r="J249" s="1" t="s">
        <v>85</v>
      </c>
      <c r="K249" s="3" t="s">
        <v>114</v>
      </c>
      <c r="L249" s="4" t="s">
        <v>239</v>
      </c>
      <c r="N249" s="1" t="s">
        <v>66</v>
      </c>
      <c r="O249" s="6" t="s">
        <v>189</v>
      </c>
      <c r="P249" s="6" t="s">
        <v>410</v>
      </c>
      <c r="V249" s="1"/>
      <c r="Z249"/>
      <c r="AA249"/>
    </row>
    <row r="250" spans="2:27" x14ac:dyDescent="0.35">
      <c r="B250" s="3" t="s">
        <v>764</v>
      </c>
      <c r="C250" s="3" t="s">
        <v>765</v>
      </c>
      <c r="D250" s="3" t="s">
        <v>652</v>
      </c>
      <c r="J250" s="1" t="s">
        <v>85</v>
      </c>
      <c r="K250" s="3" t="s">
        <v>114</v>
      </c>
      <c r="L250" s="4" t="s">
        <v>242</v>
      </c>
      <c r="N250" s="1" t="s">
        <v>66</v>
      </c>
      <c r="O250" s="6" t="s">
        <v>189</v>
      </c>
      <c r="P250" s="6" t="s">
        <v>413</v>
      </c>
      <c r="V250" s="1"/>
      <c r="Z250"/>
      <c r="AA250"/>
    </row>
    <row r="251" spans="2:27" x14ac:dyDescent="0.35">
      <c r="B251" s="3" t="s">
        <v>766</v>
      </c>
      <c r="C251" s="3" t="s">
        <v>767</v>
      </c>
      <c r="D251" s="3" t="s">
        <v>655</v>
      </c>
      <c r="J251" s="1" t="s">
        <v>85</v>
      </c>
      <c r="K251" s="3" t="s">
        <v>114</v>
      </c>
      <c r="L251" s="4" t="s">
        <v>245</v>
      </c>
      <c r="N251" s="1" t="s">
        <v>66</v>
      </c>
      <c r="O251" s="6" t="s">
        <v>189</v>
      </c>
      <c r="P251" s="6" t="s">
        <v>416</v>
      </c>
      <c r="V251" s="1"/>
      <c r="Z251"/>
      <c r="AA251"/>
    </row>
    <row r="252" spans="2:27" x14ac:dyDescent="0.35">
      <c r="B252" s="3" t="s">
        <v>587</v>
      </c>
      <c r="C252" s="3" t="s">
        <v>768</v>
      </c>
      <c r="D252" s="3" t="s">
        <v>421</v>
      </c>
      <c r="J252" s="1" t="s">
        <v>85</v>
      </c>
      <c r="K252" s="3" t="s">
        <v>118</v>
      </c>
      <c r="L252" s="4" t="s">
        <v>254</v>
      </c>
      <c r="N252" s="1" t="s">
        <v>66</v>
      </c>
      <c r="O252" s="6" t="s">
        <v>192</v>
      </c>
      <c r="P252" s="6" t="s">
        <v>419</v>
      </c>
      <c r="V252" s="1"/>
      <c r="Z252"/>
      <c r="AA252"/>
    </row>
    <row r="253" spans="2:27" x14ac:dyDescent="0.35">
      <c r="B253" s="3" t="s">
        <v>590</v>
      </c>
      <c r="C253" s="3" t="s">
        <v>591</v>
      </c>
      <c r="D253" s="3" t="s">
        <v>424</v>
      </c>
      <c r="J253" s="1" t="s">
        <v>85</v>
      </c>
      <c r="K253" s="3" t="s">
        <v>118</v>
      </c>
      <c r="L253" s="4" t="s">
        <v>214</v>
      </c>
      <c r="N253" s="1" t="s">
        <v>66</v>
      </c>
      <c r="O253" s="6" t="s">
        <v>192</v>
      </c>
      <c r="P253" s="6" t="s">
        <v>422</v>
      </c>
      <c r="V253" s="1"/>
      <c r="Z253"/>
      <c r="AA253"/>
    </row>
    <row r="254" spans="2:27" x14ac:dyDescent="0.35">
      <c r="B254" s="3" t="s">
        <v>593</v>
      </c>
      <c r="C254" s="3" t="s">
        <v>594</v>
      </c>
      <c r="D254" s="3" t="s">
        <v>427</v>
      </c>
      <c r="J254" s="1" t="s">
        <v>85</v>
      </c>
      <c r="K254" s="3" t="s">
        <v>118</v>
      </c>
      <c r="L254" s="4" t="s">
        <v>257</v>
      </c>
      <c r="N254" s="1" t="s">
        <v>66</v>
      </c>
      <c r="O254" s="6" t="s">
        <v>192</v>
      </c>
      <c r="P254" s="6" t="s">
        <v>425</v>
      </c>
      <c r="V254" s="1"/>
      <c r="Z254"/>
      <c r="AA254"/>
    </row>
    <row r="255" spans="2:27" x14ac:dyDescent="0.35">
      <c r="J255" s="1" t="s">
        <v>85</v>
      </c>
      <c r="K255" s="3" t="s">
        <v>118</v>
      </c>
      <c r="L255" s="4" t="s">
        <v>260</v>
      </c>
      <c r="N255" s="1" t="s">
        <v>66</v>
      </c>
      <c r="O255" s="6" t="s">
        <v>192</v>
      </c>
      <c r="P255" s="6" t="s">
        <v>428</v>
      </c>
      <c r="V255" s="1"/>
      <c r="Z255"/>
      <c r="AA255"/>
    </row>
    <row r="256" spans="2:27" x14ac:dyDescent="0.35">
      <c r="J256" s="1" t="s">
        <v>85</v>
      </c>
      <c r="K256" s="3" t="s">
        <v>118</v>
      </c>
      <c r="L256" s="4" t="s">
        <v>224</v>
      </c>
      <c r="N256" s="1" t="s">
        <v>66</v>
      </c>
      <c r="O256" s="6" t="s">
        <v>192</v>
      </c>
      <c r="P256" s="6" t="s">
        <v>431</v>
      </c>
      <c r="V256" s="1"/>
      <c r="Z256"/>
      <c r="AA256"/>
    </row>
    <row r="257" spans="10:27" x14ac:dyDescent="0.35">
      <c r="J257" s="1" t="s">
        <v>85</v>
      </c>
      <c r="K257" s="3" t="s">
        <v>118</v>
      </c>
      <c r="L257" s="4" t="s">
        <v>227</v>
      </c>
      <c r="N257" s="1" t="s">
        <v>66</v>
      </c>
      <c r="O257" s="6" t="s">
        <v>192</v>
      </c>
      <c r="P257" s="6" t="s">
        <v>434</v>
      </c>
      <c r="V257" s="1"/>
      <c r="Z257"/>
      <c r="AA257"/>
    </row>
    <row r="258" spans="10:27" x14ac:dyDescent="0.35">
      <c r="J258" s="1" t="s">
        <v>85</v>
      </c>
      <c r="K258" s="3" t="s">
        <v>118</v>
      </c>
      <c r="L258" s="4" t="s">
        <v>230</v>
      </c>
      <c r="N258" s="1" t="s">
        <v>66</v>
      </c>
      <c r="O258" s="6" t="s">
        <v>192</v>
      </c>
      <c r="P258" s="6" t="s">
        <v>437</v>
      </c>
      <c r="V258" s="1"/>
      <c r="Z258"/>
      <c r="AA258"/>
    </row>
    <row r="259" spans="10:27" x14ac:dyDescent="0.35">
      <c r="J259" s="1" t="s">
        <v>85</v>
      </c>
      <c r="K259" s="3" t="s">
        <v>118</v>
      </c>
      <c r="L259" s="4" t="s">
        <v>233</v>
      </c>
      <c r="N259" s="1" t="s">
        <v>66</v>
      </c>
      <c r="O259" s="6" t="s">
        <v>192</v>
      </c>
      <c r="P259" s="6" t="s">
        <v>440</v>
      </c>
      <c r="V259" s="1"/>
      <c r="Z259"/>
      <c r="AA259"/>
    </row>
    <row r="260" spans="10:27" x14ac:dyDescent="0.35">
      <c r="J260" s="1" t="s">
        <v>85</v>
      </c>
      <c r="K260" s="3" t="s">
        <v>118</v>
      </c>
      <c r="L260" s="4" t="s">
        <v>236</v>
      </c>
      <c r="N260" s="1" t="s">
        <v>66</v>
      </c>
      <c r="O260" s="6" t="s">
        <v>192</v>
      </c>
      <c r="P260" s="6" t="s">
        <v>443</v>
      </c>
      <c r="V260" s="1"/>
      <c r="Z260"/>
      <c r="AA260"/>
    </row>
    <row r="261" spans="10:27" x14ac:dyDescent="0.35">
      <c r="J261" s="1" t="s">
        <v>85</v>
      </c>
      <c r="K261" s="3" t="s">
        <v>118</v>
      </c>
      <c r="L261" s="4" t="s">
        <v>239</v>
      </c>
      <c r="N261" s="1" t="s">
        <v>66</v>
      </c>
      <c r="O261" s="6" t="s">
        <v>192</v>
      </c>
      <c r="P261" s="6" t="s">
        <v>446</v>
      </c>
      <c r="V261" s="1"/>
      <c r="Z261"/>
      <c r="AA261"/>
    </row>
    <row r="262" spans="10:27" x14ac:dyDescent="0.35">
      <c r="J262" s="1" t="s">
        <v>85</v>
      </c>
      <c r="K262" s="3" t="s">
        <v>118</v>
      </c>
      <c r="L262" s="4" t="s">
        <v>242</v>
      </c>
      <c r="N262" s="1" t="s">
        <v>66</v>
      </c>
      <c r="O262" s="6" t="s">
        <v>210</v>
      </c>
      <c r="P262" s="6" t="s">
        <v>449</v>
      </c>
      <c r="V262" s="1"/>
      <c r="Z262"/>
      <c r="AA262"/>
    </row>
    <row r="263" spans="10:27" x14ac:dyDescent="0.35">
      <c r="J263" s="1" t="s">
        <v>85</v>
      </c>
      <c r="K263" s="3" t="s">
        <v>118</v>
      </c>
      <c r="L263" s="4" t="s">
        <v>245</v>
      </c>
      <c r="N263" s="1" t="s">
        <v>66</v>
      </c>
      <c r="O263" s="6" t="s">
        <v>210</v>
      </c>
      <c r="P263" s="6" t="s">
        <v>452</v>
      </c>
      <c r="V263" s="1"/>
      <c r="Z263"/>
      <c r="AA263"/>
    </row>
    <row r="264" spans="10:27" x14ac:dyDescent="0.35">
      <c r="J264" s="1" t="s">
        <v>85</v>
      </c>
      <c r="K264" s="3" t="s">
        <v>141</v>
      </c>
      <c r="L264" s="4" t="s">
        <v>181</v>
      </c>
      <c r="N264" s="1" t="s">
        <v>66</v>
      </c>
      <c r="O264" s="6" t="s">
        <v>210</v>
      </c>
      <c r="P264" s="6" t="s">
        <v>455</v>
      </c>
      <c r="V264" s="1"/>
      <c r="Z264"/>
      <c r="AA264"/>
    </row>
    <row r="265" spans="10:27" x14ac:dyDescent="0.35">
      <c r="J265" s="1" t="s">
        <v>85</v>
      </c>
      <c r="K265" s="3" t="s">
        <v>141</v>
      </c>
      <c r="L265" s="4" t="s">
        <v>184</v>
      </c>
      <c r="N265" s="1" t="s">
        <v>66</v>
      </c>
      <c r="O265" s="6" t="s">
        <v>210</v>
      </c>
      <c r="P265" s="6" t="s">
        <v>458</v>
      </c>
      <c r="V265" s="1"/>
      <c r="Z265"/>
      <c r="AA265"/>
    </row>
    <row r="266" spans="10:27" x14ac:dyDescent="0.35">
      <c r="J266" s="1" t="s">
        <v>85</v>
      </c>
      <c r="K266" s="3" t="s">
        <v>141</v>
      </c>
      <c r="L266" s="4" t="s">
        <v>187</v>
      </c>
      <c r="N266" s="1" t="s">
        <v>66</v>
      </c>
      <c r="O266" s="6" t="s">
        <v>210</v>
      </c>
      <c r="P266" s="6" t="s">
        <v>461</v>
      </c>
      <c r="V266" s="1"/>
      <c r="Z266"/>
      <c r="AA266"/>
    </row>
    <row r="267" spans="10:27" x14ac:dyDescent="0.35">
      <c r="J267" s="1" t="s">
        <v>85</v>
      </c>
      <c r="K267" s="3" t="s">
        <v>141</v>
      </c>
      <c r="L267" s="4" t="s">
        <v>190</v>
      </c>
      <c r="N267" s="1" t="s">
        <v>66</v>
      </c>
      <c r="O267" s="6" t="s">
        <v>202</v>
      </c>
      <c r="P267" s="6" t="s">
        <v>464</v>
      </c>
      <c r="V267" s="1"/>
      <c r="Z267"/>
      <c r="AA267"/>
    </row>
    <row r="268" spans="10:27" x14ac:dyDescent="0.35">
      <c r="J268" s="1" t="s">
        <v>85</v>
      </c>
      <c r="K268" s="3" t="s">
        <v>141</v>
      </c>
      <c r="L268" s="4" t="s">
        <v>193</v>
      </c>
      <c r="N268" s="1" t="s">
        <v>66</v>
      </c>
      <c r="O268" s="6" t="s">
        <v>202</v>
      </c>
      <c r="P268" s="6" t="s">
        <v>467</v>
      </c>
      <c r="V268" s="1"/>
      <c r="Z268"/>
      <c r="AA268"/>
    </row>
    <row r="269" spans="10:27" x14ac:dyDescent="0.35">
      <c r="J269" s="1" t="s">
        <v>85</v>
      </c>
      <c r="K269" s="3" t="s">
        <v>141</v>
      </c>
      <c r="L269" s="4" t="s">
        <v>196</v>
      </c>
      <c r="N269" s="1" t="s">
        <v>66</v>
      </c>
      <c r="O269" s="6" t="s">
        <v>202</v>
      </c>
      <c r="P269" s="6" t="s">
        <v>470</v>
      </c>
      <c r="V269" s="1"/>
      <c r="Z269"/>
      <c r="AA269"/>
    </row>
    <row r="270" spans="10:27" x14ac:dyDescent="0.35">
      <c r="J270" s="1" t="s">
        <v>85</v>
      </c>
      <c r="K270" s="3" t="s">
        <v>141</v>
      </c>
      <c r="L270" s="4" t="s">
        <v>248</v>
      </c>
      <c r="N270" s="1" t="s">
        <v>66</v>
      </c>
      <c r="O270" s="6" t="s">
        <v>202</v>
      </c>
      <c r="P270" s="6" t="s">
        <v>473</v>
      </c>
      <c r="V270" s="1"/>
      <c r="Z270"/>
      <c r="AA270"/>
    </row>
    <row r="271" spans="10:27" x14ac:dyDescent="0.35">
      <c r="J271" s="1" t="s">
        <v>85</v>
      </c>
      <c r="K271" s="3" t="s">
        <v>141</v>
      </c>
      <c r="L271" s="4" t="s">
        <v>200</v>
      </c>
      <c r="N271" s="1" t="s">
        <v>66</v>
      </c>
      <c r="O271" s="6" t="s">
        <v>202</v>
      </c>
      <c r="P271" s="6" t="s">
        <v>476</v>
      </c>
      <c r="V271" s="1"/>
      <c r="Z271"/>
      <c r="AA271"/>
    </row>
    <row r="272" spans="10:27" x14ac:dyDescent="0.35">
      <c r="J272" s="1" t="s">
        <v>85</v>
      </c>
      <c r="K272" s="3" t="s">
        <v>141</v>
      </c>
      <c r="L272" s="4" t="s">
        <v>203</v>
      </c>
      <c r="N272" s="1" t="s">
        <v>66</v>
      </c>
      <c r="O272" s="6" t="s">
        <v>202</v>
      </c>
      <c r="P272" s="6" t="s">
        <v>479</v>
      </c>
      <c r="V272" s="1"/>
      <c r="Z272"/>
      <c r="AA272"/>
    </row>
    <row r="273" spans="10:27" x14ac:dyDescent="0.35">
      <c r="J273" s="1" t="s">
        <v>85</v>
      </c>
      <c r="K273" s="3" t="s">
        <v>141</v>
      </c>
      <c r="L273" s="4" t="s">
        <v>207</v>
      </c>
      <c r="N273" s="1" t="s">
        <v>66</v>
      </c>
      <c r="O273" s="6" t="s">
        <v>202</v>
      </c>
      <c r="P273" s="6" t="s">
        <v>482</v>
      </c>
      <c r="V273" s="1"/>
      <c r="Z273"/>
      <c r="AA273"/>
    </row>
    <row r="274" spans="10:27" x14ac:dyDescent="0.35">
      <c r="J274" s="1" t="s">
        <v>85</v>
      </c>
      <c r="K274" s="3" t="s">
        <v>141</v>
      </c>
      <c r="L274" s="4" t="s">
        <v>211</v>
      </c>
      <c r="N274" s="1" t="s">
        <v>66</v>
      </c>
      <c r="O274" s="6" t="s">
        <v>202</v>
      </c>
      <c r="P274" s="6" t="s">
        <v>485</v>
      </c>
      <c r="V274" s="1"/>
      <c r="Z274"/>
      <c r="AA274"/>
    </row>
    <row r="275" spans="10:27" x14ac:dyDescent="0.35">
      <c r="J275" s="1" t="s">
        <v>85</v>
      </c>
      <c r="K275" s="3" t="s">
        <v>141</v>
      </c>
      <c r="L275" s="4" t="s">
        <v>214</v>
      </c>
      <c r="N275" s="1" t="s">
        <v>66</v>
      </c>
      <c r="O275" s="6" t="s">
        <v>202</v>
      </c>
      <c r="P275" s="6" t="s">
        <v>488</v>
      </c>
      <c r="V275" s="1"/>
      <c r="Z275"/>
      <c r="AA275"/>
    </row>
    <row r="276" spans="10:27" x14ac:dyDescent="0.35">
      <c r="J276" s="1" t="s">
        <v>85</v>
      </c>
      <c r="K276" s="3" t="s">
        <v>141</v>
      </c>
      <c r="L276" s="4" t="s">
        <v>217</v>
      </c>
      <c r="N276" s="1" t="s">
        <v>66</v>
      </c>
      <c r="O276" s="6" t="s">
        <v>202</v>
      </c>
      <c r="P276" s="6" t="s">
        <v>491</v>
      </c>
      <c r="V276" s="1"/>
      <c r="Z276"/>
      <c r="AA276"/>
    </row>
    <row r="277" spans="10:27" x14ac:dyDescent="0.35">
      <c r="J277" s="1" t="s">
        <v>85</v>
      </c>
      <c r="K277" s="3" t="s">
        <v>141</v>
      </c>
      <c r="L277" s="4" t="s">
        <v>251</v>
      </c>
      <c r="N277" s="1" t="s">
        <v>66</v>
      </c>
      <c r="O277" s="6" t="s">
        <v>202</v>
      </c>
      <c r="P277" s="6" t="s">
        <v>494</v>
      </c>
      <c r="V277" s="1"/>
      <c r="Z277"/>
      <c r="AA277"/>
    </row>
    <row r="278" spans="10:27" x14ac:dyDescent="0.35">
      <c r="J278" s="1" t="s">
        <v>85</v>
      </c>
      <c r="K278" s="3" t="s">
        <v>141</v>
      </c>
      <c r="L278" s="4" t="s">
        <v>141</v>
      </c>
      <c r="N278" s="1" t="s">
        <v>66</v>
      </c>
      <c r="O278" s="6" t="s">
        <v>199</v>
      </c>
      <c r="P278" s="6" t="s">
        <v>497</v>
      </c>
      <c r="V278" s="1"/>
      <c r="Z278"/>
      <c r="AA278"/>
    </row>
    <row r="279" spans="10:27" x14ac:dyDescent="0.35">
      <c r="J279" s="1" t="s">
        <v>85</v>
      </c>
      <c r="K279" s="3" t="s">
        <v>141</v>
      </c>
      <c r="L279" s="4" t="s">
        <v>221</v>
      </c>
      <c r="N279" s="1" t="s">
        <v>66</v>
      </c>
      <c r="O279" s="6" t="s">
        <v>199</v>
      </c>
      <c r="P279" s="6" t="s">
        <v>500</v>
      </c>
      <c r="V279" s="1"/>
      <c r="Z279"/>
      <c r="AA279"/>
    </row>
    <row r="280" spans="10:27" x14ac:dyDescent="0.35">
      <c r="J280" s="1" t="s">
        <v>85</v>
      </c>
      <c r="K280" s="3" t="s">
        <v>141</v>
      </c>
      <c r="L280" s="4" t="s">
        <v>224</v>
      </c>
      <c r="N280" s="1" t="s">
        <v>66</v>
      </c>
      <c r="O280" s="6" t="s">
        <v>199</v>
      </c>
      <c r="P280" s="6" t="s">
        <v>503</v>
      </c>
      <c r="V280" s="1"/>
      <c r="Z280"/>
      <c r="AA280"/>
    </row>
    <row r="281" spans="10:27" x14ac:dyDescent="0.35">
      <c r="J281" s="1" t="s">
        <v>85</v>
      </c>
      <c r="K281" s="3" t="s">
        <v>141</v>
      </c>
      <c r="L281" s="4" t="s">
        <v>227</v>
      </c>
      <c r="N281" s="1" t="s">
        <v>66</v>
      </c>
      <c r="O281" s="6" t="s">
        <v>199</v>
      </c>
      <c r="P281" s="6" t="s">
        <v>506</v>
      </c>
      <c r="V281" s="1"/>
      <c r="Z281"/>
      <c r="AA281"/>
    </row>
    <row r="282" spans="10:27" x14ac:dyDescent="0.35">
      <c r="J282" s="1" t="s">
        <v>85</v>
      </c>
      <c r="K282" s="3" t="s">
        <v>141</v>
      </c>
      <c r="L282" s="4" t="s">
        <v>230</v>
      </c>
      <c r="N282" s="1" t="s">
        <v>66</v>
      </c>
      <c r="O282" s="6" t="s">
        <v>199</v>
      </c>
      <c r="P282" s="6" t="s">
        <v>509</v>
      </c>
      <c r="V282" s="1"/>
      <c r="Z282"/>
      <c r="AA282"/>
    </row>
    <row r="283" spans="10:27" x14ac:dyDescent="0.35">
      <c r="J283" s="1" t="s">
        <v>85</v>
      </c>
      <c r="K283" s="3" t="s">
        <v>141</v>
      </c>
      <c r="L283" s="4" t="s">
        <v>233</v>
      </c>
      <c r="N283" s="1" t="s">
        <v>66</v>
      </c>
      <c r="O283" s="6" t="s">
        <v>195</v>
      </c>
      <c r="P283" s="6" t="s">
        <v>512</v>
      </c>
      <c r="V283" s="1"/>
      <c r="Z283"/>
      <c r="AA283"/>
    </row>
    <row r="284" spans="10:27" x14ac:dyDescent="0.35">
      <c r="J284" s="1" t="s">
        <v>85</v>
      </c>
      <c r="K284" s="3" t="s">
        <v>141</v>
      </c>
      <c r="L284" s="4" t="s">
        <v>236</v>
      </c>
      <c r="N284" s="1" t="s">
        <v>66</v>
      </c>
      <c r="O284" s="6" t="s">
        <v>220</v>
      </c>
      <c r="P284" s="6" t="s">
        <v>515</v>
      </c>
      <c r="V284" s="1"/>
      <c r="Z284"/>
      <c r="AA284"/>
    </row>
    <row r="285" spans="10:27" x14ac:dyDescent="0.35">
      <c r="J285" s="1" t="s">
        <v>85</v>
      </c>
      <c r="K285" s="3" t="s">
        <v>141</v>
      </c>
      <c r="L285" s="4" t="s">
        <v>239</v>
      </c>
      <c r="N285" s="1" t="s">
        <v>66</v>
      </c>
      <c r="O285" s="6" t="s">
        <v>220</v>
      </c>
      <c r="P285" s="6" t="s">
        <v>518</v>
      </c>
      <c r="V285" s="1"/>
      <c r="Z285"/>
      <c r="AA285"/>
    </row>
    <row r="286" spans="10:27" x14ac:dyDescent="0.35">
      <c r="J286" s="1" t="s">
        <v>85</v>
      </c>
      <c r="K286" s="3" t="s">
        <v>141</v>
      </c>
      <c r="L286" s="4" t="s">
        <v>242</v>
      </c>
      <c r="N286" s="1" t="s">
        <v>66</v>
      </c>
      <c r="O286" s="6" t="s">
        <v>220</v>
      </c>
      <c r="P286" s="6" t="s">
        <v>521</v>
      </c>
      <c r="V286" s="1"/>
      <c r="Z286"/>
      <c r="AA286"/>
    </row>
    <row r="287" spans="10:27" x14ac:dyDescent="0.35">
      <c r="J287" s="1" t="s">
        <v>85</v>
      </c>
      <c r="K287" s="3" t="s">
        <v>141</v>
      </c>
      <c r="L287" s="4" t="s">
        <v>245</v>
      </c>
      <c r="N287" s="1" t="s">
        <v>66</v>
      </c>
      <c r="O287" s="6" t="s">
        <v>220</v>
      </c>
      <c r="P287" s="6" t="s">
        <v>524</v>
      </c>
      <c r="V287" s="1"/>
      <c r="Z287"/>
      <c r="AA287"/>
    </row>
    <row r="288" spans="10:27" x14ac:dyDescent="0.35">
      <c r="J288" s="1" t="s">
        <v>85</v>
      </c>
      <c r="K288" s="3" t="s">
        <v>158</v>
      </c>
      <c r="L288" s="4" t="s">
        <v>254</v>
      </c>
      <c r="N288" s="1" t="s">
        <v>66</v>
      </c>
      <c r="O288" s="6" t="s">
        <v>220</v>
      </c>
      <c r="P288" s="6" t="s">
        <v>527</v>
      </c>
      <c r="V288" s="1"/>
      <c r="Z288"/>
      <c r="AA288"/>
    </row>
    <row r="289" spans="7:27" x14ac:dyDescent="0.35">
      <c r="J289" s="1" t="s">
        <v>85</v>
      </c>
      <c r="K289" s="3" t="s">
        <v>158</v>
      </c>
      <c r="L289" s="4" t="s">
        <v>181</v>
      </c>
      <c r="N289" s="1" t="s">
        <v>66</v>
      </c>
      <c r="O289" s="6" t="s">
        <v>220</v>
      </c>
      <c r="P289" s="6" t="s">
        <v>530</v>
      </c>
      <c r="V289" s="1"/>
      <c r="Z289"/>
      <c r="AA289"/>
    </row>
    <row r="290" spans="7:27" x14ac:dyDescent="0.35">
      <c r="J290" s="1" t="s">
        <v>85</v>
      </c>
      <c r="K290" s="3" t="s">
        <v>158</v>
      </c>
      <c r="L290" s="4" t="s">
        <v>184</v>
      </c>
      <c r="N290" s="1" t="s">
        <v>66</v>
      </c>
      <c r="O290" s="6" t="s">
        <v>220</v>
      </c>
      <c r="P290" s="6" t="s">
        <v>533</v>
      </c>
      <c r="V290" s="1"/>
      <c r="Z290"/>
      <c r="AA290"/>
    </row>
    <row r="291" spans="7:27" x14ac:dyDescent="0.35">
      <c r="J291" s="1" t="s">
        <v>85</v>
      </c>
      <c r="K291" s="3" t="s">
        <v>158</v>
      </c>
      <c r="L291" s="4" t="s">
        <v>187</v>
      </c>
      <c r="N291" s="1" t="s">
        <v>66</v>
      </c>
      <c r="O291" s="6" t="s">
        <v>220</v>
      </c>
      <c r="P291" s="6" t="s">
        <v>536</v>
      </c>
      <c r="V291" s="1"/>
      <c r="Z291"/>
      <c r="AA291"/>
    </row>
    <row r="292" spans="7:27" x14ac:dyDescent="0.35">
      <c r="J292" s="1" t="s">
        <v>85</v>
      </c>
      <c r="K292" s="3" t="s">
        <v>158</v>
      </c>
      <c r="L292" s="4" t="s">
        <v>190</v>
      </c>
      <c r="N292" s="1" t="s">
        <v>66</v>
      </c>
      <c r="O292" s="6" t="s">
        <v>141</v>
      </c>
      <c r="P292" s="6" t="s">
        <v>539</v>
      </c>
      <c r="V292" s="1"/>
      <c r="Z292"/>
      <c r="AA292"/>
    </row>
    <row r="293" spans="7:27" x14ac:dyDescent="0.35">
      <c r="J293" s="1" t="s">
        <v>85</v>
      </c>
      <c r="K293" s="3" t="s">
        <v>158</v>
      </c>
      <c r="L293" s="4" t="s">
        <v>193</v>
      </c>
      <c r="N293" s="1" t="s">
        <v>66</v>
      </c>
      <c r="O293" s="6" t="s">
        <v>141</v>
      </c>
      <c r="P293" s="6" t="s">
        <v>542</v>
      </c>
      <c r="V293" s="1"/>
      <c r="Z293"/>
      <c r="AA293"/>
    </row>
    <row r="294" spans="7:27" x14ac:dyDescent="0.35">
      <c r="J294" s="1" t="s">
        <v>85</v>
      </c>
      <c r="K294" s="3" t="s">
        <v>158</v>
      </c>
      <c r="L294" s="4" t="s">
        <v>196</v>
      </c>
      <c r="N294" s="1" t="s">
        <v>66</v>
      </c>
      <c r="O294" s="6" t="s">
        <v>141</v>
      </c>
      <c r="P294" s="6" t="s">
        <v>545</v>
      </c>
      <c r="V294" s="1"/>
      <c r="Z294"/>
      <c r="AA294"/>
    </row>
    <row r="295" spans="7:27" x14ac:dyDescent="0.35">
      <c r="J295" s="1" t="s">
        <v>85</v>
      </c>
      <c r="K295" s="3" t="s">
        <v>158</v>
      </c>
      <c r="L295" s="4" t="s">
        <v>248</v>
      </c>
      <c r="N295" s="1" t="s">
        <v>66</v>
      </c>
      <c r="O295" s="6" t="s">
        <v>141</v>
      </c>
      <c r="P295" s="6" t="s">
        <v>548</v>
      </c>
      <c r="V295" s="1"/>
      <c r="Z295"/>
      <c r="AA295"/>
    </row>
    <row r="296" spans="7:27" x14ac:dyDescent="0.35">
      <c r="J296" s="1" t="s">
        <v>85</v>
      </c>
      <c r="K296" s="3" t="s">
        <v>158</v>
      </c>
      <c r="L296" s="4" t="s">
        <v>200</v>
      </c>
      <c r="N296" s="1" t="s">
        <v>66</v>
      </c>
      <c r="O296" s="6" t="s">
        <v>141</v>
      </c>
      <c r="P296" s="6" t="s">
        <v>551</v>
      </c>
      <c r="V296" s="1"/>
      <c r="Z296"/>
      <c r="AA296"/>
    </row>
    <row r="297" spans="7:27" x14ac:dyDescent="0.35">
      <c r="J297" s="1" t="s">
        <v>85</v>
      </c>
      <c r="K297" s="3" t="s">
        <v>158</v>
      </c>
      <c r="L297" s="4" t="s">
        <v>203</v>
      </c>
      <c r="N297" s="1" t="s">
        <v>66</v>
      </c>
      <c r="O297" s="6" t="s">
        <v>141</v>
      </c>
      <c r="P297" s="6" t="s">
        <v>554</v>
      </c>
      <c r="V297" s="1"/>
      <c r="Z297"/>
      <c r="AA297"/>
    </row>
    <row r="298" spans="7:27" x14ac:dyDescent="0.35">
      <c r="J298" s="1" t="s">
        <v>85</v>
      </c>
      <c r="K298" s="3" t="s">
        <v>158</v>
      </c>
      <c r="L298" s="4" t="s">
        <v>207</v>
      </c>
      <c r="N298" s="1" t="s">
        <v>66</v>
      </c>
      <c r="O298" s="6" t="s">
        <v>141</v>
      </c>
      <c r="P298" s="6" t="s">
        <v>557</v>
      </c>
      <c r="V298" s="1"/>
      <c r="Z298"/>
      <c r="AA298"/>
    </row>
    <row r="299" spans="7:27" x14ac:dyDescent="0.35">
      <c r="G299" s="1" t="e">
        <f ca="1">OFFSET('Dropdown Data'!$L$6,MATCH(1,('Dropdown Data'!$J$7:$J$322=PAAR!$B$10)*('Dropdown Data'!$K$7:$K$322=PAAR!$B$14:$F$14),0),0,COUNTIFS($J$7:$J$322,PAAR!$B$10,'Dropdown Data'!$K$7:$K$322,PAAR!$B$14),1)</f>
        <v>#VALUE!</v>
      </c>
      <c r="J299" s="1" t="s">
        <v>85</v>
      </c>
      <c r="K299" s="3" t="s">
        <v>158</v>
      </c>
      <c r="L299" s="4" t="s">
        <v>211</v>
      </c>
      <c r="N299" s="1" t="s">
        <v>66</v>
      </c>
      <c r="O299" s="6" t="s">
        <v>141</v>
      </c>
      <c r="P299" s="6" t="s">
        <v>560</v>
      </c>
      <c r="V299" s="1"/>
      <c r="Z299"/>
      <c r="AA299"/>
    </row>
    <row r="300" spans="7:27" x14ac:dyDescent="0.35">
      <c r="J300" s="1" t="s">
        <v>85</v>
      </c>
      <c r="K300" s="3" t="s">
        <v>158</v>
      </c>
      <c r="L300" s="4" t="s">
        <v>214</v>
      </c>
      <c r="N300" s="1" t="s">
        <v>66</v>
      </c>
      <c r="O300" s="6" t="s">
        <v>216</v>
      </c>
      <c r="P300" s="6" t="s">
        <v>563</v>
      </c>
      <c r="V300" s="1"/>
      <c r="Z300"/>
      <c r="AA300"/>
    </row>
    <row r="301" spans="7:27" x14ac:dyDescent="0.35">
      <c r="J301" s="1" t="s">
        <v>85</v>
      </c>
      <c r="K301" s="3" t="s">
        <v>158</v>
      </c>
      <c r="L301" s="4" t="s">
        <v>217</v>
      </c>
      <c r="N301" s="1" t="s">
        <v>66</v>
      </c>
      <c r="O301" s="6" t="s">
        <v>216</v>
      </c>
      <c r="P301" s="6" t="s">
        <v>566</v>
      </c>
      <c r="V301" s="1"/>
      <c r="Z301"/>
      <c r="AA301"/>
    </row>
    <row r="302" spans="7:27" x14ac:dyDescent="0.35">
      <c r="J302" s="1" t="s">
        <v>85</v>
      </c>
      <c r="K302" s="3" t="s">
        <v>158</v>
      </c>
      <c r="L302" s="4" t="s">
        <v>257</v>
      </c>
      <c r="N302" s="1" t="s">
        <v>66</v>
      </c>
      <c r="O302" s="6" t="s">
        <v>216</v>
      </c>
      <c r="P302" s="6" t="s">
        <v>569</v>
      </c>
      <c r="V302" s="1"/>
      <c r="Z302"/>
      <c r="AA302"/>
    </row>
    <row r="303" spans="7:27" x14ac:dyDescent="0.35">
      <c r="J303" s="1" t="s">
        <v>85</v>
      </c>
      <c r="K303" s="3" t="s">
        <v>158</v>
      </c>
      <c r="L303" s="4" t="s">
        <v>251</v>
      </c>
      <c r="N303" s="1" t="s">
        <v>66</v>
      </c>
      <c r="O303" s="6" t="s">
        <v>216</v>
      </c>
      <c r="P303" s="6" t="s">
        <v>572</v>
      </c>
      <c r="V303" s="1"/>
      <c r="Z303"/>
      <c r="AA303"/>
    </row>
    <row r="304" spans="7:27" x14ac:dyDescent="0.35">
      <c r="J304" s="1" t="s">
        <v>85</v>
      </c>
      <c r="K304" s="3" t="s">
        <v>158</v>
      </c>
      <c r="L304" s="4" t="s">
        <v>141</v>
      </c>
      <c r="N304" s="1" t="s">
        <v>66</v>
      </c>
      <c r="O304" s="6" t="s">
        <v>216</v>
      </c>
      <c r="P304" s="6" t="s">
        <v>575</v>
      </c>
      <c r="V304" s="1"/>
      <c r="Z304"/>
      <c r="AA304"/>
    </row>
    <row r="305" spans="10:27" x14ac:dyDescent="0.35">
      <c r="J305" s="1" t="s">
        <v>85</v>
      </c>
      <c r="K305" s="3" t="s">
        <v>158</v>
      </c>
      <c r="L305" s="4" t="s">
        <v>221</v>
      </c>
      <c r="N305" s="1" t="s">
        <v>66</v>
      </c>
      <c r="O305" s="6" t="s">
        <v>216</v>
      </c>
      <c r="P305" s="6" t="s">
        <v>578</v>
      </c>
      <c r="V305" s="1"/>
      <c r="Z305"/>
      <c r="AA305"/>
    </row>
    <row r="306" spans="10:27" x14ac:dyDescent="0.35">
      <c r="J306" s="1" t="s">
        <v>85</v>
      </c>
      <c r="K306" s="3" t="s">
        <v>158</v>
      </c>
      <c r="L306" s="4" t="s">
        <v>260</v>
      </c>
      <c r="N306" s="1" t="s">
        <v>66</v>
      </c>
      <c r="O306" s="6" t="s">
        <v>216</v>
      </c>
      <c r="P306" s="6" t="s">
        <v>581</v>
      </c>
      <c r="V306" s="1"/>
      <c r="Z306"/>
      <c r="AA306"/>
    </row>
    <row r="307" spans="10:27" x14ac:dyDescent="0.35">
      <c r="J307" s="1" t="s">
        <v>85</v>
      </c>
      <c r="K307" s="3" t="s">
        <v>158</v>
      </c>
      <c r="L307" s="4" t="s">
        <v>224</v>
      </c>
      <c r="N307" s="1" t="s">
        <v>66</v>
      </c>
      <c r="O307" s="6" t="s">
        <v>216</v>
      </c>
      <c r="P307" s="6" t="s">
        <v>584</v>
      </c>
      <c r="V307" s="1"/>
      <c r="Z307"/>
      <c r="AA307"/>
    </row>
    <row r="308" spans="10:27" x14ac:dyDescent="0.35">
      <c r="J308" s="1" t="s">
        <v>85</v>
      </c>
      <c r="K308" s="3" t="s">
        <v>158</v>
      </c>
      <c r="L308" s="4" t="s">
        <v>227</v>
      </c>
      <c r="N308" s="1" t="s">
        <v>66</v>
      </c>
      <c r="O308" s="6" t="s">
        <v>213</v>
      </c>
      <c r="P308" s="6" t="s">
        <v>587</v>
      </c>
      <c r="V308" s="1"/>
      <c r="Z308"/>
      <c r="AA308"/>
    </row>
    <row r="309" spans="10:27" x14ac:dyDescent="0.35">
      <c r="J309" s="1" t="s">
        <v>85</v>
      </c>
      <c r="K309" s="3" t="s">
        <v>158</v>
      </c>
      <c r="L309" s="4" t="s">
        <v>230</v>
      </c>
      <c r="N309" s="1" t="s">
        <v>66</v>
      </c>
      <c r="O309" s="6" t="s">
        <v>213</v>
      </c>
      <c r="P309" s="6" t="s">
        <v>590</v>
      </c>
      <c r="V309" s="1"/>
      <c r="Z309"/>
      <c r="AA309"/>
    </row>
    <row r="310" spans="10:27" x14ac:dyDescent="0.35">
      <c r="J310" s="1" t="s">
        <v>85</v>
      </c>
      <c r="K310" s="3" t="s">
        <v>158</v>
      </c>
      <c r="L310" s="4" t="s">
        <v>233</v>
      </c>
      <c r="N310" s="1" t="s">
        <v>66</v>
      </c>
      <c r="O310" s="6" t="s">
        <v>213</v>
      </c>
      <c r="P310" s="6" t="s">
        <v>593</v>
      </c>
      <c r="V310" s="1"/>
      <c r="Z310"/>
      <c r="AA310"/>
    </row>
    <row r="311" spans="10:27" x14ac:dyDescent="0.35">
      <c r="J311" s="1" t="s">
        <v>85</v>
      </c>
      <c r="K311" s="3" t="s">
        <v>158</v>
      </c>
      <c r="L311" s="4" t="s">
        <v>236</v>
      </c>
      <c r="N311" s="1" t="s">
        <v>66</v>
      </c>
      <c r="O311" s="6" t="s">
        <v>250</v>
      </c>
      <c r="P311" s="6" t="s">
        <v>596</v>
      </c>
      <c r="V311" s="1"/>
      <c r="Z311"/>
      <c r="AA311"/>
    </row>
    <row r="312" spans="10:27" x14ac:dyDescent="0.35">
      <c r="J312" s="1" t="s">
        <v>85</v>
      </c>
      <c r="K312" s="3" t="s">
        <v>158</v>
      </c>
      <c r="L312" s="4" t="s">
        <v>239</v>
      </c>
      <c r="N312" s="1" t="s">
        <v>66</v>
      </c>
      <c r="O312" s="6" t="s">
        <v>250</v>
      </c>
      <c r="P312" s="6" t="s">
        <v>599</v>
      </c>
      <c r="V312" s="1"/>
      <c r="Z312"/>
      <c r="AA312"/>
    </row>
    <row r="313" spans="10:27" x14ac:dyDescent="0.35">
      <c r="J313" s="1" t="s">
        <v>85</v>
      </c>
      <c r="K313" s="3" t="s">
        <v>158</v>
      </c>
      <c r="L313" s="4" t="s">
        <v>242</v>
      </c>
      <c r="N313" s="1" t="s">
        <v>66</v>
      </c>
      <c r="O313" s="6" t="s">
        <v>250</v>
      </c>
      <c r="P313" s="6" t="s">
        <v>602</v>
      </c>
      <c r="V313" s="1"/>
      <c r="Z313"/>
      <c r="AA313"/>
    </row>
    <row r="314" spans="10:27" x14ac:dyDescent="0.35">
      <c r="J314" s="1" t="s">
        <v>85</v>
      </c>
      <c r="K314" s="3" t="s">
        <v>158</v>
      </c>
      <c r="L314" s="4" t="s">
        <v>245</v>
      </c>
      <c r="N314" s="1" t="s">
        <v>66</v>
      </c>
      <c r="O314" s="6" t="s">
        <v>250</v>
      </c>
      <c r="P314" s="6" t="s">
        <v>605</v>
      </c>
      <c r="V314" s="1"/>
      <c r="Z314"/>
      <c r="AA314"/>
    </row>
    <row r="315" spans="10:27" x14ac:dyDescent="0.35">
      <c r="J315" s="1" t="s">
        <v>85</v>
      </c>
      <c r="K315" s="3" t="s">
        <v>153</v>
      </c>
      <c r="L315" s="4" t="s">
        <v>224</v>
      </c>
      <c r="N315" s="1" t="s">
        <v>66</v>
      </c>
      <c r="O315" s="6" t="s">
        <v>250</v>
      </c>
      <c r="P315" s="6" t="s">
        <v>608</v>
      </c>
      <c r="V315" s="1"/>
      <c r="Z315"/>
      <c r="AA315"/>
    </row>
    <row r="316" spans="10:27" x14ac:dyDescent="0.35">
      <c r="J316" s="1" t="s">
        <v>85</v>
      </c>
      <c r="K316" s="3" t="s">
        <v>153</v>
      </c>
      <c r="L316" s="4" t="s">
        <v>227</v>
      </c>
      <c r="N316" s="1" t="s">
        <v>66</v>
      </c>
      <c r="O316" s="6" t="s">
        <v>250</v>
      </c>
      <c r="P316" s="6" t="s">
        <v>611</v>
      </c>
      <c r="V316" s="1"/>
      <c r="Z316"/>
      <c r="AA316"/>
    </row>
    <row r="317" spans="10:27" x14ac:dyDescent="0.35">
      <c r="J317" s="1" t="s">
        <v>85</v>
      </c>
      <c r="K317" s="3" t="s">
        <v>153</v>
      </c>
      <c r="L317" s="4" t="s">
        <v>230</v>
      </c>
      <c r="N317" s="1" t="s">
        <v>66</v>
      </c>
      <c r="O317" s="6" t="s">
        <v>250</v>
      </c>
      <c r="P317" s="6" t="s">
        <v>614</v>
      </c>
      <c r="V317" s="1"/>
      <c r="Z317"/>
      <c r="AA317"/>
    </row>
    <row r="318" spans="10:27" x14ac:dyDescent="0.35">
      <c r="J318" s="1" t="s">
        <v>85</v>
      </c>
      <c r="K318" s="3" t="s">
        <v>153</v>
      </c>
      <c r="L318" s="4" t="s">
        <v>233</v>
      </c>
      <c r="N318" s="1" t="s">
        <v>66</v>
      </c>
      <c r="O318" s="6" t="s">
        <v>250</v>
      </c>
      <c r="P318" s="6" t="s">
        <v>617</v>
      </c>
      <c r="V318" s="1"/>
      <c r="Z318"/>
      <c r="AA318"/>
    </row>
    <row r="319" spans="10:27" x14ac:dyDescent="0.35">
      <c r="J319" s="1" t="s">
        <v>85</v>
      </c>
      <c r="K319" s="3" t="s">
        <v>153</v>
      </c>
      <c r="L319" s="4" t="s">
        <v>236</v>
      </c>
      <c r="N319" s="1" t="s">
        <v>66</v>
      </c>
      <c r="O319" s="6" t="s">
        <v>250</v>
      </c>
      <c r="P319" s="6" t="s">
        <v>620</v>
      </c>
      <c r="V319" s="1"/>
      <c r="Z319"/>
      <c r="AA319"/>
    </row>
    <row r="320" spans="10:27" x14ac:dyDescent="0.35">
      <c r="J320" s="1" t="s">
        <v>85</v>
      </c>
      <c r="K320" s="3" t="s">
        <v>153</v>
      </c>
      <c r="L320" s="4" t="s">
        <v>239</v>
      </c>
      <c r="N320" s="1" t="s">
        <v>66</v>
      </c>
      <c r="O320" s="6" t="s">
        <v>250</v>
      </c>
      <c r="P320" s="6" t="s">
        <v>623</v>
      </c>
      <c r="V320" s="1"/>
      <c r="Z320"/>
      <c r="AA320"/>
    </row>
    <row r="321" spans="10:27" x14ac:dyDescent="0.35">
      <c r="J321" s="1" t="s">
        <v>85</v>
      </c>
      <c r="K321" s="3" t="s">
        <v>153</v>
      </c>
      <c r="L321" s="4" t="s">
        <v>242</v>
      </c>
      <c r="N321" s="1" t="s">
        <v>66</v>
      </c>
      <c r="O321" s="6" t="s">
        <v>247</v>
      </c>
      <c r="P321" s="6" t="s">
        <v>626</v>
      </c>
      <c r="V321" s="1"/>
      <c r="Z321"/>
      <c r="AA321"/>
    </row>
    <row r="322" spans="10:27" x14ac:dyDescent="0.35">
      <c r="J322" s="1" t="s">
        <v>85</v>
      </c>
      <c r="K322" s="3" t="s">
        <v>153</v>
      </c>
      <c r="L322" s="4" t="s">
        <v>245</v>
      </c>
      <c r="N322" s="1" t="s">
        <v>66</v>
      </c>
      <c r="O322" s="6" t="s">
        <v>247</v>
      </c>
      <c r="P322" s="6" t="s">
        <v>629</v>
      </c>
      <c r="V322" s="1"/>
      <c r="Z322"/>
      <c r="AA322"/>
    </row>
    <row r="323" spans="10:27" x14ac:dyDescent="0.35">
      <c r="N323" s="1" t="s">
        <v>66</v>
      </c>
      <c r="O323" s="6" t="s">
        <v>247</v>
      </c>
      <c r="P323" s="6" t="s">
        <v>632</v>
      </c>
      <c r="V323" s="1"/>
      <c r="Z323"/>
      <c r="AA323"/>
    </row>
    <row r="324" spans="10:27" x14ac:dyDescent="0.35">
      <c r="N324" s="1" t="s">
        <v>66</v>
      </c>
      <c r="O324" s="6" t="s">
        <v>247</v>
      </c>
      <c r="P324" s="6" t="s">
        <v>635</v>
      </c>
      <c r="V324" s="1"/>
      <c r="Z324"/>
      <c r="AA324"/>
    </row>
    <row r="325" spans="10:27" x14ac:dyDescent="0.35">
      <c r="N325" s="1" t="s">
        <v>66</v>
      </c>
      <c r="O325" s="6" t="s">
        <v>247</v>
      </c>
      <c r="P325" s="6" t="s">
        <v>638</v>
      </c>
      <c r="V325" s="1"/>
      <c r="Z325"/>
      <c r="AA325"/>
    </row>
    <row r="326" spans="10:27" x14ac:dyDescent="0.35">
      <c r="N326" s="1" t="s">
        <v>66</v>
      </c>
      <c r="O326" s="6" t="s">
        <v>247</v>
      </c>
      <c r="P326" s="6" t="s">
        <v>641</v>
      </c>
      <c r="V326" s="1"/>
      <c r="Z326"/>
      <c r="AA326"/>
    </row>
    <row r="327" spans="10:27" x14ac:dyDescent="0.35">
      <c r="N327" s="1" t="s">
        <v>66</v>
      </c>
      <c r="O327" s="6" t="s">
        <v>247</v>
      </c>
      <c r="P327" s="6" t="s">
        <v>644</v>
      </c>
      <c r="V327" s="1"/>
      <c r="Z327"/>
      <c r="AA327"/>
    </row>
    <row r="328" spans="10:27" x14ac:dyDescent="0.35">
      <c r="N328" s="1" t="s">
        <v>66</v>
      </c>
      <c r="O328" s="6" t="s">
        <v>247</v>
      </c>
      <c r="P328" s="6" t="s">
        <v>647</v>
      </c>
      <c r="V328" s="1"/>
      <c r="Z328"/>
      <c r="AA328"/>
    </row>
    <row r="329" spans="10:27" x14ac:dyDescent="0.35">
      <c r="N329" s="1" t="s">
        <v>66</v>
      </c>
      <c r="O329" s="6" t="s">
        <v>247</v>
      </c>
      <c r="P329" s="6" t="s">
        <v>650</v>
      </c>
      <c r="V329" s="1"/>
      <c r="Z329"/>
      <c r="AA329"/>
    </row>
    <row r="330" spans="10:27" x14ac:dyDescent="0.35">
      <c r="N330" s="1" t="s">
        <v>66</v>
      </c>
      <c r="O330" s="6" t="s">
        <v>247</v>
      </c>
      <c r="P330" s="6" t="s">
        <v>653</v>
      </c>
      <c r="V330" s="1"/>
      <c r="Z330"/>
      <c r="AA330"/>
    </row>
    <row r="331" spans="10:27" x14ac:dyDescent="0.35">
      <c r="N331" s="1" t="s">
        <v>66</v>
      </c>
      <c r="O331" s="6" t="s">
        <v>259</v>
      </c>
      <c r="P331" s="6" t="s">
        <v>656</v>
      </c>
      <c r="V331" s="1"/>
      <c r="Z331"/>
      <c r="AA331"/>
    </row>
    <row r="332" spans="10:27" x14ac:dyDescent="0.35">
      <c r="N332" s="1" t="s">
        <v>66</v>
      </c>
      <c r="O332" s="6" t="s">
        <v>259</v>
      </c>
      <c r="P332" s="6" t="s">
        <v>658</v>
      </c>
      <c r="V332" s="1"/>
      <c r="Z332"/>
      <c r="AA332"/>
    </row>
    <row r="333" spans="10:27" x14ac:dyDescent="0.35">
      <c r="N333" s="1" t="s">
        <v>66</v>
      </c>
      <c r="O333" s="6" t="s">
        <v>259</v>
      </c>
      <c r="P333" s="6" t="s">
        <v>660</v>
      </c>
      <c r="V333" s="1"/>
      <c r="Z333"/>
      <c r="AA333"/>
    </row>
    <row r="334" spans="10:27" x14ac:dyDescent="0.35">
      <c r="N334" s="1" t="s">
        <v>66</v>
      </c>
      <c r="O334" s="6" t="s">
        <v>259</v>
      </c>
      <c r="P334" s="6" t="s">
        <v>662</v>
      </c>
      <c r="V334" s="1"/>
      <c r="Z334"/>
      <c r="AA334"/>
    </row>
    <row r="335" spans="10:27" x14ac:dyDescent="0.35">
      <c r="N335" s="1" t="s">
        <v>66</v>
      </c>
      <c r="O335" s="6" t="s">
        <v>259</v>
      </c>
      <c r="P335" s="6" t="s">
        <v>664</v>
      </c>
      <c r="V335" s="1"/>
      <c r="Z335"/>
      <c r="AA335"/>
    </row>
    <row r="336" spans="10:27" x14ac:dyDescent="0.35">
      <c r="N336" s="1" t="s">
        <v>66</v>
      </c>
      <c r="O336" s="6" t="s">
        <v>259</v>
      </c>
      <c r="P336" s="6" t="s">
        <v>666</v>
      </c>
      <c r="V336" s="1"/>
      <c r="Z336"/>
      <c r="AA336"/>
    </row>
    <row r="337" spans="14:27" x14ac:dyDescent="0.35">
      <c r="N337" s="1" t="s">
        <v>66</v>
      </c>
      <c r="O337" s="6" t="s">
        <v>259</v>
      </c>
      <c r="P337" s="6" t="s">
        <v>668</v>
      </c>
      <c r="V337" s="1"/>
      <c r="Z337"/>
      <c r="AA337"/>
    </row>
    <row r="338" spans="14:27" x14ac:dyDescent="0.35">
      <c r="N338" s="1" t="s">
        <v>66</v>
      </c>
      <c r="O338" s="6" t="s">
        <v>253</v>
      </c>
      <c r="P338" s="6" t="s">
        <v>670</v>
      </c>
      <c r="V338" s="1"/>
      <c r="Z338"/>
      <c r="AA338"/>
    </row>
    <row r="339" spans="14:27" x14ac:dyDescent="0.35">
      <c r="N339" s="1" t="s">
        <v>66</v>
      </c>
      <c r="O339" s="6" t="s">
        <v>253</v>
      </c>
      <c r="P339" s="6" t="s">
        <v>672</v>
      </c>
      <c r="V339" s="1"/>
      <c r="Z339"/>
      <c r="AA339"/>
    </row>
    <row r="340" spans="14:27" x14ac:dyDescent="0.35">
      <c r="N340" s="1" t="s">
        <v>66</v>
      </c>
      <c r="O340" s="6" t="s">
        <v>253</v>
      </c>
      <c r="P340" s="6" t="s">
        <v>674</v>
      </c>
      <c r="V340" s="1"/>
      <c r="Z340"/>
      <c r="AA340"/>
    </row>
    <row r="341" spans="14:27" x14ac:dyDescent="0.35">
      <c r="N341" s="1" t="s">
        <v>66</v>
      </c>
      <c r="O341" s="6" t="s">
        <v>253</v>
      </c>
      <c r="P341" s="6" t="s">
        <v>676</v>
      </c>
      <c r="V341" s="1"/>
      <c r="Z341"/>
      <c r="AA341"/>
    </row>
    <row r="342" spans="14:27" x14ac:dyDescent="0.35">
      <c r="N342" s="1" t="s">
        <v>66</v>
      </c>
      <c r="O342" s="6" t="s">
        <v>253</v>
      </c>
      <c r="P342" s="6" t="s">
        <v>678</v>
      </c>
      <c r="V342" s="1"/>
      <c r="Z342"/>
      <c r="AA342"/>
    </row>
    <row r="343" spans="14:27" x14ac:dyDescent="0.35">
      <c r="N343" s="1" t="s">
        <v>66</v>
      </c>
      <c r="O343" s="6" t="s">
        <v>253</v>
      </c>
      <c r="P343" s="6" t="s">
        <v>680</v>
      </c>
      <c r="V343" s="1"/>
      <c r="Z343"/>
      <c r="AA343"/>
    </row>
    <row r="344" spans="14:27" x14ac:dyDescent="0.35">
      <c r="N344" s="1" t="s">
        <v>66</v>
      </c>
      <c r="O344" s="6" t="s">
        <v>253</v>
      </c>
      <c r="P344" s="6" t="s">
        <v>682</v>
      </c>
      <c r="V344" s="1"/>
      <c r="Z344"/>
      <c r="AA344"/>
    </row>
    <row r="345" spans="14:27" x14ac:dyDescent="0.35">
      <c r="N345" s="1" t="s">
        <v>66</v>
      </c>
      <c r="O345" s="6" t="s">
        <v>253</v>
      </c>
      <c r="P345" s="6" t="s">
        <v>684</v>
      </c>
      <c r="V345" s="1"/>
      <c r="Z345"/>
      <c r="AA345"/>
    </row>
    <row r="346" spans="14:27" x14ac:dyDescent="0.35">
      <c r="N346" s="1" t="s">
        <v>66</v>
      </c>
      <c r="O346" s="6" t="s">
        <v>253</v>
      </c>
      <c r="P346" s="6" t="s">
        <v>686</v>
      </c>
      <c r="V346" s="1"/>
      <c r="Z346"/>
      <c r="AA346"/>
    </row>
    <row r="347" spans="14:27" x14ac:dyDescent="0.35">
      <c r="N347" s="1" t="s">
        <v>66</v>
      </c>
      <c r="O347" s="6" t="s">
        <v>253</v>
      </c>
      <c r="P347" s="6" t="s">
        <v>688</v>
      </c>
      <c r="V347" s="1"/>
      <c r="Z347"/>
      <c r="AA347"/>
    </row>
    <row r="348" spans="14:27" x14ac:dyDescent="0.35">
      <c r="N348" s="1" t="s">
        <v>66</v>
      </c>
      <c r="O348" s="6" t="s">
        <v>253</v>
      </c>
      <c r="P348" s="6" t="s">
        <v>690</v>
      </c>
      <c r="V348" s="1"/>
      <c r="Z348"/>
      <c r="AA348"/>
    </row>
    <row r="349" spans="14:27" x14ac:dyDescent="0.35">
      <c r="N349" s="1" t="s">
        <v>66</v>
      </c>
      <c r="O349" s="6" t="s">
        <v>256</v>
      </c>
      <c r="P349" s="6" t="s">
        <v>692</v>
      </c>
      <c r="V349" s="1"/>
      <c r="Z349"/>
      <c r="AA349"/>
    </row>
    <row r="350" spans="14:27" x14ac:dyDescent="0.35">
      <c r="N350" s="1" t="s">
        <v>66</v>
      </c>
      <c r="O350" s="6" t="s">
        <v>256</v>
      </c>
      <c r="P350" s="6" t="s">
        <v>694</v>
      </c>
      <c r="V350" s="1"/>
      <c r="Z350"/>
      <c r="AA350"/>
    </row>
    <row r="351" spans="14:27" x14ac:dyDescent="0.35">
      <c r="N351" s="1" t="s">
        <v>66</v>
      </c>
      <c r="O351" s="6" t="s">
        <v>256</v>
      </c>
      <c r="P351" s="6" t="s">
        <v>696</v>
      </c>
      <c r="V351" s="1"/>
      <c r="Z351"/>
      <c r="AA351"/>
    </row>
    <row r="352" spans="14:27" x14ac:dyDescent="0.35">
      <c r="N352" s="1" t="s">
        <v>66</v>
      </c>
      <c r="O352" s="6" t="s">
        <v>256</v>
      </c>
      <c r="P352" s="6" t="s">
        <v>698</v>
      </c>
      <c r="V352" s="1"/>
      <c r="Z352"/>
      <c r="AA352"/>
    </row>
    <row r="353" spans="14:27" x14ac:dyDescent="0.35">
      <c r="N353" s="1" t="s">
        <v>66</v>
      </c>
      <c r="O353" s="6" t="s">
        <v>256</v>
      </c>
      <c r="P353" s="6" t="s">
        <v>700</v>
      </c>
      <c r="V353" s="1"/>
      <c r="Z353"/>
      <c r="AA353"/>
    </row>
    <row r="354" spans="14:27" x14ac:dyDescent="0.35">
      <c r="N354" s="1" t="s">
        <v>66</v>
      </c>
      <c r="O354" s="6" t="s">
        <v>256</v>
      </c>
      <c r="P354" s="6" t="s">
        <v>702</v>
      </c>
      <c r="V354" s="1"/>
      <c r="Z354"/>
      <c r="AA354"/>
    </row>
    <row r="355" spans="14:27" x14ac:dyDescent="0.35">
      <c r="N355" s="1" t="s">
        <v>66</v>
      </c>
      <c r="O355" s="6" t="s">
        <v>256</v>
      </c>
      <c r="P355" s="6" t="s">
        <v>704</v>
      </c>
      <c r="V355" s="1"/>
      <c r="Z355"/>
      <c r="AA355"/>
    </row>
    <row r="356" spans="14:27" x14ac:dyDescent="0.35">
      <c r="N356" s="1" t="s">
        <v>66</v>
      </c>
      <c r="O356" s="6" t="s">
        <v>223</v>
      </c>
      <c r="P356" s="6" t="s">
        <v>706</v>
      </c>
      <c r="V356" s="1"/>
      <c r="Z356"/>
      <c r="AA356"/>
    </row>
    <row r="357" spans="14:27" x14ac:dyDescent="0.35">
      <c r="N357" s="1" t="s">
        <v>66</v>
      </c>
      <c r="O357" s="6" t="s">
        <v>223</v>
      </c>
      <c r="P357" s="6" t="s">
        <v>708</v>
      </c>
      <c r="V357" s="1"/>
      <c r="Z357"/>
      <c r="AA357"/>
    </row>
    <row r="358" spans="14:27" x14ac:dyDescent="0.35">
      <c r="N358" s="1" t="s">
        <v>66</v>
      </c>
      <c r="O358" s="6" t="s">
        <v>223</v>
      </c>
      <c r="P358" s="6" t="s">
        <v>710</v>
      </c>
      <c r="V358" s="1"/>
      <c r="Z358"/>
      <c r="AA358"/>
    </row>
    <row r="359" spans="14:27" x14ac:dyDescent="0.35">
      <c r="N359" s="1" t="s">
        <v>66</v>
      </c>
      <c r="O359" s="6" t="s">
        <v>223</v>
      </c>
      <c r="P359" s="6" t="s">
        <v>712</v>
      </c>
      <c r="V359" s="1"/>
      <c r="Z359"/>
      <c r="AA359"/>
    </row>
    <row r="360" spans="14:27" x14ac:dyDescent="0.35">
      <c r="N360" s="1" t="s">
        <v>66</v>
      </c>
      <c r="O360" s="6" t="s">
        <v>223</v>
      </c>
      <c r="P360" s="6" t="s">
        <v>714</v>
      </c>
      <c r="V360" s="1"/>
      <c r="Z360"/>
      <c r="AA360"/>
    </row>
    <row r="361" spans="14:27" x14ac:dyDescent="0.35">
      <c r="N361" s="1" t="s">
        <v>66</v>
      </c>
      <c r="O361" s="6" t="s">
        <v>226</v>
      </c>
      <c r="P361" s="6" t="s">
        <v>716</v>
      </c>
      <c r="V361" s="1"/>
      <c r="Z361"/>
      <c r="AA361"/>
    </row>
    <row r="362" spans="14:27" x14ac:dyDescent="0.35">
      <c r="N362" s="1" t="s">
        <v>66</v>
      </c>
      <c r="O362" s="6" t="s">
        <v>226</v>
      </c>
      <c r="P362" s="6" t="s">
        <v>718</v>
      </c>
      <c r="V362" s="1"/>
      <c r="Z362"/>
      <c r="AA362"/>
    </row>
    <row r="363" spans="14:27" x14ac:dyDescent="0.35">
      <c r="N363" s="1" t="s">
        <v>66</v>
      </c>
      <c r="O363" s="6" t="s">
        <v>226</v>
      </c>
      <c r="P363" s="6" t="s">
        <v>720</v>
      </c>
      <c r="V363" s="1"/>
      <c r="Z363"/>
      <c r="AA363"/>
    </row>
    <row r="364" spans="14:27" x14ac:dyDescent="0.35">
      <c r="N364" s="1" t="s">
        <v>66</v>
      </c>
      <c r="O364" s="6" t="s">
        <v>226</v>
      </c>
      <c r="P364" s="6" t="s">
        <v>722</v>
      </c>
      <c r="V364" s="1"/>
      <c r="Z364"/>
      <c r="AA364"/>
    </row>
    <row r="365" spans="14:27" x14ac:dyDescent="0.35">
      <c r="N365" s="1" t="s">
        <v>66</v>
      </c>
      <c r="O365" s="6" t="s">
        <v>226</v>
      </c>
      <c r="P365" s="6" t="s">
        <v>724</v>
      </c>
      <c r="V365" s="1"/>
      <c r="Z365"/>
      <c r="AA365"/>
    </row>
    <row r="366" spans="14:27" x14ac:dyDescent="0.35">
      <c r="N366" s="1" t="s">
        <v>66</v>
      </c>
      <c r="O366" s="6" t="s">
        <v>226</v>
      </c>
      <c r="P366" s="6" t="s">
        <v>726</v>
      </c>
      <c r="V366" s="1"/>
      <c r="Z366"/>
      <c r="AA366"/>
    </row>
    <row r="367" spans="14:27" x14ac:dyDescent="0.35">
      <c r="N367" s="1" t="s">
        <v>66</v>
      </c>
      <c r="O367" s="6" t="s">
        <v>226</v>
      </c>
      <c r="P367" s="6" t="s">
        <v>728</v>
      </c>
      <c r="V367" s="1"/>
      <c r="Z367"/>
      <c r="AA367"/>
    </row>
    <row r="368" spans="14:27" x14ac:dyDescent="0.35">
      <c r="N368" s="1" t="s">
        <v>66</v>
      </c>
      <c r="O368" s="6" t="s">
        <v>229</v>
      </c>
      <c r="P368" s="6" t="s">
        <v>730</v>
      </c>
      <c r="V368" s="1"/>
      <c r="Z368"/>
      <c r="AA368"/>
    </row>
    <row r="369" spans="14:27" x14ac:dyDescent="0.35">
      <c r="N369" s="1" t="s">
        <v>66</v>
      </c>
      <c r="O369" s="6" t="s">
        <v>229</v>
      </c>
      <c r="P369" s="6" t="s">
        <v>732</v>
      </c>
      <c r="V369" s="1"/>
      <c r="Z369"/>
      <c r="AA369"/>
    </row>
    <row r="370" spans="14:27" x14ac:dyDescent="0.35">
      <c r="N370" s="1" t="s">
        <v>66</v>
      </c>
      <c r="O370" s="6" t="s">
        <v>229</v>
      </c>
      <c r="P370" s="6" t="s">
        <v>734</v>
      </c>
      <c r="V370" s="1"/>
      <c r="Z370"/>
      <c r="AA370"/>
    </row>
    <row r="371" spans="14:27" x14ac:dyDescent="0.35">
      <c r="N371" s="1" t="s">
        <v>66</v>
      </c>
      <c r="O371" s="6" t="s">
        <v>232</v>
      </c>
      <c r="P371" s="6" t="s">
        <v>736</v>
      </c>
      <c r="V371" s="1"/>
      <c r="Z371"/>
      <c r="AA371"/>
    </row>
    <row r="372" spans="14:27" x14ac:dyDescent="0.35">
      <c r="N372" s="1" t="s">
        <v>66</v>
      </c>
      <c r="O372" s="6" t="s">
        <v>232</v>
      </c>
      <c r="P372" s="6" t="s">
        <v>738</v>
      </c>
      <c r="V372" s="1"/>
      <c r="Z372"/>
      <c r="AA372"/>
    </row>
    <row r="373" spans="14:27" x14ac:dyDescent="0.35">
      <c r="N373" s="1" t="s">
        <v>66</v>
      </c>
      <c r="O373" s="6" t="s">
        <v>232</v>
      </c>
      <c r="P373" s="6" t="s">
        <v>740</v>
      </c>
      <c r="V373" s="1"/>
      <c r="Z373"/>
      <c r="AA373"/>
    </row>
    <row r="374" spans="14:27" x14ac:dyDescent="0.35">
      <c r="N374" s="1" t="s">
        <v>66</v>
      </c>
      <c r="O374" s="6" t="s">
        <v>232</v>
      </c>
      <c r="P374" s="6" t="s">
        <v>742</v>
      </c>
      <c r="V374" s="1"/>
      <c r="Z374"/>
      <c r="AA374"/>
    </row>
    <row r="375" spans="14:27" x14ac:dyDescent="0.35">
      <c r="N375" s="1" t="s">
        <v>66</v>
      </c>
      <c r="O375" s="6" t="s">
        <v>232</v>
      </c>
      <c r="P375" s="6" t="s">
        <v>744</v>
      </c>
      <c r="V375" s="1"/>
      <c r="Z375"/>
      <c r="AA375"/>
    </row>
    <row r="376" spans="14:27" x14ac:dyDescent="0.35">
      <c r="N376" s="1" t="s">
        <v>66</v>
      </c>
      <c r="O376" s="6" t="s">
        <v>232</v>
      </c>
      <c r="P376" s="6" t="s">
        <v>746</v>
      </c>
      <c r="V376" s="1"/>
      <c r="Z376"/>
      <c r="AA376"/>
    </row>
    <row r="377" spans="14:27" x14ac:dyDescent="0.35">
      <c r="N377" s="1" t="s">
        <v>66</v>
      </c>
      <c r="O377" s="6" t="s">
        <v>235</v>
      </c>
      <c r="P377" s="6" t="s">
        <v>748</v>
      </c>
      <c r="V377" s="1"/>
      <c r="Z377"/>
      <c r="AA377"/>
    </row>
    <row r="378" spans="14:27" x14ac:dyDescent="0.35">
      <c r="N378" s="1" t="s">
        <v>66</v>
      </c>
      <c r="O378" s="6" t="s">
        <v>235</v>
      </c>
      <c r="P378" s="6" t="s">
        <v>750</v>
      </c>
      <c r="V378" s="1"/>
      <c r="Z378"/>
      <c r="AA378"/>
    </row>
    <row r="379" spans="14:27" x14ac:dyDescent="0.35">
      <c r="N379" s="1" t="s">
        <v>66</v>
      </c>
      <c r="O379" s="6" t="s">
        <v>235</v>
      </c>
      <c r="P379" s="6" t="s">
        <v>752</v>
      </c>
      <c r="V379" s="1"/>
      <c r="Z379"/>
      <c r="AA379"/>
    </row>
    <row r="380" spans="14:27" x14ac:dyDescent="0.35">
      <c r="N380" s="1" t="s">
        <v>66</v>
      </c>
      <c r="O380" s="6" t="s">
        <v>238</v>
      </c>
      <c r="P380" s="6" t="s">
        <v>754</v>
      </c>
      <c r="V380" s="1"/>
      <c r="Z380"/>
      <c r="AA380"/>
    </row>
    <row r="381" spans="14:27" x14ac:dyDescent="0.35">
      <c r="N381" s="1" t="s">
        <v>66</v>
      </c>
      <c r="O381" s="6" t="s">
        <v>238</v>
      </c>
      <c r="P381" s="6" t="s">
        <v>756</v>
      </c>
      <c r="V381" s="1"/>
      <c r="Z381"/>
      <c r="AA381"/>
    </row>
    <row r="382" spans="14:27" x14ac:dyDescent="0.35">
      <c r="N382" s="1" t="s">
        <v>66</v>
      </c>
      <c r="O382" s="6" t="s">
        <v>241</v>
      </c>
      <c r="P382" s="6" t="s">
        <v>758</v>
      </c>
      <c r="V382" s="1"/>
      <c r="Z382"/>
      <c r="AA382"/>
    </row>
    <row r="383" spans="14:27" x14ac:dyDescent="0.35">
      <c r="N383" s="1" t="s">
        <v>66</v>
      </c>
      <c r="O383" s="6" t="s">
        <v>241</v>
      </c>
      <c r="P383" s="6" t="s">
        <v>760</v>
      </c>
      <c r="V383" s="1"/>
      <c r="Z383"/>
      <c r="AA383"/>
    </row>
    <row r="384" spans="14:27" x14ac:dyDescent="0.35">
      <c r="N384" s="1" t="s">
        <v>66</v>
      </c>
      <c r="O384" s="6" t="s">
        <v>241</v>
      </c>
      <c r="P384" s="6" t="s">
        <v>762</v>
      </c>
      <c r="V384" s="1"/>
      <c r="Z384"/>
      <c r="AA384"/>
    </row>
    <row r="385" spans="14:27" x14ac:dyDescent="0.35">
      <c r="N385" s="1" t="s">
        <v>66</v>
      </c>
      <c r="O385" s="6" t="s">
        <v>241</v>
      </c>
      <c r="P385" s="6" t="s">
        <v>764</v>
      </c>
      <c r="V385" s="1"/>
      <c r="Z385"/>
      <c r="AA385"/>
    </row>
    <row r="386" spans="14:27" x14ac:dyDescent="0.35">
      <c r="N386" s="1" t="s">
        <v>66</v>
      </c>
      <c r="O386" s="6" t="s">
        <v>241</v>
      </c>
      <c r="P386" s="6" t="s">
        <v>766</v>
      </c>
      <c r="V386" s="1"/>
      <c r="Z386"/>
      <c r="AA386"/>
    </row>
    <row r="387" spans="14:27" x14ac:dyDescent="0.35">
      <c r="N387" s="1" t="s">
        <v>66</v>
      </c>
      <c r="O387" s="6" t="s">
        <v>244</v>
      </c>
      <c r="P387" s="6" t="s">
        <v>587</v>
      </c>
      <c r="V387" s="1"/>
      <c r="Z387"/>
      <c r="AA387"/>
    </row>
    <row r="388" spans="14:27" x14ac:dyDescent="0.35">
      <c r="N388" s="1" t="s">
        <v>66</v>
      </c>
      <c r="O388" s="6" t="s">
        <v>244</v>
      </c>
      <c r="P388" s="6" t="s">
        <v>590</v>
      </c>
      <c r="V388" s="1"/>
      <c r="Z388"/>
      <c r="AA388"/>
    </row>
    <row r="389" spans="14:27" x14ac:dyDescent="0.35">
      <c r="N389" s="1" t="s">
        <v>66</v>
      </c>
      <c r="O389" s="6" t="s">
        <v>244</v>
      </c>
      <c r="P389" s="6" t="s">
        <v>593</v>
      </c>
      <c r="V389" s="1"/>
      <c r="Z389"/>
      <c r="AA389"/>
    </row>
    <row r="390" spans="14:27" x14ac:dyDescent="0.35">
      <c r="N390" s="1" t="s">
        <v>85</v>
      </c>
      <c r="O390" s="4" t="s">
        <v>207</v>
      </c>
      <c r="P390" s="4" t="s">
        <v>263</v>
      </c>
      <c r="V390" s="1"/>
      <c r="Z390"/>
      <c r="AA390"/>
    </row>
    <row r="391" spans="14:27" x14ac:dyDescent="0.35">
      <c r="N391" s="1" t="s">
        <v>85</v>
      </c>
      <c r="O391" s="4" t="s">
        <v>207</v>
      </c>
      <c r="P391" s="4" t="s">
        <v>266</v>
      </c>
      <c r="V391" s="1"/>
      <c r="Z391"/>
      <c r="AA391"/>
    </row>
    <row r="392" spans="14:27" x14ac:dyDescent="0.35">
      <c r="N392" s="1" t="s">
        <v>85</v>
      </c>
      <c r="O392" s="4" t="s">
        <v>207</v>
      </c>
      <c r="P392" s="4" t="s">
        <v>269</v>
      </c>
      <c r="V392" s="1"/>
      <c r="Z392"/>
      <c r="AA392"/>
    </row>
    <row r="393" spans="14:27" x14ac:dyDescent="0.35">
      <c r="N393" s="1" t="s">
        <v>85</v>
      </c>
      <c r="O393" s="4" t="s">
        <v>207</v>
      </c>
      <c r="P393" s="4" t="s">
        <v>272</v>
      </c>
      <c r="V393" s="1"/>
      <c r="Z393"/>
      <c r="AA393"/>
    </row>
    <row r="394" spans="14:27" x14ac:dyDescent="0.35">
      <c r="N394" s="1" t="s">
        <v>85</v>
      </c>
      <c r="O394" s="4" t="s">
        <v>207</v>
      </c>
      <c r="P394" s="4" t="s">
        <v>275</v>
      </c>
      <c r="V394" s="1"/>
      <c r="Z394"/>
      <c r="AA394"/>
    </row>
    <row r="395" spans="14:27" x14ac:dyDescent="0.35">
      <c r="N395" s="1" t="s">
        <v>85</v>
      </c>
      <c r="O395" s="4" t="s">
        <v>207</v>
      </c>
      <c r="P395" s="4" t="s">
        <v>278</v>
      </c>
      <c r="V395" s="1"/>
      <c r="Z395"/>
      <c r="AA395"/>
    </row>
    <row r="396" spans="14:27" x14ac:dyDescent="0.35">
      <c r="N396" s="1" t="s">
        <v>85</v>
      </c>
      <c r="O396" s="4" t="s">
        <v>207</v>
      </c>
      <c r="P396" s="4" t="s">
        <v>281</v>
      </c>
      <c r="V396" s="1"/>
      <c r="Z396"/>
      <c r="AA396"/>
    </row>
    <row r="397" spans="14:27" x14ac:dyDescent="0.35">
      <c r="N397" s="1" t="s">
        <v>85</v>
      </c>
      <c r="O397" s="4" t="s">
        <v>207</v>
      </c>
      <c r="P397" s="4" t="s">
        <v>284</v>
      </c>
      <c r="V397" s="1"/>
      <c r="Z397"/>
      <c r="AA397"/>
    </row>
    <row r="398" spans="14:27" x14ac:dyDescent="0.35">
      <c r="N398" s="1" t="s">
        <v>85</v>
      </c>
      <c r="O398" s="4" t="s">
        <v>181</v>
      </c>
      <c r="P398" s="4" t="s">
        <v>287</v>
      </c>
      <c r="V398" s="1"/>
      <c r="Z398"/>
      <c r="AA398"/>
    </row>
    <row r="399" spans="14:27" x14ac:dyDescent="0.35">
      <c r="N399" s="1" t="s">
        <v>85</v>
      </c>
      <c r="O399" s="4" t="s">
        <v>181</v>
      </c>
      <c r="P399" s="4" t="s">
        <v>289</v>
      </c>
      <c r="V399" s="1"/>
      <c r="Z399"/>
      <c r="AA399"/>
    </row>
    <row r="400" spans="14:27" x14ac:dyDescent="0.35">
      <c r="N400" s="1" t="s">
        <v>85</v>
      </c>
      <c r="O400" s="4" t="s">
        <v>181</v>
      </c>
      <c r="P400" s="4" t="s">
        <v>292</v>
      </c>
      <c r="V400" s="1"/>
      <c r="Z400"/>
      <c r="AA400"/>
    </row>
    <row r="401" spans="14:27" x14ac:dyDescent="0.35">
      <c r="N401" s="1" t="s">
        <v>85</v>
      </c>
      <c r="O401" s="4" t="s">
        <v>181</v>
      </c>
      <c r="P401" s="4" t="s">
        <v>295</v>
      </c>
      <c r="V401" s="1"/>
      <c r="Z401"/>
      <c r="AA401"/>
    </row>
    <row r="402" spans="14:27" x14ac:dyDescent="0.35">
      <c r="N402" s="1" t="s">
        <v>85</v>
      </c>
      <c r="O402" s="4" t="s">
        <v>181</v>
      </c>
      <c r="P402" s="4" t="s">
        <v>298</v>
      </c>
      <c r="V402" s="1"/>
      <c r="Z402"/>
      <c r="AA402"/>
    </row>
    <row r="403" spans="14:27" x14ac:dyDescent="0.35">
      <c r="N403" s="1" t="s">
        <v>85</v>
      </c>
      <c r="O403" s="4" t="s">
        <v>181</v>
      </c>
      <c r="P403" s="4" t="s">
        <v>301</v>
      </c>
      <c r="V403" s="1"/>
      <c r="Z403"/>
      <c r="AA403"/>
    </row>
    <row r="404" spans="14:27" x14ac:dyDescent="0.35">
      <c r="N404" s="1" t="s">
        <v>85</v>
      </c>
      <c r="O404" s="4" t="s">
        <v>181</v>
      </c>
      <c r="P404" s="4" t="s">
        <v>304</v>
      </c>
      <c r="V404" s="1"/>
      <c r="Z404"/>
      <c r="AA404"/>
    </row>
    <row r="405" spans="14:27" x14ac:dyDescent="0.35">
      <c r="N405" s="1" t="s">
        <v>85</v>
      </c>
      <c r="O405" s="4" t="s">
        <v>181</v>
      </c>
      <c r="P405" s="4" t="s">
        <v>307</v>
      </c>
      <c r="V405" s="1"/>
      <c r="Z405"/>
      <c r="AA405"/>
    </row>
    <row r="406" spans="14:27" x14ac:dyDescent="0.35">
      <c r="N406" s="1" t="s">
        <v>85</v>
      </c>
      <c r="O406" s="4" t="s">
        <v>181</v>
      </c>
      <c r="P406" s="4" t="s">
        <v>310</v>
      </c>
      <c r="V406" s="1"/>
      <c r="Z406"/>
      <c r="AA406"/>
    </row>
    <row r="407" spans="14:27" x14ac:dyDescent="0.35">
      <c r="N407" s="1" t="s">
        <v>85</v>
      </c>
      <c r="O407" s="4" t="s">
        <v>181</v>
      </c>
      <c r="P407" s="4" t="s">
        <v>313</v>
      </c>
      <c r="V407" s="1"/>
      <c r="Z407"/>
      <c r="AA407"/>
    </row>
    <row r="408" spans="14:27" x14ac:dyDescent="0.35">
      <c r="N408" s="1" t="s">
        <v>85</v>
      </c>
      <c r="O408" s="4" t="s">
        <v>181</v>
      </c>
      <c r="P408" s="4" t="s">
        <v>316</v>
      </c>
      <c r="V408" s="1"/>
      <c r="Z408"/>
      <c r="AA408"/>
    </row>
    <row r="409" spans="14:27" x14ac:dyDescent="0.35">
      <c r="N409" s="1" t="s">
        <v>85</v>
      </c>
      <c r="O409" s="4" t="s">
        <v>187</v>
      </c>
      <c r="P409" s="4" t="s">
        <v>319</v>
      </c>
      <c r="V409" s="1"/>
      <c r="Z409"/>
      <c r="AA409"/>
    </row>
    <row r="410" spans="14:27" x14ac:dyDescent="0.35">
      <c r="N410" s="1" t="s">
        <v>85</v>
      </c>
      <c r="O410" s="4" t="s">
        <v>187</v>
      </c>
      <c r="P410" s="4" t="s">
        <v>322</v>
      </c>
      <c r="V410" s="1"/>
      <c r="Z410"/>
      <c r="AA410"/>
    </row>
    <row r="411" spans="14:27" x14ac:dyDescent="0.35">
      <c r="N411" s="1" t="s">
        <v>85</v>
      </c>
      <c r="O411" s="4" t="s">
        <v>187</v>
      </c>
      <c r="P411" s="4" t="s">
        <v>324</v>
      </c>
      <c r="V411" s="1"/>
      <c r="Z411"/>
      <c r="AA411"/>
    </row>
    <row r="412" spans="14:27" x14ac:dyDescent="0.35">
      <c r="N412" s="1" t="s">
        <v>85</v>
      </c>
      <c r="O412" s="4" t="s">
        <v>187</v>
      </c>
      <c r="P412" s="4" t="s">
        <v>327</v>
      </c>
      <c r="V412" s="1"/>
      <c r="Z412"/>
      <c r="AA412"/>
    </row>
    <row r="413" spans="14:27" x14ac:dyDescent="0.35">
      <c r="N413" s="1" t="s">
        <v>85</v>
      </c>
      <c r="O413" s="4" t="s">
        <v>187</v>
      </c>
      <c r="P413" s="4" t="s">
        <v>330</v>
      </c>
      <c r="V413" s="1"/>
      <c r="Z413"/>
      <c r="AA413"/>
    </row>
    <row r="414" spans="14:27" x14ac:dyDescent="0.35">
      <c r="N414" s="1" t="s">
        <v>85</v>
      </c>
      <c r="O414" s="4" t="s">
        <v>187</v>
      </c>
      <c r="P414" s="4" t="s">
        <v>333</v>
      </c>
      <c r="V414" s="1"/>
      <c r="Z414"/>
      <c r="AA414"/>
    </row>
    <row r="415" spans="14:27" x14ac:dyDescent="0.35">
      <c r="N415" s="1" t="s">
        <v>85</v>
      </c>
      <c r="O415" s="4" t="s">
        <v>187</v>
      </c>
      <c r="P415" s="4" t="s">
        <v>336</v>
      </c>
      <c r="V415" s="1"/>
      <c r="Z415"/>
      <c r="AA415"/>
    </row>
    <row r="416" spans="14:27" x14ac:dyDescent="0.35">
      <c r="N416" s="1" t="s">
        <v>85</v>
      </c>
      <c r="O416" s="4" t="s">
        <v>187</v>
      </c>
      <c r="P416" s="4" t="s">
        <v>339</v>
      </c>
      <c r="V416" s="1"/>
      <c r="Z416"/>
      <c r="AA416"/>
    </row>
    <row r="417" spans="14:27" x14ac:dyDescent="0.35">
      <c r="N417" s="1" t="s">
        <v>85</v>
      </c>
      <c r="O417" s="4" t="s">
        <v>187</v>
      </c>
      <c r="P417" s="4" t="s">
        <v>342</v>
      </c>
      <c r="V417" s="1"/>
      <c r="Z417"/>
      <c r="AA417"/>
    </row>
    <row r="418" spans="14:27" x14ac:dyDescent="0.35">
      <c r="N418" s="1" t="s">
        <v>85</v>
      </c>
      <c r="O418" s="4" t="s">
        <v>187</v>
      </c>
      <c r="P418" s="4" t="s">
        <v>345</v>
      </c>
      <c r="V418" s="1"/>
      <c r="Z418"/>
      <c r="AA418"/>
    </row>
    <row r="419" spans="14:27" x14ac:dyDescent="0.35">
      <c r="N419" s="1" t="s">
        <v>85</v>
      </c>
      <c r="O419" s="4" t="s">
        <v>187</v>
      </c>
      <c r="P419" s="4" t="s">
        <v>348</v>
      </c>
      <c r="V419" s="1"/>
      <c r="Z419"/>
      <c r="AA419"/>
    </row>
    <row r="420" spans="14:27" x14ac:dyDescent="0.35">
      <c r="N420" s="1" t="s">
        <v>85</v>
      </c>
      <c r="O420" s="4" t="s">
        <v>184</v>
      </c>
      <c r="P420" s="4" t="s">
        <v>351</v>
      </c>
      <c r="V420" s="1"/>
      <c r="Z420"/>
      <c r="AA420"/>
    </row>
    <row r="421" spans="14:27" x14ac:dyDescent="0.35">
      <c r="N421" s="1" t="s">
        <v>85</v>
      </c>
      <c r="O421" s="4" t="s">
        <v>184</v>
      </c>
      <c r="P421" s="4" t="s">
        <v>354</v>
      </c>
      <c r="V421" s="1"/>
      <c r="Z421"/>
      <c r="AA421"/>
    </row>
    <row r="422" spans="14:27" x14ac:dyDescent="0.35">
      <c r="N422" s="1" t="s">
        <v>85</v>
      </c>
      <c r="O422" s="4" t="s">
        <v>184</v>
      </c>
      <c r="P422" s="4" t="s">
        <v>357</v>
      </c>
      <c r="V422" s="1"/>
      <c r="Z422"/>
      <c r="AA422"/>
    </row>
    <row r="423" spans="14:27" x14ac:dyDescent="0.35">
      <c r="N423" s="1" t="s">
        <v>85</v>
      </c>
      <c r="O423" s="4" t="s">
        <v>184</v>
      </c>
      <c r="P423" s="4" t="s">
        <v>360</v>
      </c>
      <c r="V423" s="1"/>
      <c r="Z423"/>
      <c r="AA423"/>
    </row>
    <row r="424" spans="14:27" x14ac:dyDescent="0.35">
      <c r="N424" s="1" t="s">
        <v>85</v>
      </c>
      <c r="O424" s="4" t="s">
        <v>184</v>
      </c>
      <c r="P424" s="4" t="s">
        <v>363</v>
      </c>
      <c r="V424" s="1"/>
      <c r="Z424"/>
      <c r="AA424"/>
    </row>
    <row r="425" spans="14:27" x14ac:dyDescent="0.35">
      <c r="N425" s="1" t="s">
        <v>85</v>
      </c>
      <c r="O425" s="4" t="s">
        <v>184</v>
      </c>
      <c r="P425" s="4" t="s">
        <v>366</v>
      </c>
      <c r="V425" s="1"/>
      <c r="Z425"/>
      <c r="AA425"/>
    </row>
    <row r="426" spans="14:27" x14ac:dyDescent="0.35">
      <c r="N426" s="1" t="s">
        <v>85</v>
      </c>
      <c r="O426" s="4" t="s">
        <v>184</v>
      </c>
      <c r="P426" s="4" t="s">
        <v>369</v>
      </c>
      <c r="V426" s="1"/>
      <c r="Z426"/>
      <c r="AA426"/>
    </row>
    <row r="427" spans="14:27" x14ac:dyDescent="0.35">
      <c r="N427" s="1" t="s">
        <v>85</v>
      </c>
      <c r="O427" s="4" t="s">
        <v>184</v>
      </c>
      <c r="P427" s="4" t="s">
        <v>372</v>
      </c>
      <c r="V427" s="1"/>
      <c r="Z427"/>
      <c r="AA427"/>
    </row>
    <row r="428" spans="14:27" x14ac:dyDescent="0.35">
      <c r="N428" s="1" t="s">
        <v>85</v>
      </c>
      <c r="O428" s="4" t="s">
        <v>184</v>
      </c>
      <c r="P428" s="4" t="s">
        <v>375</v>
      </c>
      <c r="V428" s="1"/>
      <c r="Z428"/>
      <c r="AA428"/>
    </row>
    <row r="429" spans="14:27" x14ac:dyDescent="0.35">
      <c r="N429" s="1" t="s">
        <v>85</v>
      </c>
      <c r="O429" s="4" t="s">
        <v>184</v>
      </c>
      <c r="P429" s="4" t="s">
        <v>378</v>
      </c>
      <c r="V429" s="1"/>
      <c r="Z429"/>
      <c r="AA429"/>
    </row>
    <row r="430" spans="14:27" x14ac:dyDescent="0.35">
      <c r="N430" s="1" t="s">
        <v>85</v>
      </c>
      <c r="O430" s="4" t="s">
        <v>184</v>
      </c>
      <c r="P430" s="4" t="s">
        <v>381</v>
      </c>
      <c r="V430" s="1"/>
      <c r="Z430"/>
      <c r="AA430"/>
    </row>
    <row r="431" spans="14:27" x14ac:dyDescent="0.35">
      <c r="N431" s="1" t="s">
        <v>85</v>
      </c>
      <c r="O431" s="4" t="s">
        <v>184</v>
      </c>
      <c r="P431" s="4" t="s">
        <v>384</v>
      </c>
      <c r="V431" s="1"/>
      <c r="Z431"/>
      <c r="AA431"/>
    </row>
    <row r="432" spans="14:27" x14ac:dyDescent="0.35">
      <c r="N432" s="1" t="s">
        <v>85</v>
      </c>
      <c r="O432" s="4" t="s">
        <v>190</v>
      </c>
      <c r="P432" s="4" t="s">
        <v>387</v>
      </c>
      <c r="V432" s="1"/>
      <c r="Z432"/>
      <c r="AA432"/>
    </row>
    <row r="433" spans="14:27" x14ac:dyDescent="0.35">
      <c r="N433" s="1" t="s">
        <v>85</v>
      </c>
      <c r="O433" s="4" t="s">
        <v>190</v>
      </c>
      <c r="P433" s="4" t="s">
        <v>390</v>
      </c>
      <c r="V433" s="1"/>
      <c r="Z433"/>
      <c r="AA433"/>
    </row>
    <row r="434" spans="14:27" x14ac:dyDescent="0.35">
      <c r="N434" s="1" t="s">
        <v>85</v>
      </c>
      <c r="O434" s="4" t="s">
        <v>190</v>
      </c>
      <c r="P434" s="4" t="s">
        <v>393</v>
      </c>
      <c r="V434" s="1"/>
      <c r="Z434"/>
      <c r="AA434"/>
    </row>
    <row r="435" spans="14:27" x14ac:dyDescent="0.35">
      <c r="N435" s="1" t="s">
        <v>85</v>
      </c>
      <c r="O435" s="4" t="s">
        <v>190</v>
      </c>
      <c r="P435" s="4" t="s">
        <v>396</v>
      </c>
      <c r="V435" s="1"/>
      <c r="Z435"/>
      <c r="AA435"/>
    </row>
    <row r="436" spans="14:27" x14ac:dyDescent="0.35">
      <c r="N436" s="1" t="s">
        <v>85</v>
      </c>
      <c r="O436" s="4" t="s">
        <v>190</v>
      </c>
      <c r="P436" s="4" t="s">
        <v>399</v>
      </c>
      <c r="V436" s="1"/>
      <c r="Z436"/>
      <c r="AA436"/>
    </row>
    <row r="437" spans="14:27" x14ac:dyDescent="0.35">
      <c r="N437" s="1" t="s">
        <v>85</v>
      </c>
      <c r="O437" s="4" t="s">
        <v>190</v>
      </c>
      <c r="P437" s="4" t="s">
        <v>402</v>
      </c>
      <c r="V437" s="1"/>
      <c r="Z437"/>
      <c r="AA437"/>
    </row>
    <row r="438" spans="14:27" x14ac:dyDescent="0.35">
      <c r="N438" s="1" t="s">
        <v>85</v>
      </c>
      <c r="O438" s="4" t="s">
        <v>190</v>
      </c>
      <c r="P438" s="4" t="s">
        <v>405</v>
      </c>
      <c r="V438" s="1"/>
      <c r="Z438"/>
      <c r="AA438"/>
    </row>
    <row r="439" spans="14:27" x14ac:dyDescent="0.35">
      <c r="N439" s="1" t="s">
        <v>85</v>
      </c>
      <c r="O439" s="4" t="s">
        <v>190</v>
      </c>
      <c r="P439" s="4" t="s">
        <v>408</v>
      </c>
      <c r="V439" s="1"/>
      <c r="Z439"/>
      <c r="AA439"/>
    </row>
    <row r="440" spans="14:27" x14ac:dyDescent="0.35">
      <c r="N440" s="1" t="s">
        <v>85</v>
      </c>
      <c r="O440" s="4" t="s">
        <v>190</v>
      </c>
      <c r="P440" s="4" t="s">
        <v>411</v>
      </c>
      <c r="V440" s="1"/>
      <c r="Z440"/>
      <c r="AA440"/>
    </row>
    <row r="441" spans="14:27" x14ac:dyDescent="0.35">
      <c r="N441" s="1" t="s">
        <v>85</v>
      </c>
      <c r="O441" s="4" t="s">
        <v>190</v>
      </c>
      <c r="P441" s="4" t="s">
        <v>414</v>
      </c>
      <c r="V441" s="1"/>
      <c r="Z441"/>
      <c r="AA441"/>
    </row>
    <row r="442" spans="14:27" x14ac:dyDescent="0.35">
      <c r="N442" s="1" t="s">
        <v>85</v>
      </c>
      <c r="O442" s="4" t="s">
        <v>190</v>
      </c>
      <c r="P442" s="4" t="s">
        <v>417</v>
      </c>
      <c r="V442" s="1"/>
      <c r="Z442"/>
      <c r="AA442"/>
    </row>
    <row r="443" spans="14:27" x14ac:dyDescent="0.35">
      <c r="N443" s="1" t="s">
        <v>85</v>
      </c>
      <c r="O443" s="4" t="s">
        <v>193</v>
      </c>
      <c r="P443" s="4" t="s">
        <v>420</v>
      </c>
      <c r="V443" s="1"/>
      <c r="Z443"/>
      <c r="AA443"/>
    </row>
    <row r="444" spans="14:27" x14ac:dyDescent="0.35">
      <c r="N444" s="1" t="s">
        <v>85</v>
      </c>
      <c r="O444" s="4" t="s">
        <v>193</v>
      </c>
      <c r="P444" s="4" t="s">
        <v>423</v>
      </c>
      <c r="V444" s="1"/>
      <c r="Z444"/>
      <c r="AA444"/>
    </row>
    <row r="445" spans="14:27" x14ac:dyDescent="0.35">
      <c r="N445" s="1" t="s">
        <v>85</v>
      </c>
      <c r="O445" s="4" t="s">
        <v>193</v>
      </c>
      <c r="P445" s="4" t="s">
        <v>426</v>
      </c>
      <c r="V445" s="1"/>
      <c r="Z445"/>
      <c r="AA445"/>
    </row>
    <row r="446" spans="14:27" x14ac:dyDescent="0.35">
      <c r="N446" s="1" t="s">
        <v>85</v>
      </c>
      <c r="O446" s="4" t="s">
        <v>193</v>
      </c>
      <c r="P446" s="4" t="s">
        <v>429</v>
      </c>
      <c r="V446" s="1"/>
      <c r="Z446"/>
      <c r="AA446"/>
    </row>
    <row r="447" spans="14:27" x14ac:dyDescent="0.35">
      <c r="N447" s="1" t="s">
        <v>85</v>
      </c>
      <c r="O447" s="4" t="s">
        <v>193</v>
      </c>
      <c r="P447" s="4" t="s">
        <v>432</v>
      </c>
      <c r="V447" s="1"/>
      <c r="Z447"/>
      <c r="AA447"/>
    </row>
    <row r="448" spans="14:27" x14ac:dyDescent="0.35">
      <c r="N448" s="1" t="s">
        <v>85</v>
      </c>
      <c r="O448" s="4" t="s">
        <v>193</v>
      </c>
      <c r="P448" s="4" t="s">
        <v>435</v>
      </c>
      <c r="V448" s="1"/>
      <c r="Z448"/>
      <c r="AA448"/>
    </row>
    <row r="449" spans="14:27" x14ac:dyDescent="0.35">
      <c r="N449" s="1" t="s">
        <v>85</v>
      </c>
      <c r="O449" s="4" t="s">
        <v>193</v>
      </c>
      <c r="P449" s="4" t="s">
        <v>438</v>
      </c>
      <c r="V449" s="1"/>
      <c r="Z449"/>
      <c r="AA449"/>
    </row>
    <row r="450" spans="14:27" x14ac:dyDescent="0.35">
      <c r="N450" s="1" t="s">
        <v>85</v>
      </c>
      <c r="O450" s="4" t="s">
        <v>193</v>
      </c>
      <c r="P450" s="4" t="s">
        <v>441</v>
      </c>
      <c r="V450" s="1"/>
      <c r="Z450"/>
      <c r="AA450"/>
    </row>
    <row r="451" spans="14:27" x14ac:dyDescent="0.35">
      <c r="N451" s="1" t="s">
        <v>85</v>
      </c>
      <c r="O451" s="4" t="s">
        <v>193</v>
      </c>
      <c r="P451" s="4" t="s">
        <v>444</v>
      </c>
      <c r="V451" s="1"/>
      <c r="Z451"/>
      <c r="AA451"/>
    </row>
    <row r="452" spans="14:27" x14ac:dyDescent="0.35">
      <c r="N452" s="1" t="s">
        <v>85</v>
      </c>
      <c r="O452" s="4" t="s">
        <v>193</v>
      </c>
      <c r="P452" s="4" t="s">
        <v>447</v>
      </c>
      <c r="V452" s="1"/>
      <c r="Z452"/>
      <c r="AA452"/>
    </row>
    <row r="453" spans="14:27" x14ac:dyDescent="0.35">
      <c r="N453" s="1" t="s">
        <v>85</v>
      </c>
      <c r="O453" s="4" t="s">
        <v>211</v>
      </c>
      <c r="P453" s="4" t="s">
        <v>450</v>
      </c>
      <c r="V453" s="1"/>
      <c r="Z453"/>
      <c r="AA453"/>
    </row>
    <row r="454" spans="14:27" x14ac:dyDescent="0.35">
      <c r="N454" s="1" t="s">
        <v>85</v>
      </c>
      <c r="O454" s="4" t="s">
        <v>211</v>
      </c>
      <c r="P454" s="4" t="s">
        <v>453</v>
      </c>
      <c r="V454" s="1"/>
      <c r="Z454"/>
      <c r="AA454"/>
    </row>
    <row r="455" spans="14:27" x14ac:dyDescent="0.35">
      <c r="N455" s="1" t="s">
        <v>85</v>
      </c>
      <c r="O455" s="4" t="s">
        <v>211</v>
      </c>
      <c r="P455" s="4" t="s">
        <v>456</v>
      </c>
      <c r="V455" s="1"/>
      <c r="Z455"/>
      <c r="AA455"/>
    </row>
    <row r="456" spans="14:27" x14ac:dyDescent="0.35">
      <c r="N456" s="1" t="s">
        <v>85</v>
      </c>
      <c r="O456" s="4" t="s">
        <v>211</v>
      </c>
      <c r="P456" s="4" t="s">
        <v>459</v>
      </c>
      <c r="V456" s="1"/>
      <c r="Z456"/>
      <c r="AA456"/>
    </row>
    <row r="457" spans="14:27" x14ac:dyDescent="0.35">
      <c r="N457" s="1" t="s">
        <v>85</v>
      </c>
      <c r="O457" s="4" t="s">
        <v>211</v>
      </c>
      <c r="P457" s="4" t="s">
        <v>462</v>
      </c>
      <c r="V457" s="1"/>
      <c r="Z457"/>
      <c r="AA457"/>
    </row>
    <row r="458" spans="14:27" x14ac:dyDescent="0.35">
      <c r="N458" s="1" t="s">
        <v>85</v>
      </c>
      <c r="O458" s="4" t="s">
        <v>203</v>
      </c>
      <c r="P458" s="4" t="s">
        <v>465</v>
      </c>
      <c r="V458" s="1"/>
      <c r="Z458"/>
      <c r="AA458"/>
    </row>
    <row r="459" spans="14:27" x14ac:dyDescent="0.35">
      <c r="N459" s="1" t="s">
        <v>85</v>
      </c>
      <c r="O459" s="4" t="s">
        <v>203</v>
      </c>
      <c r="P459" s="4" t="s">
        <v>468</v>
      </c>
      <c r="V459" s="1"/>
      <c r="Z459"/>
      <c r="AA459"/>
    </row>
    <row r="460" spans="14:27" x14ac:dyDescent="0.35">
      <c r="N460" s="1" t="s">
        <v>85</v>
      </c>
      <c r="O460" s="4" t="s">
        <v>203</v>
      </c>
      <c r="P460" s="4" t="s">
        <v>471</v>
      </c>
      <c r="V460" s="1"/>
      <c r="Z460"/>
      <c r="AA460"/>
    </row>
    <row r="461" spans="14:27" x14ac:dyDescent="0.35">
      <c r="N461" s="1" t="s">
        <v>85</v>
      </c>
      <c r="O461" s="4" t="s">
        <v>203</v>
      </c>
      <c r="P461" s="4" t="s">
        <v>474</v>
      </c>
      <c r="V461" s="1"/>
      <c r="Z461"/>
      <c r="AA461"/>
    </row>
    <row r="462" spans="14:27" x14ac:dyDescent="0.35">
      <c r="N462" s="1" t="s">
        <v>85</v>
      </c>
      <c r="O462" s="4" t="s">
        <v>203</v>
      </c>
      <c r="P462" s="4" t="s">
        <v>477</v>
      </c>
      <c r="V462" s="1"/>
      <c r="Z462"/>
      <c r="AA462"/>
    </row>
    <row r="463" spans="14:27" x14ac:dyDescent="0.35">
      <c r="N463" s="1" t="s">
        <v>85</v>
      </c>
      <c r="O463" s="4" t="s">
        <v>203</v>
      </c>
      <c r="P463" s="4" t="s">
        <v>480</v>
      </c>
      <c r="V463" s="1"/>
      <c r="Z463"/>
      <c r="AA463"/>
    </row>
    <row r="464" spans="14:27" x14ac:dyDescent="0.35">
      <c r="N464" s="1" t="s">
        <v>85</v>
      </c>
      <c r="O464" s="4" t="s">
        <v>203</v>
      </c>
      <c r="P464" s="4" t="s">
        <v>483</v>
      </c>
      <c r="V464" s="1"/>
      <c r="Z464"/>
      <c r="AA464"/>
    </row>
    <row r="465" spans="14:27" x14ac:dyDescent="0.35">
      <c r="N465" s="1" t="s">
        <v>85</v>
      </c>
      <c r="O465" s="4" t="s">
        <v>203</v>
      </c>
      <c r="P465" s="4" t="s">
        <v>486</v>
      </c>
      <c r="V465" s="1"/>
      <c r="Z465"/>
      <c r="AA465"/>
    </row>
    <row r="466" spans="14:27" x14ac:dyDescent="0.35">
      <c r="N466" s="1" t="s">
        <v>85</v>
      </c>
      <c r="O466" s="4" t="s">
        <v>203</v>
      </c>
      <c r="P466" s="4" t="s">
        <v>489</v>
      </c>
      <c r="V466" s="1"/>
      <c r="Z466"/>
      <c r="AA466"/>
    </row>
    <row r="467" spans="14:27" x14ac:dyDescent="0.35">
      <c r="N467" s="1" t="s">
        <v>85</v>
      </c>
      <c r="O467" s="4" t="s">
        <v>203</v>
      </c>
      <c r="P467" s="4" t="s">
        <v>492</v>
      </c>
      <c r="V467" s="1"/>
      <c r="Z467"/>
      <c r="AA467"/>
    </row>
    <row r="468" spans="14:27" x14ac:dyDescent="0.35">
      <c r="N468" s="1" t="s">
        <v>85</v>
      </c>
      <c r="O468" s="4" t="s">
        <v>203</v>
      </c>
      <c r="P468" s="4" t="s">
        <v>495</v>
      </c>
      <c r="V468" s="1"/>
      <c r="Z468"/>
      <c r="AA468"/>
    </row>
    <row r="469" spans="14:27" x14ac:dyDescent="0.35">
      <c r="N469" s="1" t="s">
        <v>85</v>
      </c>
      <c r="O469" s="4" t="s">
        <v>200</v>
      </c>
      <c r="P469" s="4" t="s">
        <v>498</v>
      </c>
      <c r="V469" s="1"/>
      <c r="Z469"/>
      <c r="AA469"/>
    </row>
    <row r="470" spans="14:27" x14ac:dyDescent="0.35">
      <c r="N470" s="1" t="s">
        <v>85</v>
      </c>
      <c r="O470" s="4" t="s">
        <v>200</v>
      </c>
      <c r="P470" s="4" t="s">
        <v>501</v>
      </c>
      <c r="V470" s="1"/>
      <c r="Z470"/>
      <c r="AA470"/>
    </row>
    <row r="471" spans="14:27" x14ac:dyDescent="0.35">
      <c r="N471" s="1" t="s">
        <v>85</v>
      </c>
      <c r="O471" s="4" t="s">
        <v>200</v>
      </c>
      <c r="P471" s="4" t="s">
        <v>504</v>
      </c>
      <c r="V471" s="1"/>
      <c r="Z471"/>
      <c r="AA471"/>
    </row>
    <row r="472" spans="14:27" x14ac:dyDescent="0.35">
      <c r="N472" s="1" t="s">
        <v>85</v>
      </c>
      <c r="O472" s="4" t="s">
        <v>200</v>
      </c>
      <c r="P472" s="4" t="s">
        <v>507</v>
      </c>
      <c r="V472" s="1"/>
      <c r="Z472"/>
      <c r="AA472"/>
    </row>
    <row r="473" spans="14:27" x14ac:dyDescent="0.35">
      <c r="N473" s="1" t="s">
        <v>85</v>
      </c>
      <c r="O473" s="4" t="s">
        <v>200</v>
      </c>
      <c r="P473" s="4" t="s">
        <v>510</v>
      </c>
      <c r="V473" s="1"/>
      <c r="Z473"/>
      <c r="AA473"/>
    </row>
    <row r="474" spans="14:27" x14ac:dyDescent="0.35">
      <c r="N474" s="1" t="s">
        <v>85</v>
      </c>
      <c r="O474" s="4" t="s">
        <v>196</v>
      </c>
      <c r="P474" s="4" t="s">
        <v>513</v>
      </c>
      <c r="V474" s="1"/>
      <c r="Z474"/>
      <c r="AA474"/>
    </row>
    <row r="475" spans="14:27" x14ac:dyDescent="0.35">
      <c r="N475" s="1" t="s">
        <v>85</v>
      </c>
      <c r="O475" s="4" t="s">
        <v>221</v>
      </c>
      <c r="P475" s="4" t="s">
        <v>516</v>
      </c>
      <c r="V475" s="1"/>
      <c r="Z475"/>
      <c r="AA475"/>
    </row>
    <row r="476" spans="14:27" x14ac:dyDescent="0.35">
      <c r="N476" s="1" t="s">
        <v>85</v>
      </c>
      <c r="O476" s="4" t="s">
        <v>221</v>
      </c>
      <c r="P476" s="4" t="s">
        <v>519</v>
      </c>
      <c r="V476" s="1"/>
      <c r="Z476"/>
      <c r="AA476"/>
    </row>
    <row r="477" spans="14:27" x14ac:dyDescent="0.35">
      <c r="N477" s="1" t="s">
        <v>85</v>
      </c>
      <c r="O477" s="4" t="s">
        <v>221</v>
      </c>
      <c r="P477" s="4" t="s">
        <v>522</v>
      </c>
      <c r="V477" s="1"/>
      <c r="Z477"/>
      <c r="AA477"/>
    </row>
    <row r="478" spans="14:27" x14ac:dyDescent="0.35">
      <c r="N478" s="1" t="s">
        <v>85</v>
      </c>
      <c r="O478" s="4" t="s">
        <v>221</v>
      </c>
      <c r="P478" s="4" t="s">
        <v>525</v>
      </c>
      <c r="V478" s="1"/>
      <c r="Z478"/>
      <c r="AA478"/>
    </row>
    <row r="479" spans="14:27" x14ac:dyDescent="0.35">
      <c r="N479" s="1" t="s">
        <v>85</v>
      </c>
      <c r="O479" s="4" t="s">
        <v>221</v>
      </c>
      <c r="P479" s="4" t="s">
        <v>528</v>
      </c>
      <c r="V479" s="1"/>
      <c r="Z479"/>
      <c r="AA479"/>
    </row>
    <row r="480" spans="14:27" x14ac:dyDescent="0.35">
      <c r="N480" s="1" t="s">
        <v>85</v>
      </c>
      <c r="O480" s="4" t="s">
        <v>221</v>
      </c>
      <c r="P480" s="4" t="s">
        <v>531</v>
      </c>
      <c r="V480" s="1"/>
      <c r="Z480"/>
      <c r="AA480"/>
    </row>
    <row r="481" spans="14:27" x14ac:dyDescent="0.35">
      <c r="N481" s="1" t="s">
        <v>85</v>
      </c>
      <c r="O481" s="4" t="s">
        <v>221</v>
      </c>
      <c r="P481" s="4" t="s">
        <v>534</v>
      </c>
      <c r="V481" s="1"/>
      <c r="Z481"/>
      <c r="AA481"/>
    </row>
    <row r="482" spans="14:27" x14ac:dyDescent="0.35">
      <c r="N482" s="1" t="s">
        <v>85</v>
      </c>
      <c r="O482" s="4" t="s">
        <v>221</v>
      </c>
      <c r="P482" s="4" t="s">
        <v>537</v>
      </c>
      <c r="V482" s="1"/>
      <c r="Z482"/>
      <c r="AA482"/>
    </row>
    <row r="483" spans="14:27" x14ac:dyDescent="0.35">
      <c r="N483" s="1" t="s">
        <v>85</v>
      </c>
      <c r="O483" s="4" t="s">
        <v>141</v>
      </c>
      <c r="P483" s="4" t="s">
        <v>540</v>
      </c>
      <c r="V483" s="1"/>
      <c r="Z483"/>
      <c r="AA483"/>
    </row>
    <row r="484" spans="14:27" x14ac:dyDescent="0.35">
      <c r="N484" s="1" t="s">
        <v>85</v>
      </c>
      <c r="O484" s="4" t="s">
        <v>141</v>
      </c>
      <c r="P484" s="4" t="s">
        <v>543</v>
      </c>
      <c r="V484" s="1"/>
      <c r="Z484"/>
      <c r="AA484"/>
    </row>
    <row r="485" spans="14:27" x14ac:dyDescent="0.35">
      <c r="N485" s="1" t="s">
        <v>85</v>
      </c>
      <c r="O485" s="4" t="s">
        <v>141</v>
      </c>
      <c r="P485" s="4" t="s">
        <v>546</v>
      </c>
      <c r="V485" s="1"/>
      <c r="Z485"/>
      <c r="AA485"/>
    </row>
    <row r="486" spans="14:27" x14ac:dyDescent="0.35">
      <c r="N486" s="1" t="s">
        <v>85</v>
      </c>
      <c r="O486" s="4" t="s">
        <v>141</v>
      </c>
      <c r="P486" s="4" t="s">
        <v>549</v>
      </c>
      <c r="V486" s="1"/>
      <c r="Z486"/>
      <c r="AA486"/>
    </row>
    <row r="487" spans="14:27" x14ac:dyDescent="0.35">
      <c r="N487" s="1" t="s">
        <v>85</v>
      </c>
      <c r="O487" s="4" t="s">
        <v>141</v>
      </c>
      <c r="P487" s="4" t="s">
        <v>552</v>
      </c>
      <c r="V487" s="1"/>
      <c r="Z487"/>
      <c r="AA487"/>
    </row>
    <row r="488" spans="14:27" x14ac:dyDescent="0.35">
      <c r="N488" s="1" t="s">
        <v>85</v>
      </c>
      <c r="O488" s="4" t="s">
        <v>141</v>
      </c>
      <c r="P488" s="4" t="s">
        <v>555</v>
      </c>
      <c r="V488" s="1"/>
      <c r="Z488"/>
      <c r="AA488"/>
    </row>
    <row r="489" spans="14:27" x14ac:dyDescent="0.35">
      <c r="N489" s="1" t="s">
        <v>85</v>
      </c>
      <c r="O489" s="4" t="s">
        <v>141</v>
      </c>
      <c r="P489" s="4" t="s">
        <v>558</v>
      </c>
      <c r="V489" s="1"/>
      <c r="Z489"/>
      <c r="AA489"/>
    </row>
    <row r="490" spans="14:27" x14ac:dyDescent="0.35">
      <c r="N490" s="1" t="s">
        <v>85</v>
      </c>
      <c r="O490" s="4" t="s">
        <v>141</v>
      </c>
      <c r="P490" s="4" t="s">
        <v>561</v>
      </c>
      <c r="V490" s="1"/>
      <c r="Z490"/>
      <c r="AA490"/>
    </row>
    <row r="491" spans="14:27" x14ac:dyDescent="0.35">
      <c r="N491" s="1" t="s">
        <v>85</v>
      </c>
      <c r="O491" s="4" t="s">
        <v>217</v>
      </c>
      <c r="P491" s="4" t="s">
        <v>564</v>
      </c>
      <c r="V491" s="1"/>
      <c r="Z491"/>
      <c r="AA491"/>
    </row>
    <row r="492" spans="14:27" x14ac:dyDescent="0.35">
      <c r="N492" s="1" t="s">
        <v>85</v>
      </c>
      <c r="O492" s="4" t="s">
        <v>217</v>
      </c>
      <c r="P492" s="4" t="s">
        <v>567</v>
      </c>
      <c r="V492" s="1"/>
      <c r="Z492"/>
      <c r="AA492"/>
    </row>
    <row r="493" spans="14:27" x14ac:dyDescent="0.35">
      <c r="N493" s="1" t="s">
        <v>85</v>
      </c>
      <c r="O493" s="4" t="s">
        <v>217</v>
      </c>
      <c r="P493" s="4" t="s">
        <v>570</v>
      </c>
      <c r="V493" s="1"/>
      <c r="Z493"/>
      <c r="AA493"/>
    </row>
    <row r="494" spans="14:27" x14ac:dyDescent="0.35">
      <c r="N494" s="1" t="s">
        <v>85</v>
      </c>
      <c r="O494" s="4" t="s">
        <v>217</v>
      </c>
      <c r="P494" s="4" t="s">
        <v>573</v>
      </c>
      <c r="V494" s="1"/>
      <c r="Z494"/>
      <c r="AA494"/>
    </row>
    <row r="495" spans="14:27" x14ac:dyDescent="0.35">
      <c r="N495" s="1" t="s">
        <v>85</v>
      </c>
      <c r="O495" s="4" t="s">
        <v>217</v>
      </c>
      <c r="P495" s="4" t="s">
        <v>576</v>
      </c>
      <c r="V495" s="1"/>
      <c r="Z495"/>
      <c r="AA495"/>
    </row>
    <row r="496" spans="14:27" x14ac:dyDescent="0.35">
      <c r="N496" s="1" t="s">
        <v>85</v>
      </c>
      <c r="O496" s="4" t="s">
        <v>217</v>
      </c>
      <c r="P496" s="4" t="s">
        <v>579</v>
      </c>
      <c r="V496" s="1"/>
      <c r="Z496"/>
      <c r="AA496"/>
    </row>
    <row r="497" spans="14:27" x14ac:dyDescent="0.35">
      <c r="N497" s="1" t="s">
        <v>85</v>
      </c>
      <c r="O497" s="4" t="s">
        <v>217</v>
      </c>
      <c r="P497" s="4" t="s">
        <v>582</v>
      </c>
      <c r="V497" s="1"/>
      <c r="Z497"/>
      <c r="AA497"/>
    </row>
    <row r="498" spans="14:27" x14ac:dyDescent="0.35">
      <c r="N498" s="1" t="s">
        <v>85</v>
      </c>
      <c r="O498" s="4" t="s">
        <v>217</v>
      </c>
      <c r="P498" s="4" t="s">
        <v>585</v>
      </c>
      <c r="V498" s="1"/>
      <c r="Z498"/>
      <c r="AA498"/>
    </row>
    <row r="499" spans="14:27" x14ac:dyDescent="0.35">
      <c r="N499" s="1" t="s">
        <v>85</v>
      </c>
      <c r="O499" s="4" t="s">
        <v>214</v>
      </c>
      <c r="P499" s="4" t="s">
        <v>588</v>
      </c>
      <c r="V499" s="1"/>
      <c r="Z499"/>
      <c r="AA499"/>
    </row>
    <row r="500" spans="14:27" x14ac:dyDescent="0.35">
      <c r="N500" s="1" t="s">
        <v>85</v>
      </c>
      <c r="O500" s="4" t="s">
        <v>214</v>
      </c>
      <c r="P500" s="4" t="s">
        <v>591</v>
      </c>
      <c r="V500" s="1"/>
      <c r="Z500"/>
      <c r="AA500"/>
    </row>
    <row r="501" spans="14:27" x14ac:dyDescent="0.35">
      <c r="N501" s="1" t="s">
        <v>85</v>
      </c>
      <c r="O501" s="4" t="s">
        <v>214</v>
      </c>
      <c r="P501" s="4" t="s">
        <v>594</v>
      </c>
      <c r="V501" s="1"/>
      <c r="Z501"/>
      <c r="AA501"/>
    </row>
    <row r="502" spans="14:27" x14ac:dyDescent="0.35">
      <c r="N502" s="1" t="s">
        <v>85</v>
      </c>
      <c r="O502" s="4" t="s">
        <v>251</v>
      </c>
      <c r="P502" s="4" t="s">
        <v>597</v>
      </c>
      <c r="V502" s="1"/>
      <c r="Z502"/>
      <c r="AA502"/>
    </row>
    <row r="503" spans="14:27" x14ac:dyDescent="0.35">
      <c r="N503" s="1" t="s">
        <v>85</v>
      </c>
      <c r="O503" s="4" t="s">
        <v>251</v>
      </c>
      <c r="P503" s="4" t="s">
        <v>600</v>
      </c>
      <c r="V503" s="1"/>
      <c r="Z503"/>
      <c r="AA503"/>
    </row>
    <row r="504" spans="14:27" x14ac:dyDescent="0.35">
      <c r="N504" s="1" t="s">
        <v>85</v>
      </c>
      <c r="O504" s="4" t="s">
        <v>251</v>
      </c>
      <c r="P504" s="4" t="s">
        <v>603</v>
      </c>
      <c r="V504" s="1"/>
      <c r="Z504"/>
      <c r="AA504"/>
    </row>
    <row r="505" spans="14:27" x14ac:dyDescent="0.35">
      <c r="N505" s="1" t="s">
        <v>85</v>
      </c>
      <c r="O505" s="4" t="s">
        <v>251</v>
      </c>
      <c r="P505" s="4" t="s">
        <v>606</v>
      </c>
      <c r="V505" s="1"/>
      <c r="Z505"/>
      <c r="AA505"/>
    </row>
    <row r="506" spans="14:27" x14ac:dyDescent="0.35">
      <c r="N506" s="1" t="s">
        <v>85</v>
      </c>
      <c r="O506" s="4" t="s">
        <v>251</v>
      </c>
      <c r="P506" s="4" t="s">
        <v>609</v>
      </c>
      <c r="V506" s="1"/>
      <c r="Z506"/>
      <c r="AA506"/>
    </row>
    <row r="507" spans="14:27" x14ac:dyDescent="0.35">
      <c r="N507" s="1" t="s">
        <v>85</v>
      </c>
      <c r="O507" s="4" t="s">
        <v>251</v>
      </c>
      <c r="P507" s="4" t="s">
        <v>612</v>
      </c>
      <c r="V507" s="1"/>
      <c r="Z507"/>
      <c r="AA507"/>
    </row>
    <row r="508" spans="14:27" x14ac:dyDescent="0.35">
      <c r="N508" s="1" t="s">
        <v>85</v>
      </c>
      <c r="O508" s="4" t="s">
        <v>251</v>
      </c>
      <c r="P508" s="4" t="s">
        <v>615</v>
      </c>
      <c r="V508" s="1"/>
      <c r="Z508"/>
      <c r="AA508"/>
    </row>
    <row r="509" spans="14:27" x14ac:dyDescent="0.35">
      <c r="N509" s="1" t="s">
        <v>85</v>
      </c>
      <c r="O509" s="4" t="s">
        <v>251</v>
      </c>
      <c r="P509" s="4" t="s">
        <v>618</v>
      </c>
      <c r="V509" s="1"/>
      <c r="Z509"/>
      <c r="AA509"/>
    </row>
    <row r="510" spans="14:27" x14ac:dyDescent="0.35">
      <c r="N510" s="1" t="s">
        <v>85</v>
      </c>
      <c r="O510" s="4" t="s">
        <v>251</v>
      </c>
      <c r="P510" s="4" t="s">
        <v>621</v>
      </c>
      <c r="V510" s="1"/>
      <c r="Z510"/>
      <c r="AA510"/>
    </row>
    <row r="511" spans="14:27" x14ac:dyDescent="0.35">
      <c r="N511" s="1" t="s">
        <v>85</v>
      </c>
      <c r="O511" s="4" t="s">
        <v>251</v>
      </c>
      <c r="P511" s="4" t="s">
        <v>624</v>
      </c>
      <c r="V511" s="1"/>
      <c r="Z511"/>
      <c r="AA511"/>
    </row>
    <row r="512" spans="14:27" x14ac:dyDescent="0.35">
      <c r="N512" s="1" t="s">
        <v>85</v>
      </c>
      <c r="O512" s="4" t="s">
        <v>248</v>
      </c>
      <c r="P512" s="4" t="s">
        <v>627</v>
      </c>
      <c r="V512" s="1"/>
      <c r="Z512"/>
      <c r="AA512"/>
    </row>
    <row r="513" spans="14:27" x14ac:dyDescent="0.35">
      <c r="N513" s="1" t="s">
        <v>85</v>
      </c>
      <c r="O513" s="4" t="s">
        <v>248</v>
      </c>
      <c r="P513" s="4" t="s">
        <v>630</v>
      </c>
      <c r="V513" s="1"/>
      <c r="Z513"/>
      <c r="AA513"/>
    </row>
    <row r="514" spans="14:27" x14ac:dyDescent="0.35">
      <c r="N514" s="1" t="s">
        <v>85</v>
      </c>
      <c r="O514" s="4" t="s">
        <v>248</v>
      </c>
      <c r="P514" s="4" t="s">
        <v>633</v>
      </c>
      <c r="V514" s="1"/>
      <c r="Z514"/>
      <c r="AA514"/>
    </row>
    <row r="515" spans="14:27" x14ac:dyDescent="0.35">
      <c r="N515" s="1" t="s">
        <v>85</v>
      </c>
      <c r="O515" s="4" t="s">
        <v>248</v>
      </c>
      <c r="P515" s="4" t="s">
        <v>636</v>
      </c>
      <c r="V515" s="1"/>
      <c r="Z515"/>
      <c r="AA515"/>
    </row>
    <row r="516" spans="14:27" x14ac:dyDescent="0.35">
      <c r="N516" s="1" t="s">
        <v>85</v>
      </c>
      <c r="O516" s="4" t="s">
        <v>248</v>
      </c>
      <c r="P516" s="4" t="s">
        <v>639</v>
      </c>
      <c r="V516" s="1"/>
      <c r="Z516"/>
      <c r="AA516"/>
    </row>
    <row r="517" spans="14:27" x14ac:dyDescent="0.35">
      <c r="N517" s="1" t="s">
        <v>85</v>
      </c>
      <c r="O517" s="4" t="s">
        <v>248</v>
      </c>
      <c r="P517" s="4" t="s">
        <v>642</v>
      </c>
      <c r="V517" s="1"/>
      <c r="Z517"/>
      <c r="AA517"/>
    </row>
    <row r="518" spans="14:27" x14ac:dyDescent="0.35">
      <c r="N518" s="1" t="s">
        <v>85</v>
      </c>
      <c r="O518" s="4" t="s">
        <v>248</v>
      </c>
      <c r="P518" s="4" t="s">
        <v>645</v>
      </c>
      <c r="V518" s="1"/>
      <c r="Z518"/>
      <c r="AA518"/>
    </row>
    <row r="519" spans="14:27" x14ac:dyDescent="0.35">
      <c r="N519" s="1" t="s">
        <v>85</v>
      </c>
      <c r="O519" s="4" t="s">
        <v>248</v>
      </c>
      <c r="P519" s="4" t="s">
        <v>648</v>
      </c>
      <c r="V519" s="1"/>
      <c r="Z519"/>
      <c r="AA519"/>
    </row>
    <row r="520" spans="14:27" x14ac:dyDescent="0.35">
      <c r="N520" s="1" t="s">
        <v>85</v>
      </c>
      <c r="O520" s="4" t="s">
        <v>248</v>
      </c>
      <c r="P520" s="4" t="s">
        <v>651</v>
      </c>
      <c r="V520" s="1"/>
      <c r="Z520"/>
      <c r="AA520"/>
    </row>
    <row r="521" spans="14:27" x14ac:dyDescent="0.35">
      <c r="N521" s="1" t="s">
        <v>85</v>
      </c>
      <c r="O521" s="4" t="s">
        <v>248</v>
      </c>
      <c r="P521" s="4" t="s">
        <v>654</v>
      </c>
      <c r="V521" s="1"/>
      <c r="Z521"/>
      <c r="AA521"/>
    </row>
    <row r="522" spans="14:27" x14ac:dyDescent="0.35">
      <c r="N522" s="1" t="s">
        <v>85</v>
      </c>
      <c r="O522" s="4" t="s">
        <v>260</v>
      </c>
      <c r="P522" s="4" t="s">
        <v>657</v>
      </c>
      <c r="V522" s="1"/>
      <c r="Z522"/>
      <c r="AA522"/>
    </row>
    <row r="523" spans="14:27" x14ac:dyDescent="0.35">
      <c r="N523" s="1" t="s">
        <v>85</v>
      </c>
      <c r="O523" s="4" t="s">
        <v>260</v>
      </c>
      <c r="P523" s="4" t="s">
        <v>659</v>
      </c>
      <c r="V523" s="1"/>
      <c r="Z523"/>
      <c r="AA523"/>
    </row>
    <row r="524" spans="14:27" x14ac:dyDescent="0.35">
      <c r="N524" s="1" t="s">
        <v>85</v>
      </c>
      <c r="O524" s="4" t="s">
        <v>260</v>
      </c>
      <c r="P524" s="4" t="s">
        <v>661</v>
      </c>
      <c r="V524" s="1"/>
      <c r="Z524"/>
      <c r="AA524"/>
    </row>
    <row r="525" spans="14:27" x14ac:dyDescent="0.35">
      <c r="N525" s="1" t="s">
        <v>85</v>
      </c>
      <c r="O525" s="4" t="s">
        <v>260</v>
      </c>
      <c r="P525" s="4" t="s">
        <v>663</v>
      </c>
      <c r="V525" s="1"/>
      <c r="Z525"/>
      <c r="AA525"/>
    </row>
    <row r="526" spans="14:27" x14ac:dyDescent="0.35">
      <c r="N526" s="1" t="s">
        <v>85</v>
      </c>
      <c r="O526" s="4" t="s">
        <v>260</v>
      </c>
      <c r="P526" s="4" t="s">
        <v>665</v>
      </c>
      <c r="V526" s="1"/>
      <c r="Z526"/>
      <c r="AA526"/>
    </row>
    <row r="527" spans="14:27" x14ac:dyDescent="0.35">
      <c r="N527" s="1" t="s">
        <v>85</v>
      </c>
      <c r="O527" s="4" t="s">
        <v>260</v>
      </c>
      <c r="P527" s="4" t="s">
        <v>667</v>
      </c>
      <c r="V527" s="1"/>
      <c r="Z527"/>
      <c r="AA527"/>
    </row>
    <row r="528" spans="14:27" x14ac:dyDescent="0.35">
      <c r="N528" s="1" t="s">
        <v>85</v>
      </c>
      <c r="O528" s="4" t="s">
        <v>260</v>
      </c>
      <c r="P528" s="4" t="s">
        <v>669</v>
      </c>
      <c r="V528" s="1"/>
      <c r="Z528"/>
      <c r="AA528"/>
    </row>
    <row r="529" spans="14:27" x14ac:dyDescent="0.35">
      <c r="N529" s="1" t="s">
        <v>85</v>
      </c>
      <c r="O529" s="4" t="s">
        <v>254</v>
      </c>
      <c r="P529" s="4" t="s">
        <v>671</v>
      </c>
      <c r="V529" s="1"/>
      <c r="Z529"/>
      <c r="AA529"/>
    </row>
    <row r="530" spans="14:27" x14ac:dyDescent="0.35">
      <c r="N530" s="1" t="s">
        <v>85</v>
      </c>
      <c r="O530" s="4" t="s">
        <v>254</v>
      </c>
      <c r="P530" s="4" t="s">
        <v>673</v>
      </c>
      <c r="V530" s="1"/>
      <c r="Z530"/>
      <c r="AA530"/>
    </row>
    <row r="531" spans="14:27" x14ac:dyDescent="0.35">
      <c r="N531" s="1" t="s">
        <v>85</v>
      </c>
      <c r="O531" s="4" t="s">
        <v>254</v>
      </c>
      <c r="P531" s="4" t="s">
        <v>675</v>
      </c>
      <c r="V531" s="1"/>
      <c r="Z531"/>
      <c r="AA531"/>
    </row>
    <row r="532" spans="14:27" x14ac:dyDescent="0.35">
      <c r="N532" s="1" t="s">
        <v>85</v>
      </c>
      <c r="O532" s="4" t="s">
        <v>254</v>
      </c>
      <c r="P532" s="4" t="s">
        <v>677</v>
      </c>
      <c r="V532" s="1"/>
      <c r="Z532"/>
      <c r="AA532"/>
    </row>
    <row r="533" spans="14:27" x14ac:dyDescent="0.35">
      <c r="N533" s="1" t="s">
        <v>85</v>
      </c>
      <c r="O533" s="4" t="s">
        <v>254</v>
      </c>
      <c r="P533" s="4" t="s">
        <v>679</v>
      </c>
      <c r="V533" s="1"/>
      <c r="Z533"/>
      <c r="AA533"/>
    </row>
    <row r="534" spans="14:27" x14ac:dyDescent="0.35">
      <c r="N534" s="1" t="s">
        <v>85</v>
      </c>
      <c r="O534" s="4" t="s">
        <v>254</v>
      </c>
      <c r="P534" s="4" t="s">
        <v>681</v>
      </c>
      <c r="V534" s="1"/>
      <c r="Z534"/>
      <c r="AA534"/>
    </row>
    <row r="535" spans="14:27" x14ac:dyDescent="0.35">
      <c r="N535" s="1" t="s">
        <v>85</v>
      </c>
      <c r="O535" s="4" t="s">
        <v>254</v>
      </c>
      <c r="P535" s="4" t="s">
        <v>683</v>
      </c>
      <c r="V535" s="1"/>
      <c r="Z535"/>
      <c r="AA535"/>
    </row>
    <row r="536" spans="14:27" x14ac:dyDescent="0.35">
      <c r="N536" s="1" t="s">
        <v>85</v>
      </c>
      <c r="O536" s="4" t="s">
        <v>254</v>
      </c>
      <c r="P536" s="4" t="s">
        <v>685</v>
      </c>
      <c r="V536" s="1"/>
      <c r="Z536"/>
      <c r="AA536"/>
    </row>
    <row r="537" spans="14:27" x14ac:dyDescent="0.35">
      <c r="N537" s="1" t="s">
        <v>85</v>
      </c>
      <c r="O537" s="4" t="s">
        <v>254</v>
      </c>
      <c r="P537" s="4" t="s">
        <v>687</v>
      </c>
      <c r="V537" s="1"/>
      <c r="Z537"/>
      <c r="AA537"/>
    </row>
    <row r="538" spans="14:27" x14ac:dyDescent="0.35">
      <c r="N538" s="1" t="s">
        <v>85</v>
      </c>
      <c r="O538" s="4" t="s">
        <v>254</v>
      </c>
      <c r="P538" s="4" t="s">
        <v>689</v>
      </c>
      <c r="V538" s="1"/>
      <c r="Z538"/>
      <c r="AA538"/>
    </row>
    <row r="539" spans="14:27" x14ac:dyDescent="0.35">
      <c r="N539" s="1" t="s">
        <v>85</v>
      </c>
      <c r="O539" s="4" t="s">
        <v>254</v>
      </c>
      <c r="P539" s="4" t="s">
        <v>691</v>
      </c>
      <c r="V539" s="1"/>
      <c r="Z539"/>
      <c r="AA539"/>
    </row>
    <row r="540" spans="14:27" x14ac:dyDescent="0.35">
      <c r="N540" s="1" t="s">
        <v>85</v>
      </c>
      <c r="O540" s="4" t="s">
        <v>257</v>
      </c>
      <c r="P540" s="4" t="s">
        <v>693</v>
      </c>
      <c r="V540" s="1"/>
      <c r="Z540"/>
      <c r="AA540"/>
    </row>
    <row r="541" spans="14:27" x14ac:dyDescent="0.35">
      <c r="N541" s="1" t="s">
        <v>85</v>
      </c>
      <c r="O541" s="4" t="s">
        <v>257</v>
      </c>
      <c r="P541" s="4" t="s">
        <v>695</v>
      </c>
      <c r="V541" s="1"/>
      <c r="Z541"/>
      <c r="AA541"/>
    </row>
    <row r="542" spans="14:27" x14ac:dyDescent="0.35">
      <c r="N542" s="1" t="s">
        <v>85</v>
      </c>
      <c r="O542" s="4" t="s">
        <v>257</v>
      </c>
      <c r="P542" s="4" t="s">
        <v>697</v>
      </c>
      <c r="V542" s="1"/>
      <c r="Z542"/>
      <c r="AA542"/>
    </row>
    <row r="543" spans="14:27" x14ac:dyDescent="0.35">
      <c r="N543" s="1" t="s">
        <v>85</v>
      </c>
      <c r="O543" s="4" t="s">
        <v>257</v>
      </c>
      <c r="P543" s="4" t="s">
        <v>699</v>
      </c>
      <c r="V543" s="1"/>
      <c r="Z543"/>
      <c r="AA543"/>
    </row>
    <row r="544" spans="14:27" x14ac:dyDescent="0.35">
      <c r="N544" s="1" t="s">
        <v>85</v>
      </c>
      <c r="O544" s="4" t="s">
        <v>257</v>
      </c>
      <c r="P544" s="4" t="s">
        <v>701</v>
      </c>
      <c r="V544" s="1"/>
      <c r="Z544"/>
      <c r="AA544"/>
    </row>
    <row r="545" spans="14:27" x14ac:dyDescent="0.35">
      <c r="N545" s="1" t="s">
        <v>85</v>
      </c>
      <c r="O545" s="4" t="s">
        <v>257</v>
      </c>
      <c r="P545" s="4" t="s">
        <v>703</v>
      </c>
      <c r="V545" s="1"/>
      <c r="Z545"/>
      <c r="AA545"/>
    </row>
    <row r="546" spans="14:27" x14ac:dyDescent="0.35">
      <c r="N546" s="1" t="s">
        <v>85</v>
      </c>
      <c r="O546" s="4" t="s">
        <v>257</v>
      </c>
      <c r="P546" s="4" t="s">
        <v>705</v>
      </c>
      <c r="V546" s="1"/>
      <c r="Z546"/>
      <c r="AA546"/>
    </row>
    <row r="547" spans="14:27" x14ac:dyDescent="0.35">
      <c r="N547" s="1" t="s">
        <v>85</v>
      </c>
      <c r="O547" s="4" t="s">
        <v>224</v>
      </c>
      <c r="P547" s="4" t="s">
        <v>707</v>
      </c>
      <c r="V547" s="1"/>
      <c r="Z547"/>
      <c r="AA547"/>
    </row>
    <row r="548" spans="14:27" x14ac:dyDescent="0.35">
      <c r="N548" s="1" t="s">
        <v>85</v>
      </c>
      <c r="O548" s="4" t="s">
        <v>224</v>
      </c>
      <c r="P548" s="4" t="s">
        <v>709</v>
      </c>
      <c r="V548" s="1"/>
      <c r="Z548"/>
      <c r="AA548"/>
    </row>
    <row r="549" spans="14:27" x14ac:dyDescent="0.35">
      <c r="N549" s="1" t="s">
        <v>85</v>
      </c>
      <c r="O549" s="4" t="s">
        <v>224</v>
      </c>
      <c r="P549" s="4" t="s">
        <v>711</v>
      </c>
      <c r="V549" s="1"/>
      <c r="Z549"/>
      <c r="AA549"/>
    </row>
    <row r="550" spans="14:27" x14ac:dyDescent="0.35">
      <c r="N550" s="1" t="s">
        <v>85</v>
      </c>
      <c r="O550" s="4" t="s">
        <v>224</v>
      </c>
      <c r="P550" s="4" t="s">
        <v>713</v>
      </c>
      <c r="V550" s="1"/>
      <c r="Z550"/>
      <c r="AA550"/>
    </row>
    <row r="551" spans="14:27" x14ac:dyDescent="0.35">
      <c r="N551" s="1" t="s">
        <v>85</v>
      </c>
      <c r="O551" s="4" t="s">
        <v>224</v>
      </c>
      <c r="P551" s="4" t="s">
        <v>715</v>
      </c>
      <c r="V551" s="1"/>
      <c r="Z551"/>
      <c r="AA551"/>
    </row>
    <row r="552" spans="14:27" x14ac:dyDescent="0.35">
      <c r="N552" s="1" t="s">
        <v>85</v>
      </c>
      <c r="O552" s="4" t="s">
        <v>227</v>
      </c>
      <c r="P552" s="4" t="s">
        <v>717</v>
      </c>
      <c r="V552" s="1"/>
      <c r="Z552"/>
      <c r="AA552"/>
    </row>
    <row r="553" spans="14:27" x14ac:dyDescent="0.35">
      <c r="N553" s="1" t="s">
        <v>85</v>
      </c>
      <c r="O553" s="4" t="s">
        <v>227</v>
      </c>
      <c r="P553" s="4" t="s">
        <v>719</v>
      </c>
      <c r="V553" s="1"/>
      <c r="Z553"/>
      <c r="AA553"/>
    </row>
    <row r="554" spans="14:27" x14ac:dyDescent="0.35">
      <c r="N554" s="1" t="s">
        <v>85</v>
      </c>
      <c r="O554" s="4" t="s">
        <v>227</v>
      </c>
      <c r="P554" s="4" t="s">
        <v>721</v>
      </c>
      <c r="V554" s="1"/>
      <c r="Z554"/>
      <c r="AA554"/>
    </row>
    <row r="555" spans="14:27" x14ac:dyDescent="0.35">
      <c r="N555" s="1" t="s">
        <v>85</v>
      </c>
      <c r="O555" s="4" t="s">
        <v>227</v>
      </c>
      <c r="P555" s="4" t="s">
        <v>723</v>
      </c>
      <c r="V555" s="1"/>
      <c r="Z555"/>
      <c r="AA555"/>
    </row>
    <row r="556" spans="14:27" x14ac:dyDescent="0.35">
      <c r="N556" s="1" t="s">
        <v>85</v>
      </c>
      <c r="O556" s="4" t="s">
        <v>227</v>
      </c>
      <c r="P556" s="4" t="s">
        <v>725</v>
      </c>
      <c r="V556" s="1"/>
      <c r="Z556"/>
      <c r="AA556"/>
    </row>
    <row r="557" spans="14:27" x14ac:dyDescent="0.35">
      <c r="N557" s="1" t="s">
        <v>85</v>
      </c>
      <c r="O557" s="4" t="s">
        <v>227</v>
      </c>
      <c r="P557" s="4" t="s">
        <v>727</v>
      </c>
      <c r="V557" s="1"/>
      <c r="Z557"/>
      <c r="AA557"/>
    </row>
    <row r="558" spans="14:27" x14ac:dyDescent="0.35">
      <c r="N558" s="1" t="s">
        <v>85</v>
      </c>
      <c r="O558" s="4" t="s">
        <v>227</v>
      </c>
      <c r="P558" s="4" t="s">
        <v>729</v>
      </c>
      <c r="V558" s="1"/>
      <c r="Z558"/>
      <c r="AA558"/>
    </row>
    <row r="559" spans="14:27" x14ac:dyDescent="0.35">
      <c r="N559" s="1" t="s">
        <v>85</v>
      </c>
      <c r="O559" s="4" t="s">
        <v>230</v>
      </c>
      <c r="P559" s="4" t="s">
        <v>731</v>
      </c>
      <c r="V559" s="1"/>
      <c r="Z559"/>
      <c r="AA559"/>
    </row>
    <row r="560" spans="14:27" x14ac:dyDescent="0.35">
      <c r="N560" s="1" t="s">
        <v>85</v>
      </c>
      <c r="O560" s="4" t="s">
        <v>230</v>
      </c>
      <c r="P560" s="4" t="s">
        <v>733</v>
      </c>
      <c r="V560" s="1"/>
      <c r="Z560"/>
      <c r="AA560"/>
    </row>
    <row r="561" spans="14:27" x14ac:dyDescent="0.35">
      <c r="N561" s="1" t="s">
        <v>85</v>
      </c>
      <c r="O561" s="4" t="s">
        <v>230</v>
      </c>
      <c r="P561" s="4" t="s">
        <v>735</v>
      </c>
      <c r="V561" s="1"/>
      <c r="Z561"/>
      <c r="AA561"/>
    </row>
    <row r="562" spans="14:27" x14ac:dyDescent="0.35">
      <c r="N562" s="1" t="s">
        <v>85</v>
      </c>
      <c r="O562" s="4" t="s">
        <v>233</v>
      </c>
      <c r="P562" s="4" t="s">
        <v>737</v>
      </c>
      <c r="V562" s="1"/>
      <c r="Z562"/>
      <c r="AA562"/>
    </row>
    <row r="563" spans="14:27" x14ac:dyDescent="0.35">
      <c r="N563" s="1" t="s">
        <v>85</v>
      </c>
      <c r="O563" s="4" t="s">
        <v>233</v>
      </c>
      <c r="P563" s="4" t="s">
        <v>739</v>
      </c>
      <c r="V563" s="1"/>
      <c r="Z563"/>
      <c r="AA563"/>
    </row>
    <row r="564" spans="14:27" x14ac:dyDescent="0.35">
      <c r="N564" s="1" t="s">
        <v>85</v>
      </c>
      <c r="O564" s="4" t="s">
        <v>233</v>
      </c>
      <c r="P564" s="4" t="s">
        <v>741</v>
      </c>
      <c r="V564" s="1"/>
      <c r="Z564"/>
      <c r="AA564"/>
    </row>
    <row r="565" spans="14:27" x14ac:dyDescent="0.35">
      <c r="N565" s="1" t="s">
        <v>85</v>
      </c>
      <c r="O565" s="4" t="s">
        <v>233</v>
      </c>
      <c r="P565" s="4" t="s">
        <v>743</v>
      </c>
      <c r="V565" s="1"/>
      <c r="Z565"/>
      <c r="AA565"/>
    </row>
    <row r="566" spans="14:27" x14ac:dyDescent="0.35">
      <c r="N566" s="1" t="s">
        <v>85</v>
      </c>
      <c r="O566" s="4" t="s">
        <v>233</v>
      </c>
      <c r="P566" s="4" t="s">
        <v>745</v>
      </c>
      <c r="V566" s="1"/>
      <c r="Z566"/>
      <c r="AA566"/>
    </row>
    <row r="567" spans="14:27" x14ac:dyDescent="0.35">
      <c r="N567" s="1" t="s">
        <v>85</v>
      </c>
      <c r="O567" s="4" t="s">
        <v>233</v>
      </c>
      <c r="P567" s="4" t="s">
        <v>747</v>
      </c>
      <c r="V567" s="1"/>
      <c r="Z567"/>
      <c r="AA567"/>
    </row>
    <row r="568" spans="14:27" x14ac:dyDescent="0.35">
      <c r="N568" s="1" t="s">
        <v>85</v>
      </c>
      <c r="O568" s="4" t="s">
        <v>236</v>
      </c>
      <c r="P568" s="4" t="s">
        <v>749</v>
      </c>
      <c r="V568" s="1"/>
      <c r="Z568"/>
      <c r="AA568"/>
    </row>
    <row r="569" spans="14:27" x14ac:dyDescent="0.35">
      <c r="N569" s="1" t="s">
        <v>85</v>
      </c>
      <c r="O569" s="4" t="s">
        <v>236</v>
      </c>
      <c r="P569" s="4" t="s">
        <v>751</v>
      </c>
      <c r="V569" s="1"/>
      <c r="Z569"/>
      <c r="AA569"/>
    </row>
    <row r="570" spans="14:27" x14ac:dyDescent="0.35">
      <c r="N570" s="1" t="s">
        <v>85</v>
      </c>
      <c r="O570" s="4" t="s">
        <v>236</v>
      </c>
      <c r="P570" s="4" t="s">
        <v>753</v>
      </c>
      <c r="V570" s="1"/>
      <c r="Z570"/>
      <c r="AA570"/>
    </row>
    <row r="571" spans="14:27" x14ac:dyDescent="0.35">
      <c r="N571" s="1" t="s">
        <v>85</v>
      </c>
      <c r="O571" s="4" t="s">
        <v>239</v>
      </c>
      <c r="P571" s="4" t="s">
        <v>755</v>
      </c>
      <c r="V571" s="1"/>
      <c r="Z571"/>
      <c r="AA571"/>
    </row>
    <row r="572" spans="14:27" x14ac:dyDescent="0.35">
      <c r="N572" s="1" t="s">
        <v>85</v>
      </c>
      <c r="O572" s="4" t="s">
        <v>239</v>
      </c>
      <c r="P572" s="4" t="s">
        <v>757</v>
      </c>
      <c r="V572" s="1"/>
      <c r="Z572"/>
      <c r="AA572"/>
    </row>
    <row r="573" spans="14:27" x14ac:dyDescent="0.35">
      <c r="N573" s="1" t="s">
        <v>85</v>
      </c>
      <c r="O573" s="4" t="s">
        <v>242</v>
      </c>
      <c r="P573" s="4" t="s">
        <v>759</v>
      </c>
      <c r="V573" s="1"/>
      <c r="Z573"/>
      <c r="AA573"/>
    </row>
    <row r="574" spans="14:27" x14ac:dyDescent="0.35">
      <c r="N574" s="1" t="s">
        <v>85</v>
      </c>
      <c r="O574" s="4" t="s">
        <v>242</v>
      </c>
      <c r="P574" s="4" t="s">
        <v>761</v>
      </c>
      <c r="V574" s="1"/>
      <c r="Z574"/>
      <c r="AA574"/>
    </row>
    <row r="575" spans="14:27" x14ac:dyDescent="0.35">
      <c r="N575" s="1" t="s">
        <v>85</v>
      </c>
      <c r="O575" s="4" t="s">
        <v>242</v>
      </c>
      <c r="P575" s="4" t="s">
        <v>763</v>
      </c>
      <c r="V575" s="1"/>
      <c r="Z575"/>
      <c r="AA575"/>
    </row>
    <row r="576" spans="14:27" x14ac:dyDescent="0.35">
      <c r="N576" s="1" t="s">
        <v>85</v>
      </c>
      <c r="O576" s="4" t="s">
        <v>242</v>
      </c>
      <c r="P576" s="4" t="s">
        <v>765</v>
      </c>
      <c r="V576" s="1"/>
      <c r="Z576"/>
      <c r="AA576"/>
    </row>
    <row r="577" spans="14:27" x14ac:dyDescent="0.35">
      <c r="N577" s="1" t="s">
        <v>85</v>
      </c>
      <c r="O577" s="4" t="s">
        <v>242</v>
      </c>
      <c r="P577" s="4" t="s">
        <v>767</v>
      </c>
      <c r="V577" s="1"/>
      <c r="Z577"/>
      <c r="AA577"/>
    </row>
    <row r="578" spans="14:27" x14ac:dyDescent="0.35">
      <c r="N578" s="1" t="s">
        <v>85</v>
      </c>
      <c r="O578" s="4" t="s">
        <v>245</v>
      </c>
      <c r="P578" s="4" t="s">
        <v>768</v>
      </c>
      <c r="V578" s="1"/>
      <c r="Z578"/>
      <c r="AA578"/>
    </row>
    <row r="579" spans="14:27" x14ac:dyDescent="0.35">
      <c r="N579" s="1" t="s">
        <v>85</v>
      </c>
      <c r="O579" s="4" t="s">
        <v>245</v>
      </c>
      <c r="P579" s="4" t="s">
        <v>591</v>
      </c>
      <c r="V579" s="1"/>
      <c r="Z579"/>
      <c r="AA579"/>
    </row>
    <row r="580" spans="14:27" x14ac:dyDescent="0.35">
      <c r="N580" s="1" t="s">
        <v>85</v>
      </c>
      <c r="O580" s="4" t="s">
        <v>245</v>
      </c>
      <c r="P580" s="4" t="s">
        <v>594</v>
      </c>
      <c r="V580" s="1"/>
      <c r="Z580"/>
      <c r="AA580"/>
    </row>
    <row r="581" spans="14:27" x14ac:dyDescent="0.35">
      <c r="V581" s="1"/>
      <c r="Z581"/>
      <c r="AA581"/>
    </row>
    <row r="582" spans="14:27" x14ac:dyDescent="0.35">
      <c r="V582" s="1"/>
      <c r="Z582"/>
      <c r="AA582"/>
    </row>
    <row r="583" spans="14:27" x14ac:dyDescent="0.35">
      <c r="V583" s="1"/>
      <c r="Z583"/>
      <c r="AA583"/>
    </row>
  </sheetData>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F19C-B3F6-4A4C-9948-01B2EF3D3150}">
  <sheetPr codeName="Sheet13"/>
  <dimension ref="B3:E9"/>
  <sheetViews>
    <sheetView workbookViewId="0">
      <selection activeCell="E9" sqref="E9"/>
    </sheetView>
  </sheetViews>
  <sheetFormatPr baseColWidth="10" defaultColWidth="8.7265625" defaultRowHeight="14.5" x14ac:dyDescent="0.35"/>
  <cols>
    <col min="2" max="2" width="16.81640625" customWidth="1"/>
    <col min="3" max="3" width="17.453125" customWidth="1"/>
    <col min="4" max="4" width="17.54296875" customWidth="1"/>
    <col min="5" max="5" width="60.81640625" customWidth="1"/>
  </cols>
  <sheetData>
    <row r="3" spans="2:5" ht="21" customHeight="1" x14ac:dyDescent="0.35">
      <c r="B3" s="88" t="s">
        <v>884</v>
      </c>
      <c r="C3" s="89" t="s">
        <v>885</v>
      </c>
      <c r="D3" s="90" t="s">
        <v>886</v>
      </c>
      <c r="E3" s="91" t="s">
        <v>887</v>
      </c>
    </row>
    <row r="4" spans="2:5" ht="29" x14ac:dyDescent="0.35">
      <c r="B4" s="92">
        <v>1.2</v>
      </c>
      <c r="C4" s="93">
        <v>43882</v>
      </c>
      <c r="D4" s="92" t="s">
        <v>888</v>
      </c>
      <c r="E4" s="92" t="s">
        <v>889</v>
      </c>
    </row>
    <row r="5" spans="2:5" ht="29" x14ac:dyDescent="0.35">
      <c r="B5" s="92">
        <v>1.3</v>
      </c>
      <c r="C5" s="93">
        <v>43941</v>
      </c>
      <c r="D5" s="92" t="s">
        <v>890</v>
      </c>
      <c r="E5" s="92" t="s">
        <v>891</v>
      </c>
    </row>
    <row r="6" spans="2:5" x14ac:dyDescent="0.35">
      <c r="B6" s="92">
        <v>1.3</v>
      </c>
      <c r="C6" s="93">
        <v>43941</v>
      </c>
      <c r="D6" s="92" t="s">
        <v>892</v>
      </c>
      <c r="E6" s="92" t="s">
        <v>893</v>
      </c>
    </row>
    <row r="7" spans="2:5" ht="58" x14ac:dyDescent="0.35">
      <c r="B7" s="92">
        <v>1.3</v>
      </c>
      <c r="C7" s="93">
        <v>43945</v>
      </c>
      <c r="D7" s="92" t="s">
        <v>890</v>
      </c>
      <c r="E7" s="94" t="s">
        <v>895</v>
      </c>
    </row>
    <row r="8" spans="2:5" ht="29" x14ac:dyDescent="0.35">
      <c r="B8" s="94">
        <v>1.3</v>
      </c>
      <c r="C8" s="93">
        <v>43950</v>
      </c>
      <c r="D8" s="98" t="s">
        <v>896</v>
      </c>
      <c r="E8" s="94" t="s">
        <v>897</v>
      </c>
    </row>
    <row r="9" spans="2:5" ht="29" x14ac:dyDescent="0.35">
      <c r="B9" s="94">
        <v>1.3</v>
      </c>
      <c r="C9" s="93">
        <v>43958</v>
      </c>
      <c r="D9" t="s">
        <v>898</v>
      </c>
      <c r="E9" s="94" t="s">
        <v>899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E160"/>
  <sheetViews>
    <sheetView workbookViewId="0"/>
  </sheetViews>
  <sheetFormatPr baseColWidth="10" defaultColWidth="8.7265625" defaultRowHeight="14.5" x14ac:dyDescent="0.35"/>
  <sheetData>
    <row r="1" spans="1:31" x14ac:dyDescent="0.35">
      <c r="A1" t="s">
        <v>852</v>
      </c>
      <c r="B1" t="s">
        <v>900</v>
      </c>
      <c r="Y1" s="99" t="s">
        <v>1062</v>
      </c>
      <c r="Z1" s="99" t="s">
        <v>1063</v>
      </c>
      <c r="AA1" t="s">
        <v>901</v>
      </c>
      <c r="AB1" t="s">
        <v>1052</v>
      </c>
      <c r="AC1" t="s">
        <v>1056</v>
      </c>
      <c r="AD1" t="s">
        <v>1057</v>
      </c>
      <c r="AE1" t="s">
        <v>1058</v>
      </c>
    </row>
    <row r="2" spans="1:31" x14ac:dyDescent="0.35">
      <c r="Y2" s="99"/>
      <c r="Z2" s="99"/>
      <c r="AA2" s="99" t="s">
        <v>902</v>
      </c>
      <c r="AB2" s="99" t="s">
        <v>1053</v>
      </c>
      <c r="AC2" s="99" t="s">
        <v>811</v>
      </c>
      <c r="AD2" s="99" t="s">
        <v>811</v>
      </c>
      <c r="AE2" s="99" t="s">
        <v>841</v>
      </c>
    </row>
    <row r="3" spans="1:31" x14ac:dyDescent="0.35">
      <c r="AA3" s="99" t="s">
        <v>115</v>
      </c>
      <c r="AB3" s="99" t="s">
        <v>1054</v>
      </c>
      <c r="AC3" s="99" t="s">
        <v>810</v>
      </c>
      <c r="AD3" s="99" t="s">
        <v>810</v>
      </c>
      <c r="AE3" s="99" t="s">
        <v>1059</v>
      </c>
    </row>
    <row r="4" spans="1:31" x14ac:dyDescent="0.35">
      <c r="AA4" s="99" t="s">
        <v>110</v>
      </c>
      <c r="AB4" s="99" t="s">
        <v>1055</v>
      </c>
      <c r="AC4" s="99" t="s">
        <v>809</v>
      </c>
      <c r="AD4" s="99" t="s">
        <v>809</v>
      </c>
      <c r="AE4" s="99" t="s">
        <v>1060</v>
      </c>
    </row>
    <row r="5" spans="1:31" x14ac:dyDescent="0.35">
      <c r="AA5" s="99" t="s">
        <v>903</v>
      </c>
      <c r="AC5" s="99" t="s">
        <v>866</v>
      </c>
      <c r="AE5" s="99" t="s">
        <v>866</v>
      </c>
    </row>
    <row r="6" spans="1:31" x14ac:dyDescent="0.35">
      <c r="AA6" s="99" t="s">
        <v>904</v>
      </c>
      <c r="AE6" s="99" t="s">
        <v>1061</v>
      </c>
    </row>
    <row r="7" spans="1:31" x14ac:dyDescent="0.35">
      <c r="AA7" s="99" t="s">
        <v>905</v>
      </c>
    </row>
    <row r="8" spans="1:31" x14ac:dyDescent="0.35">
      <c r="AA8" s="99" t="s">
        <v>906</v>
      </c>
    </row>
    <row r="9" spans="1:31" x14ac:dyDescent="0.35">
      <c r="AA9" s="99" t="s">
        <v>907</v>
      </c>
    </row>
    <row r="10" spans="1:31" x14ac:dyDescent="0.35">
      <c r="AA10" s="99" t="s">
        <v>908</v>
      </c>
    </row>
    <row r="11" spans="1:31" x14ac:dyDescent="0.35">
      <c r="AA11" s="99" t="s">
        <v>909</v>
      </c>
    </row>
    <row r="12" spans="1:31" x14ac:dyDescent="0.35">
      <c r="AA12" s="99" t="s">
        <v>910</v>
      </c>
    </row>
    <row r="13" spans="1:31" x14ac:dyDescent="0.35">
      <c r="AA13" s="99" t="s">
        <v>911</v>
      </c>
    </row>
    <row r="14" spans="1:31" x14ac:dyDescent="0.35">
      <c r="AA14" s="99" t="s">
        <v>912</v>
      </c>
    </row>
    <row r="15" spans="1:31" x14ac:dyDescent="0.35">
      <c r="AA15" s="99" t="s">
        <v>913</v>
      </c>
    </row>
    <row r="16" spans="1:31" x14ac:dyDescent="0.35">
      <c r="AA16" s="99" t="s">
        <v>914</v>
      </c>
    </row>
    <row r="17" spans="27:27" x14ac:dyDescent="0.35">
      <c r="AA17" s="99" t="s">
        <v>915</v>
      </c>
    </row>
    <row r="18" spans="27:27" x14ac:dyDescent="0.35">
      <c r="AA18" s="99" t="s">
        <v>916</v>
      </c>
    </row>
    <row r="19" spans="27:27" x14ac:dyDescent="0.35">
      <c r="AA19" s="99" t="s">
        <v>917</v>
      </c>
    </row>
    <row r="20" spans="27:27" x14ac:dyDescent="0.35">
      <c r="AA20" s="99" t="s">
        <v>918</v>
      </c>
    </row>
    <row r="21" spans="27:27" x14ac:dyDescent="0.35">
      <c r="AA21" s="99" t="s">
        <v>919</v>
      </c>
    </row>
    <row r="22" spans="27:27" x14ac:dyDescent="0.35">
      <c r="AA22" s="99" t="s">
        <v>920</v>
      </c>
    </row>
    <row r="23" spans="27:27" x14ac:dyDescent="0.35">
      <c r="AA23" s="99" t="s">
        <v>921</v>
      </c>
    </row>
    <row r="24" spans="27:27" x14ac:dyDescent="0.35">
      <c r="AA24" s="99" t="s">
        <v>922</v>
      </c>
    </row>
    <row r="25" spans="27:27" x14ac:dyDescent="0.35">
      <c r="AA25" s="99" t="s">
        <v>923</v>
      </c>
    </row>
    <row r="26" spans="27:27" x14ac:dyDescent="0.35">
      <c r="AA26" s="99" t="s">
        <v>924</v>
      </c>
    </row>
    <row r="27" spans="27:27" x14ac:dyDescent="0.35">
      <c r="AA27" s="99" t="s">
        <v>925</v>
      </c>
    </row>
    <row r="28" spans="27:27" x14ac:dyDescent="0.35">
      <c r="AA28" s="99" t="s">
        <v>926</v>
      </c>
    </row>
    <row r="29" spans="27:27" x14ac:dyDescent="0.35">
      <c r="AA29" s="99" t="s">
        <v>927</v>
      </c>
    </row>
    <row r="30" spans="27:27" x14ac:dyDescent="0.35">
      <c r="AA30" s="99" t="s">
        <v>928</v>
      </c>
    </row>
    <row r="31" spans="27:27" x14ac:dyDescent="0.35">
      <c r="AA31" s="99" t="s">
        <v>929</v>
      </c>
    </row>
    <row r="32" spans="27:27" x14ac:dyDescent="0.35">
      <c r="AA32" s="99" t="s">
        <v>930</v>
      </c>
    </row>
    <row r="33" spans="27:27" x14ac:dyDescent="0.35">
      <c r="AA33" s="99" t="s">
        <v>931</v>
      </c>
    </row>
    <row r="34" spans="27:27" x14ac:dyDescent="0.35">
      <c r="AA34" s="99" t="s">
        <v>932</v>
      </c>
    </row>
    <row r="35" spans="27:27" x14ac:dyDescent="0.35">
      <c r="AA35" s="99" t="s">
        <v>933</v>
      </c>
    </row>
    <row r="36" spans="27:27" x14ac:dyDescent="0.35">
      <c r="AA36" s="99" t="s">
        <v>934</v>
      </c>
    </row>
    <row r="37" spans="27:27" x14ac:dyDescent="0.35">
      <c r="AA37" s="99" t="s">
        <v>935</v>
      </c>
    </row>
    <row r="38" spans="27:27" x14ac:dyDescent="0.35">
      <c r="AA38" s="99" t="s">
        <v>936</v>
      </c>
    </row>
    <row r="39" spans="27:27" x14ac:dyDescent="0.35">
      <c r="AA39" s="99" t="s">
        <v>937</v>
      </c>
    </row>
    <row r="40" spans="27:27" x14ac:dyDescent="0.35">
      <c r="AA40" s="99" t="s">
        <v>938</v>
      </c>
    </row>
    <row r="41" spans="27:27" x14ac:dyDescent="0.35">
      <c r="AA41" s="99" t="s">
        <v>939</v>
      </c>
    </row>
    <row r="42" spans="27:27" x14ac:dyDescent="0.35">
      <c r="AA42" s="99" t="s">
        <v>940</v>
      </c>
    </row>
    <row r="43" spans="27:27" x14ac:dyDescent="0.35">
      <c r="AA43" s="99" t="s">
        <v>941</v>
      </c>
    </row>
    <row r="44" spans="27:27" x14ac:dyDescent="0.35">
      <c r="AA44" s="99" t="s">
        <v>942</v>
      </c>
    </row>
    <row r="45" spans="27:27" x14ac:dyDescent="0.35">
      <c r="AA45" s="99" t="s">
        <v>943</v>
      </c>
    </row>
    <row r="46" spans="27:27" x14ac:dyDescent="0.35">
      <c r="AA46" s="99" t="s">
        <v>944</v>
      </c>
    </row>
    <row r="47" spans="27:27" x14ac:dyDescent="0.35">
      <c r="AA47" s="99" t="s">
        <v>945</v>
      </c>
    </row>
    <row r="48" spans="27:27" x14ac:dyDescent="0.35">
      <c r="AA48" s="99" t="s">
        <v>946</v>
      </c>
    </row>
    <row r="49" spans="27:27" x14ac:dyDescent="0.35">
      <c r="AA49" s="99" t="s">
        <v>947</v>
      </c>
    </row>
    <row r="50" spans="27:27" x14ac:dyDescent="0.35">
      <c r="AA50" s="99" t="s">
        <v>948</v>
      </c>
    </row>
    <row r="51" spans="27:27" x14ac:dyDescent="0.35">
      <c r="AA51" s="99" t="s">
        <v>949</v>
      </c>
    </row>
    <row r="52" spans="27:27" x14ac:dyDescent="0.35">
      <c r="AA52" s="99" t="s">
        <v>950</v>
      </c>
    </row>
    <row r="53" spans="27:27" x14ac:dyDescent="0.35">
      <c r="AA53" s="99" t="s">
        <v>951</v>
      </c>
    </row>
    <row r="54" spans="27:27" x14ac:dyDescent="0.35">
      <c r="AA54" s="99" t="s">
        <v>952</v>
      </c>
    </row>
    <row r="55" spans="27:27" x14ac:dyDescent="0.35">
      <c r="AA55" s="99" t="s">
        <v>953</v>
      </c>
    </row>
    <row r="56" spans="27:27" x14ac:dyDescent="0.35">
      <c r="AA56" s="99" t="s">
        <v>954</v>
      </c>
    </row>
    <row r="57" spans="27:27" x14ac:dyDescent="0.35">
      <c r="AA57" s="99" t="s">
        <v>955</v>
      </c>
    </row>
    <row r="58" spans="27:27" x14ac:dyDescent="0.35">
      <c r="AA58" s="99" t="s">
        <v>956</v>
      </c>
    </row>
    <row r="59" spans="27:27" x14ac:dyDescent="0.35">
      <c r="AA59" s="99" t="s">
        <v>957</v>
      </c>
    </row>
    <row r="60" spans="27:27" x14ac:dyDescent="0.35">
      <c r="AA60" s="99" t="s">
        <v>958</v>
      </c>
    </row>
    <row r="61" spans="27:27" x14ac:dyDescent="0.35">
      <c r="AA61" s="99" t="s">
        <v>959</v>
      </c>
    </row>
    <row r="62" spans="27:27" x14ac:dyDescent="0.35">
      <c r="AA62" s="99" t="s">
        <v>960</v>
      </c>
    </row>
    <row r="63" spans="27:27" x14ac:dyDescent="0.35">
      <c r="AA63" s="99" t="s">
        <v>961</v>
      </c>
    </row>
    <row r="64" spans="27:27" x14ac:dyDescent="0.35">
      <c r="AA64" s="99" t="s">
        <v>962</v>
      </c>
    </row>
    <row r="65" spans="27:27" x14ac:dyDescent="0.35">
      <c r="AA65" s="99" t="s">
        <v>963</v>
      </c>
    </row>
    <row r="66" spans="27:27" x14ac:dyDescent="0.35">
      <c r="AA66" s="99" t="s">
        <v>964</v>
      </c>
    </row>
    <row r="67" spans="27:27" x14ac:dyDescent="0.35">
      <c r="AA67" s="99" t="s">
        <v>965</v>
      </c>
    </row>
    <row r="68" spans="27:27" x14ac:dyDescent="0.35">
      <c r="AA68" s="99" t="s">
        <v>966</v>
      </c>
    </row>
    <row r="69" spans="27:27" x14ac:dyDescent="0.35">
      <c r="AA69" s="99" t="s">
        <v>967</v>
      </c>
    </row>
    <row r="70" spans="27:27" x14ac:dyDescent="0.35">
      <c r="AA70" s="99" t="s">
        <v>968</v>
      </c>
    </row>
    <row r="71" spans="27:27" x14ac:dyDescent="0.35">
      <c r="AA71" s="99" t="s">
        <v>969</v>
      </c>
    </row>
    <row r="72" spans="27:27" x14ac:dyDescent="0.35">
      <c r="AA72" s="99" t="s">
        <v>970</v>
      </c>
    </row>
    <row r="73" spans="27:27" x14ac:dyDescent="0.35">
      <c r="AA73" s="99" t="s">
        <v>971</v>
      </c>
    </row>
    <row r="74" spans="27:27" x14ac:dyDescent="0.35">
      <c r="AA74" s="99" t="s">
        <v>972</v>
      </c>
    </row>
    <row r="75" spans="27:27" x14ac:dyDescent="0.35">
      <c r="AA75" s="99" t="s">
        <v>973</v>
      </c>
    </row>
    <row r="76" spans="27:27" x14ac:dyDescent="0.35">
      <c r="AA76" s="99" t="s">
        <v>974</v>
      </c>
    </row>
    <row r="77" spans="27:27" x14ac:dyDescent="0.35">
      <c r="AA77" s="99" t="s">
        <v>975</v>
      </c>
    </row>
    <row r="78" spans="27:27" x14ac:dyDescent="0.35">
      <c r="AA78" s="99" t="s">
        <v>976</v>
      </c>
    </row>
    <row r="79" spans="27:27" x14ac:dyDescent="0.35">
      <c r="AA79" s="99" t="s">
        <v>977</v>
      </c>
    </row>
    <row r="80" spans="27:27" x14ac:dyDescent="0.35">
      <c r="AA80" s="99" t="s">
        <v>978</v>
      </c>
    </row>
    <row r="81" spans="27:27" x14ac:dyDescent="0.35">
      <c r="AA81" s="99" t="s">
        <v>979</v>
      </c>
    </row>
    <row r="82" spans="27:27" x14ac:dyDescent="0.35">
      <c r="AA82" s="99" t="s">
        <v>980</v>
      </c>
    </row>
    <row r="83" spans="27:27" x14ac:dyDescent="0.35">
      <c r="AA83" s="99" t="s">
        <v>981</v>
      </c>
    </row>
    <row r="84" spans="27:27" x14ac:dyDescent="0.35">
      <c r="AA84" s="99" t="s">
        <v>982</v>
      </c>
    </row>
    <row r="85" spans="27:27" x14ac:dyDescent="0.35">
      <c r="AA85" s="99" t="s">
        <v>983</v>
      </c>
    </row>
    <row r="86" spans="27:27" x14ac:dyDescent="0.35">
      <c r="AA86" s="99" t="s">
        <v>984</v>
      </c>
    </row>
    <row r="87" spans="27:27" x14ac:dyDescent="0.35">
      <c r="AA87" s="99" t="s">
        <v>985</v>
      </c>
    </row>
    <row r="88" spans="27:27" x14ac:dyDescent="0.35">
      <c r="AA88" s="99" t="s">
        <v>986</v>
      </c>
    </row>
    <row r="89" spans="27:27" x14ac:dyDescent="0.35">
      <c r="AA89" s="99" t="s">
        <v>987</v>
      </c>
    </row>
    <row r="90" spans="27:27" x14ac:dyDescent="0.35">
      <c r="AA90" s="99" t="s">
        <v>988</v>
      </c>
    </row>
    <row r="91" spans="27:27" x14ac:dyDescent="0.35">
      <c r="AA91" s="99" t="s">
        <v>989</v>
      </c>
    </row>
    <row r="92" spans="27:27" x14ac:dyDescent="0.35">
      <c r="AA92" s="99" t="s">
        <v>990</v>
      </c>
    </row>
    <row r="93" spans="27:27" x14ac:dyDescent="0.35">
      <c r="AA93" s="99" t="s">
        <v>991</v>
      </c>
    </row>
    <row r="94" spans="27:27" x14ac:dyDescent="0.35">
      <c r="AA94" s="99" t="s">
        <v>992</v>
      </c>
    </row>
    <row r="95" spans="27:27" x14ac:dyDescent="0.35">
      <c r="AA95" s="99" t="s">
        <v>993</v>
      </c>
    </row>
    <row r="96" spans="27:27" x14ac:dyDescent="0.35">
      <c r="AA96" s="99" t="s">
        <v>994</v>
      </c>
    </row>
    <row r="97" spans="27:27" x14ac:dyDescent="0.35">
      <c r="AA97" s="99" t="s">
        <v>995</v>
      </c>
    </row>
    <row r="98" spans="27:27" x14ac:dyDescent="0.35">
      <c r="AA98" s="99" t="s">
        <v>996</v>
      </c>
    </row>
    <row r="99" spans="27:27" x14ac:dyDescent="0.35">
      <c r="AA99" s="99" t="s">
        <v>997</v>
      </c>
    </row>
    <row r="100" spans="27:27" x14ac:dyDescent="0.35">
      <c r="AA100" s="99" t="s">
        <v>998</v>
      </c>
    </row>
    <row r="101" spans="27:27" x14ac:dyDescent="0.35">
      <c r="AA101" s="99" t="s">
        <v>999</v>
      </c>
    </row>
    <row r="102" spans="27:27" x14ac:dyDescent="0.35">
      <c r="AA102" s="99" t="s">
        <v>1000</v>
      </c>
    </row>
    <row r="103" spans="27:27" x14ac:dyDescent="0.35">
      <c r="AA103" s="99" t="s">
        <v>1001</v>
      </c>
    </row>
    <row r="104" spans="27:27" x14ac:dyDescent="0.35">
      <c r="AA104" s="99" t="s">
        <v>1002</v>
      </c>
    </row>
    <row r="105" spans="27:27" x14ac:dyDescent="0.35">
      <c r="AA105" s="99" t="s">
        <v>1003</v>
      </c>
    </row>
    <row r="106" spans="27:27" x14ac:dyDescent="0.35">
      <c r="AA106" s="99" t="s">
        <v>1004</v>
      </c>
    </row>
    <row r="107" spans="27:27" x14ac:dyDescent="0.35">
      <c r="AA107" s="99" t="s">
        <v>1005</v>
      </c>
    </row>
    <row r="108" spans="27:27" x14ac:dyDescent="0.35">
      <c r="AA108" s="99" t="s">
        <v>1006</v>
      </c>
    </row>
    <row r="109" spans="27:27" x14ac:dyDescent="0.35">
      <c r="AA109" s="99" t="s">
        <v>1007</v>
      </c>
    </row>
    <row r="110" spans="27:27" x14ac:dyDescent="0.35">
      <c r="AA110" s="99" t="s">
        <v>1008</v>
      </c>
    </row>
    <row r="111" spans="27:27" x14ac:dyDescent="0.35">
      <c r="AA111" s="99" t="s">
        <v>1009</v>
      </c>
    </row>
    <row r="112" spans="27:27" x14ac:dyDescent="0.35">
      <c r="AA112" s="99" t="s">
        <v>1010</v>
      </c>
    </row>
    <row r="113" spans="27:27" x14ac:dyDescent="0.35">
      <c r="AA113" s="99" t="s">
        <v>1011</v>
      </c>
    </row>
    <row r="114" spans="27:27" x14ac:dyDescent="0.35">
      <c r="AA114" s="99" t="s">
        <v>1012</v>
      </c>
    </row>
    <row r="115" spans="27:27" x14ac:dyDescent="0.35">
      <c r="AA115" s="99" t="s">
        <v>1013</v>
      </c>
    </row>
    <row r="116" spans="27:27" x14ac:dyDescent="0.35">
      <c r="AA116" s="99" t="s">
        <v>1014</v>
      </c>
    </row>
    <row r="117" spans="27:27" x14ac:dyDescent="0.35">
      <c r="AA117" s="99" t="s">
        <v>1015</v>
      </c>
    </row>
    <row r="118" spans="27:27" x14ac:dyDescent="0.35">
      <c r="AA118" s="99" t="s">
        <v>1016</v>
      </c>
    </row>
    <row r="119" spans="27:27" x14ac:dyDescent="0.35">
      <c r="AA119" s="99" t="s">
        <v>1017</v>
      </c>
    </row>
    <row r="120" spans="27:27" x14ac:dyDescent="0.35">
      <c r="AA120" s="99" t="s">
        <v>1018</v>
      </c>
    </row>
    <row r="121" spans="27:27" x14ac:dyDescent="0.35">
      <c r="AA121" s="99" t="s">
        <v>1019</v>
      </c>
    </row>
    <row r="122" spans="27:27" x14ac:dyDescent="0.35">
      <c r="AA122" s="99" t="s">
        <v>1020</v>
      </c>
    </row>
    <row r="123" spans="27:27" x14ac:dyDescent="0.35">
      <c r="AA123" s="99" t="s">
        <v>1021</v>
      </c>
    </row>
    <row r="124" spans="27:27" x14ac:dyDescent="0.35">
      <c r="AA124" s="99" t="s">
        <v>1022</v>
      </c>
    </row>
    <row r="125" spans="27:27" x14ac:dyDescent="0.35">
      <c r="AA125" s="99" t="s">
        <v>1023</v>
      </c>
    </row>
    <row r="126" spans="27:27" x14ac:dyDescent="0.35">
      <c r="AA126" s="99" t="s">
        <v>1024</v>
      </c>
    </row>
    <row r="127" spans="27:27" x14ac:dyDescent="0.35">
      <c r="AA127" s="99" t="s">
        <v>1025</v>
      </c>
    </row>
    <row r="128" spans="27:27" x14ac:dyDescent="0.35">
      <c r="AA128" s="99" t="s">
        <v>1026</v>
      </c>
    </row>
    <row r="129" spans="27:27" x14ac:dyDescent="0.35">
      <c r="AA129" s="99" t="s">
        <v>1027</v>
      </c>
    </row>
    <row r="130" spans="27:27" x14ac:dyDescent="0.35">
      <c r="AA130" s="99" t="s">
        <v>1028</v>
      </c>
    </row>
    <row r="131" spans="27:27" x14ac:dyDescent="0.35">
      <c r="AA131" s="99" t="s">
        <v>1029</v>
      </c>
    </row>
    <row r="132" spans="27:27" x14ac:dyDescent="0.35">
      <c r="AA132" s="99" t="s">
        <v>1030</v>
      </c>
    </row>
    <row r="133" spans="27:27" x14ac:dyDescent="0.35">
      <c r="AA133" s="99" t="s">
        <v>1031</v>
      </c>
    </row>
    <row r="134" spans="27:27" x14ac:dyDescent="0.35">
      <c r="AA134" s="99" t="s">
        <v>1032</v>
      </c>
    </row>
    <row r="135" spans="27:27" x14ac:dyDescent="0.35">
      <c r="AA135" s="99" t="s">
        <v>1033</v>
      </c>
    </row>
    <row r="136" spans="27:27" x14ac:dyDescent="0.35">
      <c r="AA136" s="99" t="s">
        <v>1034</v>
      </c>
    </row>
    <row r="137" spans="27:27" x14ac:dyDescent="0.35">
      <c r="AA137" s="99" t="s">
        <v>1035</v>
      </c>
    </row>
    <row r="138" spans="27:27" x14ac:dyDescent="0.35">
      <c r="AA138" s="99" t="s">
        <v>1036</v>
      </c>
    </row>
    <row r="139" spans="27:27" x14ac:dyDescent="0.35">
      <c r="AA139" s="99" t="s">
        <v>1037</v>
      </c>
    </row>
    <row r="140" spans="27:27" x14ac:dyDescent="0.35">
      <c r="AA140" s="99" t="s">
        <v>1038</v>
      </c>
    </row>
    <row r="141" spans="27:27" x14ac:dyDescent="0.35">
      <c r="AA141" s="99" t="s">
        <v>1039</v>
      </c>
    </row>
    <row r="142" spans="27:27" x14ac:dyDescent="0.35">
      <c r="AA142" s="99" t="s">
        <v>1040</v>
      </c>
    </row>
    <row r="143" spans="27:27" x14ac:dyDescent="0.35">
      <c r="AA143" s="99" t="s">
        <v>1041</v>
      </c>
    </row>
    <row r="144" spans="27:27" x14ac:dyDescent="0.35">
      <c r="AA144" s="99" t="s">
        <v>1042</v>
      </c>
    </row>
    <row r="145" spans="27:27" x14ac:dyDescent="0.35">
      <c r="AA145" s="99" t="s">
        <v>1043</v>
      </c>
    </row>
    <row r="146" spans="27:27" x14ac:dyDescent="0.35">
      <c r="AA146" s="99" t="s">
        <v>1044</v>
      </c>
    </row>
    <row r="147" spans="27:27" x14ac:dyDescent="0.35">
      <c r="AA147" s="99" t="s">
        <v>1045</v>
      </c>
    </row>
    <row r="148" spans="27:27" x14ac:dyDescent="0.35">
      <c r="AA148" s="99" t="s">
        <v>1046</v>
      </c>
    </row>
    <row r="149" spans="27:27" x14ac:dyDescent="0.35">
      <c r="AA149" s="99" t="s">
        <v>1047</v>
      </c>
    </row>
    <row r="150" spans="27:27" x14ac:dyDescent="0.35">
      <c r="AA150" s="99" t="s">
        <v>1048</v>
      </c>
    </row>
    <row r="151" spans="27:27" x14ac:dyDescent="0.35">
      <c r="AA151" s="99" t="s">
        <v>1049</v>
      </c>
    </row>
    <row r="152" spans="27:27" x14ac:dyDescent="0.35">
      <c r="AA152" s="99" t="s">
        <v>1050</v>
      </c>
    </row>
    <row r="153" spans="27:27" x14ac:dyDescent="0.35">
      <c r="AA153" s="99" t="s">
        <v>1051</v>
      </c>
    </row>
    <row r="154" spans="27:27" x14ac:dyDescent="0.35">
      <c r="AA154" s="99" t="s">
        <v>1064</v>
      </c>
    </row>
    <row r="155" spans="27:27" x14ac:dyDescent="0.35">
      <c r="AA155" s="99" t="s">
        <v>1065</v>
      </c>
    </row>
    <row r="156" spans="27:27" x14ac:dyDescent="0.35">
      <c r="AA156" s="99" t="s">
        <v>1066</v>
      </c>
    </row>
    <row r="157" spans="27:27" x14ac:dyDescent="0.35">
      <c r="AA157" s="99" t="s">
        <v>1067</v>
      </c>
    </row>
    <row r="158" spans="27:27" x14ac:dyDescent="0.35">
      <c r="AA158" s="99" t="s">
        <v>1068</v>
      </c>
    </row>
    <row r="159" spans="27:27" x14ac:dyDescent="0.35">
      <c r="AA159" s="99" t="s">
        <v>1069</v>
      </c>
    </row>
    <row r="160" spans="27:27" x14ac:dyDescent="0.35">
      <c r="AA160" s="99" t="s">
        <v>1070</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13313" r:id="rId4">
          <objectPr defaultSize="0" r:id="rId5">
            <anchor moveWithCells="1">
              <from>
                <xdr:col>0</xdr:col>
                <xdr:colOff>0</xdr:colOff>
                <xdr:row>0</xdr:row>
                <xdr:rowOff>0</xdr:rowOff>
              </from>
              <to>
                <xdr:col>4</xdr:col>
                <xdr:colOff>342900</xdr:colOff>
                <xdr:row>2</xdr:row>
                <xdr:rowOff>152400</xdr:rowOff>
              </to>
            </anchor>
          </objectPr>
        </oleObject>
      </mc:Choice>
      <mc:Fallback>
        <oleObject progId="Packager Shell Object" dvAspect="DVASPECT_ICON" shapeId="13313" r:id="rId4"/>
      </mc:Fallback>
    </mc:AlternateContent>
    <mc:AlternateContent xmlns:mc="http://schemas.openxmlformats.org/markup-compatibility/2006">
      <mc:Choice Requires="x14">
        <oleObject progId="Packager Shell Object" dvAspect="DVASPECT_ICON" shapeId="13316" r:id="rId6">
          <objectPr defaultSize="0" r:id="rId7">
            <anchor moveWithCells="1">
              <from>
                <xdr:col>0</xdr:col>
                <xdr:colOff>0</xdr:colOff>
                <xdr:row>0</xdr:row>
                <xdr:rowOff>0</xdr:rowOff>
              </from>
              <to>
                <xdr:col>0</xdr:col>
                <xdr:colOff>584200</xdr:colOff>
                <xdr:row>2</xdr:row>
                <xdr:rowOff>152400</xdr:rowOff>
              </to>
            </anchor>
          </objectPr>
        </oleObject>
      </mc:Choice>
      <mc:Fallback>
        <oleObject progId="Packager Shell Object" dvAspect="DVASPECT_ICON" shapeId="13316" r:id="rId6"/>
      </mc:Fallback>
    </mc:AlternateContent>
    <mc:AlternateContent xmlns:mc="http://schemas.openxmlformats.org/markup-compatibility/2006">
      <mc:Choice Requires="x14">
        <oleObject progId="Packager Shell Object" dvAspect="DVASPECT_ICON" shapeId="13317" r:id="rId8">
          <objectPr defaultSize="0" r:id="rId9">
            <anchor moveWithCells="1">
              <from>
                <xdr:col>0</xdr:col>
                <xdr:colOff>0</xdr:colOff>
                <xdr:row>0</xdr:row>
                <xdr:rowOff>0</xdr:rowOff>
              </from>
              <to>
                <xdr:col>1</xdr:col>
                <xdr:colOff>419100</xdr:colOff>
                <xdr:row>2</xdr:row>
                <xdr:rowOff>152400</xdr:rowOff>
              </to>
            </anchor>
          </objectPr>
        </oleObject>
      </mc:Choice>
      <mc:Fallback>
        <oleObject progId="Packager Shell Object" dvAspect="DVASPECT_ICON" shapeId="13317" r:id="rId8"/>
      </mc:Fallback>
    </mc:AlternateContent>
    <mc:AlternateContent xmlns:mc="http://schemas.openxmlformats.org/markup-compatibility/2006">
      <mc:Choice Requires="x14">
        <oleObject progId="Packager Shell Object" dvAspect="DVASPECT_ICON" shapeId="13318" r:id="rId10">
          <objectPr defaultSize="0" r:id="rId11">
            <anchor moveWithCells="1">
              <from>
                <xdr:col>0</xdr:col>
                <xdr:colOff>0</xdr:colOff>
                <xdr:row>0</xdr:row>
                <xdr:rowOff>0</xdr:rowOff>
              </from>
              <to>
                <xdr:col>1</xdr:col>
                <xdr:colOff>355600</xdr:colOff>
                <xdr:row>2</xdr:row>
                <xdr:rowOff>152400</xdr:rowOff>
              </to>
            </anchor>
          </objectPr>
        </oleObject>
      </mc:Choice>
      <mc:Fallback>
        <oleObject progId="Packager Shell Object" dvAspect="DVASPECT_ICON" shapeId="13318"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W117"/>
  <sheetViews>
    <sheetView showGridLines="0" tabSelected="1" topLeftCell="A22" zoomScale="83" zoomScaleNormal="83" zoomScaleSheetLayoutView="70" workbookViewId="0">
      <selection activeCell="A22" sqref="A22:M22"/>
    </sheetView>
  </sheetViews>
  <sheetFormatPr baseColWidth="10" defaultColWidth="9.1796875" defaultRowHeight="14" x14ac:dyDescent="0.35"/>
  <cols>
    <col min="1" max="1" width="33.81640625" style="10" customWidth="1" collapsed="1"/>
    <col min="2" max="2" width="40.54296875" style="10" customWidth="1" collapsed="1"/>
    <col min="3" max="3" width="19.1796875" style="10" hidden="1" customWidth="1"/>
    <col min="4" max="4" width="45.54296875" style="10" customWidth="1" collapsed="1"/>
    <col min="5" max="5" width="14.81640625" style="10" hidden="1" customWidth="1"/>
    <col min="6" max="7" width="18.54296875" style="10" customWidth="1" collapsed="1"/>
    <col min="8" max="8" width="79.453125" style="10" customWidth="1" collapsed="1"/>
    <col min="9" max="9" width="70.453125" style="10" customWidth="1"/>
    <col min="10" max="10" width="18.81640625" style="10" customWidth="1" collapsed="1"/>
    <col min="11" max="11" width="21.54296875" style="10" hidden="1" customWidth="1" collapsed="1"/>
    <col min="12" max="12" width="23.54296875" style="10" customWidth="1" collapsed="1"/>
    <col min="13" max="13" width="73.1796875" style="10" customWidth="1" collapsed="1"/>
    <col min="14" max="14" width="24.54296875" style="10" hidden="1" customWidth="1" collapsed="1"/>
    <col min="15" max="15" width="21.1796875" style="10" hidden="1" customWidth="1" collapsed="1"/>
    <col min="16" max="16" width="18.453125" style="71" hidden="1" customWidth="1" collapsed="1"/>
    <col min="17" max="17" width="20" style="71" hidden="1" customWidth="1" collapsed="1"/>
    <col min="18" max="18" width="17.81640625" style="10" hidden="1" customWidth="1"/>
    <col min="19" max="19" width="23.81640625" style="10" hidden="1" customWidth="1" collapsed="1"/>
    <col min="20" max="20" width="24.1796875" style="10" hidden="1" customWidth="1" collapsed="1"/>
    <col min="21" max="21" width="29.81640625" style="10" hidden="1" customWidth="1" collapsed="1"/>
    <col min="22" max="22" width="28.453125" style="10" hidden="1" customWidth="1" collapsed="1"/>
    <col min="23" max="23" width="10.81640625" style="10" hidden="1" customWidth="1" collapsed="1"/>
    <col min="24" max="24" width="9.1796875" style="10" customWidth="1" collapsed="1"/>
    <col min="25" max="16384" width="9.1796875" style="10" collapsed="1"/>
  </cols>
  <sheetData>
    <row r="4" spans="1:9" ht="23" x14ac:dyDescent="0.35">
      <c r="A4" s="140" t="str">
        <f>IFERROR(VLOOKUP($B$10,Translation[],3,0),"")</f>
        <v>SOLICITUD PRIORIZADA DE MONTO POR ENCIMA DE LA ASIGNACIÓN (PAAR)</v>
      </c>
      <c r="B4" s="140"/>
      <c r="C4" s="140"/>
      <c r="D4" s="140"/>
      <c r="E4" s="140"/>
      <c r="F4" s="140"/>
      <c r="G4" s="140"/>
      <c r="H4" s="140"/>
      <c r="I4" s="34"/>
    </row>
    <row r="5" spans="1:9" ht="17.5" x14ac:dyDescent="0.35">
      <c r="A5" s="139"/>
      <c r="B5" s="139"/>
      <c r="C5" s="139"/>
      <c r="D5" s="139"/>
      <c r="E5" s="139"/>
      <c r="F5" s="139"/>
      <c r="G5" s="139"/>
      <c r="H5" s="139"/>
      <c r="I5" s="33"/>
    </row>
    <row r="6" spans="1:9" ht="15.5" x14ac:dyDescent="0.35">
      <c r="A6" s="143" t="s">
        <v>0</v>
      </c>
      <c r="B6" s="144"/>
      <c r="C6" s="36"/>
    </row>
    <row r="7" spans="1:9" ht="15.5" x14ac:dyDescent="0.35">
      <c r="A7" s="141" t="s">
        <v>1</v>
      </c>
      <c r="B7" s="142"/>
      <c r="C7" s="36"/>
    </row>
    <row r="8" spans="1:9" ht="15.5" x14ac:dyDescent="0.35">
      <c r="A8" s="145" t="s">
        <v>2</v>
      </c>
      <c r="B8" s="146"/>
      <c r="C8" s="36"/>
    </row>
    <row r="10" spans="1:9" ht="18" x14ac:dyDescent="0.35">
      <c r="A10" s="11" t="str">
        <f>IFERROR(VLOOKUP($B$10,Translation[],2,0),"")</f>
        <v>Idioma</v>
      </c>
      <c r="B10" s="29" t="s">
        <v>85</v>
      </c>
      <c r="C10" s="37"/>
      <c r="D10" s="41"/>
    </row>
    <row r="12" spans="1:9" ht="18" x14ac:dyDescent="0.35">
      <c r="A12" s="147" t="str">
        <f>IFERROR(VLOOKUP($B$10,Translation[],5,0),"")</f>
        <v>INFORMACIÓN RESUMIDA</v>
      </c>
      <c r="B12" s="147"/>
      <c r="C12" s="147"/>
      <c r="D12" s="147"/>
      <c r="E12" s="147"/>
      <c r="F12" s="147"/>
      <c r="G12" s="13"/>
      <c r="H12" s="13"/>
      <c r="I12" s="13"/>
    </row>
    <row r="13" spans="1:9" ht="65.150000000000006" customHeight="1" x14ac:dyDescent="0.35">
      <c r="A13" s="14" t="str">
        <f>IFERROR(VLOOKUP($B$10,Translation[],6,0),"")</f>
        <v>País o grupo de países</v>
      </c>
      <c r="B13" s="149" t="str">
        <f>IF(ISBLANK(Modules!$B$3),Modules!$B$4,Modules!$B$3)</f>
        <v>El Salvador</v>
      </c>
      <c r="C13" s="149"/>
      <c r="D13" s="149"/>
      <c r="E13" s="149"/>
      <c r="F13" s="149"/>
      <c r="G13" s="41"/>
    </row>
    <row r="14" spans="1:9" ht="30" customHeight="1" x14ac:dyDescent="0.35">
      <c r="A14" s="14" t="str">
        <f>IFERROR(VLOOKUP($B$10,Translation[],7,0),"")</f>
        <v>Componente(s)</v>
      </c>
      <c r="B14" s="148" t="str">
        <f>(Modules!$D$3)</f>
        <v>HIV/AIDS</v>
      </c>
      <c r="C14" s="148"/>
      <c r="D14" s="148"/>
      <c r="E14" s="148"/>
      <c r="F14" s="148"/>
      <c r="G14" s="48"/>
    </row>
    <row r="15" spans="1:9" ht="61.75" customHeight="1" x14ac:dyDescent="0.35">
      <c r="A15" s="15" t="str">
        <f>IFERROR(VLOOKUP($B$10,Translation[],8,0),"")</f>
        <v>Solicitud de financiamiento relacionada con esta solicitud de monto por encima de la asignación</v>
      </c>
      <c r="B15" s="148" t="str">
        <f>(Modules!$D$2)</f>
        <v>FR979-SLV-H</v>
      </c>
      <c r="C15" s="148"/>
      <c r="D15" s="148"/>
      <c r="E15" s="148"/>
      <c r="F15" s="148"/>
      <c r="G15" s="40"/>
    </row>
    <row r="16" spans="1:9" ht="30" customHeight="1" x14ac:dyDescent="0.35">
      <c r="A16" s="14" t="str">
        <f>IFERROR(VLOOKUP($B$10,Translation[],9,0),"")</f>
        <v>Moneda</v>
      </c>
      <c r="B16" s="148" t="str">
        <f>(Modules!$D$4)</f>
        <v>USD</v>
      </c>
      <c r="C16" s="148"/>
      <c r="D16" s="148"/>
      <c r="E16" s="148"/>
      <c r="F16" s="148"/>
      <c r="G16" s="40"/>
    </row>
    <row r="17" spans="1:23" ht="64.75" customHeight="1" x14ac:dyDescent="0.35">
      <c r="A17" s="15" t="str">
        <f>IFERROR(VLOOKUP($B$10,Translation[],32,0),"")</f>
        <v>Total de la solicitud de fondos por encima del Monto asignado PAAR (divisa de solicitud)</v>
      </c>
      <c r="B17" s="138">
        <f>F117</f>
        <v>2831941</v>
      </c>
      <c r="C17" s="138"/>
      <c r="D17" s="138"/>
      <c r="E17" s="138"/>
      <c r="F17" s="138"/>
      <c r="G17" s="39"/>
    </row>
    <row r="18" spans="1:23" ht="30" customHeight="1" x14ac:dyDescent="0.35">
      <c r="A18" s="15" t="str">
        <f>IFERROR(VLOOKUP($B$10,Translation[],22,0),"")</f>
        <v>Cantidad aprobada por PRT (US$)</v>
      </c>
      <c r="B18" s="138">
        <f>L117</f>
        <v>0</v>
      </c>
      <c r="C18" s="138"/>
      <c r="D18" s="138"/>
      <c r="E18" s="138"/>
      <c r="F18" s="138"/>
      <c r="G18" s="39"/>
    </row>
    <row r="20" spans="1:23" ht="18" x14ac:dyDescent="0.35">
      <c r="A20" s="153" t="str">
        <f>IFERROR(VLOOKUP($B$10,Translation[],11,0),"")</f>
        <v>INFORMACIÓN CONTEXTUAL</v>
      </c>
      <c r="B20" s="154"/>
      <c r="C20" s="154"/>
      <c r="D20" s="154"/>
      <c r="E20" s="154"/>
      <c r="F20" s="154"/>
      <c r="G20" s="154"/>
      <c r="H20" s="154"/>
      <c r="I20" s="154"/>
      <c r="J20" s="154"/>
      <c r="K20" s="154"/>
      <c r="L20" s="154"/>
      <c r="M20" s="154"/>
    </row>
    <row r="21" spans="1:23" ht="130.4" customHeight="1" x14ac:dyDescent="0.35">
      <c r="A21" s="155" t="str">
        <f>IFERROR(VLOOKUP($B$10,Translation[],12,0),"")</f>
        <v>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Si necesita espacio adicional, el solicitante puede ampliar el ancho y alto de cada celda y / o insertar y fusionar celdas adicionales para obtener un espacio mayor para la justificación</v>
      </c>
      <c r="B21" s="156"/>
      <c r="C21" s="156"/>
      <c r="D21" s="156"/>
      <c r="E21" s="156"/>
      <c r="F21" s="156"/>
      <c r="G21" s="156"/>
      <c r="H21" s="156"/>
      <c r="I21" s="156"/>
      <c r="J21" s="156"/>
      <c r="K21" s="156"/>
      <c r="L21" s="156"/>
      <c r="M21" s="156"/>
    </row>
    <row r="22" spans="1:23" ht="409.5" customHeight="1" x14ac:dyDescent="0.35">
      <c r="A22" s="157" t="s">
        <v>1706</v>
      </c>
      <c r="B22" s="157"/>
      <c r="C22" s="157"/>
      <c r="D22" s="157"/>
      <c r="E22" s="157"/>
      <c r="F22" s="157"/>
      <c r="G22" s="157"/>
      <c r="H22" s="157"/>
      <c r="I22" s="157"/>
      <c r="J22" s="157"/>
      <c r="K22" s="157"/>
      <c r="L22" s="157"/>
      <c r="M22" s="157"/>
    </row>
    <row r="23" spans="1:23" ht="150" hidden="1" customHeight="1" x14ac:dyDescent="0.35">
      <c r="A23" s="75"/>
      <c r="B23" s="75"/>
      <c r="C23" s="75"/>
      <c r="D23" s="75"/>
      <c r="E23" s="75"/>
      <c r="F23" s="75"/>
      <c r="G23" s="75"/>
      <c r="H23" s="75"/>
      <c r="I23" s="43"/>
      <c r="J23" s="43"/>
      <c r="K23" s="10" t="s">
        <v>872</v>
      </c>
    </row>
    <row r="24" spans="1:23" ht="64.5" customHeight="1" x14ac:dyDescent="0.35">
      <c r="A24" s="74"/>
      <c r="B24" s="74"/>
      <c r="C24" s="74"/>
      <c r="D24" s="74"/>
      <c r="E24" s="74"/>
      <c r="F24" s="74"/>
      <c r="G24" s="74"/>
      <c r="H24" s="74"/>
      <c r="I24" s="43"/>
      <c r="J24" s="43"/>
    </row>
    <row r="26" spans="1:23" ht="18" x14ac:dyDescent="0.35">
      <c r="A26" s="150" t="str">
        <f>IFERROR(VLOOKUP($B$10,Translation[],13,0),"")</f>
        <v>SOLICITUD PRIORIZADA DE MONTO POR ENCIMA DE LA ASIGNACIÓN (PAAR)</v>
      </c>
      <c r="B26" s="151"/>
      <c r="C26" s="151"/>
      <c r="D26" s="151"/>
      <c r="E26" s="151"/>
      <c r="F26" s="151"/>
      <c r="G26" s="151"/>
      <c r="H26" s="151"/>
      <c r="I26" s="151"/>
      <c r="J26" s="151"/>
      <c r="K26" s="151"/>
      <c r="L26" s="151"/>
      <c r="M26" s="152"/>
      <c r="N26" s="73"/>
      <c r="O26" s="73"/>
      <c r="P26" s="73"/>
    </row>
    <row r="27" spans="1:23" ht="230.15" customHeight="1" x14ac:dyDescent="0.35">
      <c r="A27" s="158" t="str">
        <f>IFERROR(VLOOKUP($B$10,Translation[],14,0),"")</f>
        <v>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v>
      </c>
      <c r="B27" s="159"/>
      <c r="C27" s="159"/>
      <c r="D27" s="159"/>
      <c r="E27" s="159"/>
      <c r="F27" s="159"/>
      <c r="G27" s="159"/>
      <c r="H27" s="159"/>
      <c r="I27" s="159"/>
      <c r="J27" s="159"/>
      <c r="K27" s="159"/>
      <c r="L27" s="159"/>
      <c r="M27" s="159"/>
    </row>
    <row r="28" spans="1:23" ht="63" customHeight="1" x14ac:dyDescent="0.35">
      <c r="A28" s="16" t="str">
        <f>IFERROR(VLOOKUP($B$10,Translation[],15,0),"")</f>
        <v>Nivel de prioridad (para el Solicitante)</v>
      </c>
      <c r="B28" s="16" t="str">
        <f>IFERROR(VLOOKUP($B$10,Translation[],16,0),"")</f>
        <v>Módulo</v>
      </c>
      <c r="C28" s="38" t="s">
        <v>808</v>
      </c>
      <c r="D28" s="16" t="str">
        <f>IFERROR(VLOOKUP($B$10,Translation[],17,0),"")</f>
        <v>Intervenciones</v>
      </c>
      <c r="E28" s="38" t="s">
        <v>805</v>
      </c>
      <c r="F28" s="16" t="str">
        <f>IFERROR(VLOOKUP($B$10,Translation[],18,0),"")</f>
        <v>Monto solicitado</v>
      </c>
      <c r="G28" s="16" t="str">
        <f>IFERROR(VLOOKUP($B$10,Translation[],19,0),"")</f>
        <v>Monto solicitado (USD)</v>
      </c>
      <c r="H28" s="16" t="str">
        <f>IFERROR(VLOOKUP($B$10,Translation[],20,0),"")</f>
        <v>Breve justificación, incluidos resultados e impacto previstos (explique cómo se basa la solicitud en la asignación)
Indique, para los módulos VIH, la población objetivo relevante.</v>
      </c>
      <c r="I28" s="16" t="str">
        <f>IFERROR(VLOOKUP($B$10,Translation[],24,0),"")</f>
        <v>Breve justificación (traducida)</v>
      </c>
      <c r="J28" s="63" t="str">
        <f>IFERROR(VLOOKUP($B$10,Translation[],23,0),"")</f>
        <v>Nivel de prioridad PRT</v>
      </c>
      <c r="K28" s="63" t="str">
        <f>IFERROR(VLOOKUP($B$10,Translation[],21,0),"")</f>
        <v>Cantidad aprobada por PRT (divisa de alocación)</v>
      </c>
      <c r="L28" s="63" t="str">
        <f>IFERROR(VLOOKUP($B$10,Translation[],22,0),"")</f>
        <v>Cantidad aprobada por PRT (US$)</v>
      </c>
      <c r="M28" s="63" t="str">
        <f>IFERROR(VLOOKUP($B$10,Translation[],26,0),"")</f>
        <v>Notas PRT</v>
      </c>
      <c r="N28" s="16" t="s">
        <v>807</v>
      </c>
      <c r="O28" s="51" t="s">
        <v>806</v>
      </c>
      <c r="P28" s="72" t="s">
        <v>849</v>
      </c>
      <c r="Q28" s="71" t="s">
        <v>850</v>
      </c>
      <c r="R28" s="10" t="s">
        <v>853</v>
      </c>
      <c r="S28" s="10" t="s">
        <v>855</v>
      </c>
      <c r="U28" s="10" t="s">
        <v>857</v>
      </c>
      <c r="V28" s="10" t="s">
        <v>858</v>
      </c>
      <c r="W28" s="10" t="s">
        <v>859</v>
      </c>
    </row>
    <row r="29" spans="1:23" ht="112" x14ac:dyDescent="0.35">
      <c r="A29" s="77" t="s">
        <v>814</v>
      </c>
      <c r="B29" s="69" t="s">
        <v>603</v>
      </c>
      <c r="C29" s="68" t="str">
        <f>IFERROR(VLOOKUP(B29,Modules!C:D,2,0),"")</f>
        <v>MCI-00648</v>
      </c>
      <c r="D29" s="69" t="s">
        <v>1138</v>
      </c>
      <c r="E29" s="67" t="str">
        <f>IFERROR(VLOOKUP($D29,Interventions!E:F,2,0),IFERROR(VLOOKUP($D29,Interventions!I:L,4,0),IFERROR(VLOOKUP($D29,Interventions!J:L,3,0),"")))</f>
        <v>MCI-00671</v>
      </c>
      <c r="F29" s="95">
        <v>1091249</v>
      </c>
      <c r="G29" s="96">
        <f>IF(IF(Modules!$D$4="EUR",F29*(Modules!$B$5),$F29)=0,"",IF(Modules!$D$4="EUR",F29*(Modules!$B$5),$F29))</f>
        <v>1091249</v>
      </c>
      <c r="H29" s="67" t="s">
        <v>1697</v>
      </c>
      <c r="I29" s="67"/>
      <c r="J29" s="30"/>
      <c r="K29" s="30"/>
      <c r="L29" s="97"/>
      <c r="M29" s="30"/>
      <c r="N29" s="30" t="str">
        <f>CLEAN(IFERROR(VLOOKUP($D29,Interventions!$E$1:$K$371,7,0),""))</f>
        <v>FunOpp_15:ActAre_441</v>
      </c>
      <c r="O29" s="30" t="str">
        <f>CLEAN(IF(D29="","",CONCATENATE(Modules!$B$8,PAAR!N29,R29)))</f>
        <v>Geography_82/FundingOpportunity_15/FunOpp_15:ActAre_4411</v>
      </c>
      <c r="P29" s="71" t="str">
        <f>IFERROR(INDEX('Dropdown Data'!$D$33:$D$35,MATCH(A29,'Dropdown Data'!$B$33:$B$35,0)),IFERROR(INDEX('Dropdown Data'!$D$33:$D$35,MATCH(A29,'Dropdown Data'!$C$33:$C$35,0)),A29))</f>
        <v>High</v>
      </c>
      <c r="Q29" s="71">
        <f>IFERROR(INDEX('Dropdown Data'!$D$33:$D$36,MATCH(J29,'Dropdown Data'!$B$33:$B$36,0)),IFERROR(INDEX('Dropdown Data'!$D$33:$D$36,MATCH(J29,'Dropdown Data'!$C$33:$C$36,0)),J29))</f>
        <v>0</v>
      </c>
      <c r="R29" s="10">
        <v>1</v>
      </c>
      <c r="S29" s="10" t="b">
        <f>IF(AND($B$17&gt;0,NOT(ISBLANK(G29)),(OR(ISBLANK(J29),ISBLANK(L29)))),TRUE,FALSE)</f>
        <v>1</v>
      </c>
      <c r="T29" s="10">
        <f>COUNTBLANK(A29:M29)</f>
        <v>5</v>
      </c>
      <c r="U29" s="10" t="str">
        <f>IFERROR(VLOOKUP(B29,Modules!$E$11:$K$29,7,0),IFERROR(VLOOKUP(B29,Modules!$F$11:$K$29,6,0),VLOOKUP(B29,Modules!$G$11:$K$29,5,0)))</f>
        <v>MCI-00648</v>
      </c>
      <c r="V29" s="10">
        <f>MATCH(U29,Interventions!C:C,0)</f>
        <v>13</v>
      </c>
      <c r="W29" s="10">
        <f>MATCH(U29,Interventions!C:C,1)</f>
        <v>31</v>
      </c>
    </row>
    <row r="30" spans="1:23" ht="84" x14ac:dyDescent="0.35">
      <c r="A30" s="30" t="s">
        <v>814</v>
      </c>
      <c r="B30" s="69" t="s">
        <v>1111</v>
      </c>
      <c r="C30" s="68" t="str">
        <f>IFERROR(VLOOKUP(B30,Modules!C:D,2,0),"")</f>
        <v>MCI-00662</v>
      </c>
      <c r="D30" s="69" t="s">
        <v>1426</v>
      </c>
      <c r="E30" s="67" t="str">
        <f>IFERROR(VLOOKUP($D30,Interventions!E:F,2,0),IFERROR(VLOOKUP($D30,Interventions!I:L,4,0),IFERROR(VLOOKUP($D30,Interventions!J:L,3,0),"")))</f>
        <v>MCI-00787</v>
      </c>
      <c r="F30" s="95">
        <v>292590</v>
      </c>
      <c r="G30" s="96">
        <f>IF(IF(Modules!$D$4="EUR",F30*(Modules!$B$5),$F30)=0,"",IF(Modules!$D$4="EUR",F30*(Modules!$B$5),$F30))</f>
        <v>292590</v>
      </c>
      <c r="H30" s="31" t="s">
        <v>1670</v>
      </c>
      <c r="I30" s="31"/>
      <c r="J30" s="30"/>
      <c r="K30" s="30"/>
      <c r="L30" s="97"/>
      <c r="M30" s="30"/>
      <c r="N30" s="30" t="str">
        <f>CLEAN(IFERROR(VLOOKUP($D30,Interventions!$E$1:$K$371,7,0),""))</f>
        <v>FunOpp_15:ActAre_162</v>
      </c>
      <c r="O30" s="30" t="str">
        <f>CLEAN(IF(D30="","",CONCATENATE(Modules!$B$8,PAAR!N30,R30)))</f>
        <v>Geography_82/FundingOpportunity_15/FunOpp_15:ActAre_1622</v>
      </c>
      <c r="P30" s="71" t="str">
        <f>IFERROR(INDEX('Dropdown Data'!$D$33:$D$35,MATCH(A30,'Dropdown Data'!$B$33:$B$35,0)),IFERROR(INDEX('Dropdown Data'!$D$33:$D$35,MATCH(A30,'Dropdown Data'!$C$33:$C$35,0)),A30))</f>
        <v>High</v>
      </c>
      <c r="Q30" s="71">
        <f>IFERROR(INDEX('Dropdown Data'!$D$33:$D$36,MATCH(J30,'Dropdown Data'!$B$33:$B$36,0)),IFERROR(INDEX('Dropdown Data'!$D$33:$D$36,MATCH(J30,'Dropdown Data'!$C$33:$C$36,0)),J30))</f>
        <v>0</v>
      </c>
      <c r="R30" s="10">
        <v>2</v>
      </c>
      <c r="S30" s="10" t="b">
        <f t="shared" ref="S30:S93" si="0">IF(AND($B$17&gt;0,NOT(ISBLANK(G30)),(OR(ISBLANK(J30),ISBLANK(L30)))),TRUE,FALSE)</f>
        <v>1</v>
      </c>
      <c r="T30" s="10">
        <f t="shared" ref="T30:T93" si="1">COUNTBLANK(A30:M30)</f>
        <v>5</v>
      </c>
      <c r="U30" s="10" t="str">
        <f>IFERROR(VLOOKUP(B30,Modules!$E$11:$K$29,7,0),IFERROR(VLOOKUP(B30,Modules!$F$11:$K$29,6,0),VLOOKUP(B30,Modules!$G$11:$K$29,5,0)))</f>
        <v>MCI-00662</v>
      </c>
      <c r="V30" s="10">
        <f>MATCH(U30,Interventions!C:C,0)</f>
        <v>73</v>
      </c>
      <c r="W30" s="10">
        <f>MATCH(U30,Interventions!C:C,1)</f>
        <v>78</v>
      </c>
    </row>
    <row r="31" spans="1:23" ht="84" x14ac:dyDescent="0.35">
      <c r="A31" s="30" t="s">
        <v>814</v>
      </c>
      <c r="B31" s="69" t="s">
        <v>1090</v>
      </c>
      <c r="C31" s="68" t="str">
        <f>IFERROR(VLOOKUP(B31,Modules!C:D,2,0),"")</f>
        <v>MCI-00652</v>
      </c>
      <c r="D31" s="69" t="s">
        <v>1319</v>
      </c>
      <c r="E31" s="67" t="str">
        <f>IFERROR(VLOOKUP($D31,Interventions!E:F,2,0),IFERROR(VLOOKUP($D31,Interventions!I:L,4,0),IFERROR(VLOOKUP($D31,Interventions!J:L,3,0),"")))</f>
        <v>MCI-00710</v>
      </c>
      <c r="F31" s="95">
        <v>94500</v>
      </c>
      <c r="G31" s="96">
        <f>IF(IF(Modules!$D$4="EUR",F31*(Modules!$B$5),$F31)=0,"",IF(Modules!$D$4="EUR",F31*(Modules!$B$5),$F31))</f>
        <v>94500</v>
      </c>
      <c r="H31" s="31" t="s">
        <v>1692</v>
      </c>
      <c r="I31" s="31"/>
      <c r="J31" s="30"/>
      <c r="K31" s="30"/>
      <c r="L31" s="97"/>
      <c r="M31" s="30"/>
      <c r="N31" s="30" t="str">
        <f>CLEAN(IFERROR(VLOOKUP($D31,Interventions!$E$1:$K$371,7,0),""))</f>
        <v>FunOpp_15:ActAre_423</v>
      </c>
      <c r="O31" s="30" t="str">
        <f>CLEAN(IF(D31="","",CONCATENATE(Modules!$B$8,PAAR!N31,R31)))</f>
        <v>Geography_82/FundingOpportunity_15/FunOpp_15:ActAre_4233</v>
      </c>
      <c r="P31" s="71" t="str">
        <f>IFERROR(INDEX('Dropdown Data'!$D$33:$D$35,MATCH(A31,'Dropdown Data'!$B$33:$B$35,0)),IFERROR(INDEX('Dropdown Data'!$D$33:$D$35,MATCH(A31,'Dropdown Data'!$C$33:$C$35,0)),A31))</f>
        <v>High</v>
      </c>
      <c r="Q31" s="71">
        <f>IFERROR(INDEX('Dropdown Data'!$D$33:$D$36,MATCH(J31,'Dropdown Data'!$B$33:$B$36,0)),IFERROR(INDEX('Dropdown Data'!$D$33:$D$36,MATCH(J31,'Dropdown Data'!$C$33:$C$36,0)),J31))</f>
        <v>0</v>
      </c>
      <c r="R31" s="10">
        <v>3</v>
      </c>
      <c r="S31" s="10" t="b">
        <f t="shared" si="0"/>
        <v>1</v>
      </c>
      <c r="T31" s="10">
        <f t="shared" si="1"/>
        <v>5</v>
      </c>
      <c r="U31" s="10" t="str">
        <f>IFERROR(VLOOKUP(B31,Modules!$E$11:$K$29,7,0),IFERROR(VLOOKUP(B31,Modules!$F$11:$K$29,6,0),VLOOKUP(B31,Modules!$G$11:$K$29,5,0)))</f>
        <v>MCI-00652</v>
      </c>
      <c r="V31" s="10">
        <f>MATCH(U31,Interventions!C:C,0)</f>
        <v>46</v>
      </c>
      <c r="W31" s="10">
        <f>MATCH(U31,Interventions!C:C,1)</f>
        <v>53</v>
      </c>
    </row>
    <row r="32" spans="1:23" ht="115" customHeight="1" x14ac:dyDescent="0.35">
      <c r="A32" s="30" t="s">
        <v>814</v>
      </c>
      <c r="B32" s="69" t="s">
        <v>603</v>
      </c>
      <c r="C32" s="68" t="str">
        <f>IFERROR(VLOOKUP(B32,Modules!C:D,2,0),"")</f>
        <v>MCI-00648</v>
      </c>
      <c r="D32" s="69" t="s">
        <v>1181</v>
      </c>
      <c r="E32" s="67" t="str">
        <f>IFERROR(VLOOKUP($D32,Interventions!E:F,2,0),IFERROR(VLOOKUP($D32,Interventions!I:L,4,0),IFERROR(VLOOKUP($D32,Interventions!J:L,3,0),"")))</f>
        <v>MCI-00677</v>
      </c>
      <c r="F32" s="95">
        <v>332970</v>
      </c>
      <c r="G32" s="96">
        <f>IF(IF(Modules!$D$4="EUR",F32*(Modules!$B$5),$F32)=0,"",IF(Modules!$D$4="EUR",F32*(Modules!$B$5),$F32))</f>
        <v>332970</v>
      </c>
      <c r="H32" s="31" t="s">
        <v>1700</v>
      </c>
      <c r="I32" s="31"/>
      <c r="J32" s="30"/>
      <c r="K32" s="30"/>
      <c r="L32" s="97"/>
      <c r="M32" s="30"/>
      <c r="N32" s="30" t="str">
        <f>CLEAN(IFERROR(VLOOKUP($D32,Interventions!$E$1:$K$371,7,0),""))</f>
        <v>FunOpp_15:ActAre_458</v>
      </c>
      <c r="O32" s="30" t="str">
        <f>CLEAN(IF(D32="","",CONCATENATE(Modules!$B$8,PAAR!N32,R32)))</f>
        <v>Geography_82/FundingOpportunity_15/FunOpp_15:ActAre_4584</v>
      </c>
      <c r="P32" s="71" t="str">
        <f>IFERROR(INDEX('Dropdown Data'!$D$33:$D$35,MATCH(A32,'Dropdown Data'!$B$33:$B$35,0)),IFERROR(INDEX('Dropdown Data'!$D$33:$D$35,MATCH(A32,'Dropdown Data'!$C$33:$C$35,0)),A32))</f>
        <v>High</v>
      </c>
      <c r="Q32" s="71">
        <f>IFERROR(INDEX('Dropdown Data'!$D$33:$D$36,MATCH(J32,'Dropdown Data'!$B$33:$B$36,0)),IFERROR(INDEX('Dropdown Data'!$D$33:$D$36,MATCH(J32,'Dropdown Data'!$C$33:$C$36,0)),J32))</f>
        <v>0</v>
      </c>
      <c r="R32" s="10">
        <v>4</v>
      </c>
      <c r="S32" s="10" t="b">
        <f t="shared" si="0"/>
        <v>1</v>
      </c>
      <c r="T32" s="10">
        <f t="shared" si="1"/>
        <v>5</v>
      </c>
      <c r="U32" s="10" t="str">
        <f>IFERROR(VLOOKUP(B32,Modules!$E$11:$K$29,7,0),IFERROR(VLOOKUP(B32,Modules!$F$11:$K$29,6,0),VLOOKUP(B32,Modules!$G$11:$K$29,5,0)))</f>
        <v>MCI-00648</v>
      </c>
      <c r="V32" s="10">
        <f>MATCH(U32,Interventions!C:C,0)</f>
        <v>13</v>
      </c>
      <c r="W32" s="10">
        <f>MATCH(U32,Interventions!C:C,1)</f>
        <v>31</v>
      </c>
    </row>
    <row r="33" spans="1:23" ht="266" x14ac:dyDescent="0.35">
      <c r="A33" s="30" t="s">
        <v>814</v>
      </c>
      <c r="B33" s="69" t="s">
        <v>1100</v>
      </c>
      <c r="C33" s="68" t="str">
        <f>IFERROR(VLOOKUP(B33,Modules!C:D,2,0),"")</f>
        <v>MCI-00664</v>
      </c>
      <c r="D33" s="69" t="s">
        <v>1488</v>
      </c>
      <c r="E33" s="67" t="str">
        <f>IFERROR(VLOOKUP($D33,Interventions!E:F,2,0),IFERROR(VLOOKUP($D33,Interventions!I:L,4,0),IFERROR(VLOOKUP($D33,Interventions!J:L,3,0),"")))</f>
        <v>MCI-00800</v>
      </c>
      <c r="F33" s="95">
        <f>248032+150000+51000</f>
        <v>449032</v>
      </c>
      <c r="G33" s="96">
        <f>IF(IF(Modules!$D$4="EUR",F33*(Modules!$B$5),$F33)=0,"",IF(Modules!$D$4="EUR",F33*(Modules!$B$5),$F33))</f>
        <v>449032</v>
      </c>
      <c r="H33" s="31" t="s">
        <v>1699</v>
      </c>
      <c r="I33" s="31"/>
      <c r="J33" s="30"/>
      <c r="K33" s="30"/>
      <c r="L33" s="97"/>
      <c r="M33" s="30"/>
      <c r="N33" s="30" t="str">
        <f>CLEAN(IFERROR(VLOOKUP($D33,Interventions!$E$1:$K$371,7,0),""))</f>
        <v>FunOpp_15:ActAre_133</v>
      </c>
      <c r="O33" s="30" t="str">
        <f>CLEAN(IF(D33="","",CONCATENATE(Modules!$B$8,PAAR!N33,R33)))</f>
        <v>Geography_82/FundingOpportunity_15/FunOpp_15:ActAre_1335</v>
      </c>
      <c r="P33" s="71" t="str">
        <f>IFERROR(INDEX('Dropdown Data'!$D$33:$D$35,MATCH(A33,'Dropdown Data'!$B$33:$B$35,0)),IFERROR(INDEX('Dropdown Data'!$D$33:$D$35,MATCH(A33,'Dropdown Data'!$C$33:$C$35,0)),A33))</f>
        <v>High</v>
      </c>
      <c r="Q33" s="71">
        <f>IFERROR(INDEX('Dropdown Data'!$D$33:$D$36,MATCH(J33,'Dropdown Data'!$B$33:$B$36,0)),IFERROR(INDEX('Dropdown Data'!$D$33:$D$36,MATCH(J33,'Dropdown Data'!$C$33:$C$36,0)),J33))</f>
        <v>0</v>
      </c>
      <c r="R33" s="10">
        <v>5</v>
      </c>
      <c r="S33" s="10" t="b">
        <f t="shared" si="0"/>
        <v>1</v>
      </c>
      <c r="T33" s="10">
        <f t="shared" si="1"/>
        <v>5</v>
      </c>
      <c r="U33" s="10" t="str">
        <f>IFERROR(VLOOKUP(B33,Modules!$E$11:$K$29,7,0),IFERROR(VLOOKUP(B33,Modules!$F$11:$K$29,6,0),VLOOKUP(B33,Modules!$G$11:$K$29,5,0)))</f>
        <v>MCI-00664</v>
      </c>
      <c r="V33" s="10">
        <f>MATCH(U33,Interventions!C:C,0)</f>
        <v>86</v>
      </c>
      <c r="W33" s="10">
        <f>MATCH(U33,Interventions!C:C,1)</f>
        <v>88</v>
      </c>
    </row>
    <row r="34" spans="1:23" ht="154" x14ac:dyDescent="0.35">
      <c r="A34" s="30" t="s">
        <v>814</v>
      </c>
      <c r="B34" s="69" t="s">
        <v>221</v>
      </c>
      <c r="C34" s="68" t="str">
        <f>IFERROR(VLOOKUP(B34,Modules!C:D,2,0),"")</f>
        <v>MCI-00651</v>
      </c>
      <c r="D34" s="69" t="s">
        <v>1259</v>
      </c>
      <c r="E34" s="67" t="str">
        <f>IFERROR(VLOOKUP($D34,Interventions!E:F,2,0),IFERROR(VLOOKUP($D34,Interventions!I:L,4,0),IFERROR(VLOOKUP($D34,Interventions!J:L,3,0),"")))</f>
        <v>MCI-00696</v>
      </c>
      <c r="F34" s="95">
        <v>360000</v>
      </c>
      <c r="G34" s="96">
        <f>IF(IF(Modules!$D$4="EUR",F34*(Modules!$B$5),$F34)=0,"",IF(Modules!$D$4="EUR",F34*(Modules!$B$5),$F34))</f>
        <v>360000</v>
      </c>
      <c r="H34" s="31" t="s">
        <v>1698</v>
      </c>
      <c r="I34" s="31"/>
      <c r="J34" s="30"/>
      <c r="K34" s="30"/>
      <c r="L34" s="97"/>
      <c r="M34" s="30"/>
      <c r="N34" s="30" t="str">
        <f>CLEAN(IFERROR(VLOOKUP($D34,Interventions!$E$1:$K$371,7,0),""))</f>
        <v>FunOpp_15:ActAre_422</v>
      </c>
      <c r="O34" s="30" t="str">
        <f>CLEAN(IF(D34="","",CONCATENATE(Modules!$B$8,PAAR!N34,R34)))</f>
        <v>Geography_82/FundingOpportunity_15/FunOpp_15:ActAre_4226</v>
      </c>
      <c r="P34" s="71" t="str">
        <f>IFERROR(INDEX('Dropdown Data'!$D$33:$D$35,MATCH(A34,'Dropdown Data'!$B$33:$B$35,0)),IFERROR(INDEX('Dropdown Data'!$D$33:$D$35,MATCH(A34,'Dropdown Data'!$C$33:$C$35,0)),A34))</f>
        <v>High</v>
      </c>
      <c r="Q34" s="71">
        <f>IFERROR(INDEX('Dropdown Data'!$D$33:$D$36,MATCH(J34,'Dropdown Data'!$B$33:$B$36,0)),IFERROR(INDEX('Dropdown Data'!$D$33:$D$36,MATCH(J34,'Dropdown Data'!$C$33:$C$36,0)),J34))</f>
        <v>0</v>
      </c>
      <c r="R34" s="10">
        <v>6</v>
      </c>
      <c r="S34" s="10" t="b">
        <f t="shared" si="0"/>
        <v>1</v>
      </c>
      <c r="T34" s="10">
        <f t="shared" si="1"/>
        <v>5</v>
      </c>
      <c r="U34" s="10" t="str">
        <f>IFERROR(VLOOKUP(B34,Modules!$E$11:$K$29,7,0),IFERROR(VLOOKUP(B34,Modules!$F$11:$K$29,6,0),VLOOKUP(B34,Modules!$G$11:$K$29,5,0)))</f>
        <v>MCI-00651</v>
      </c>
      <c r="V34" s="10">
        <f>MATCH(U34,Interventions!C:C,0)</f>
        <v>39</v>
      </c>
      <c r="W34" s="10">
        <f>MATCH(U34,Interventions!C:C,1)</f>
        <v>45</v>
      </c>
    </row>
    <row r="35" spans="1:23" ht="210" x14ac:dyDescent="0.35">
      <c r="A35" s="30" t="s">
        <v>814</v>
      </c>
      <c r="B35" s="69" t="s">
        <v>1090</v>
      </c>
      <c r="C35" s="68" t="str">
        <f>IFERROR(VLOOKUP(B35,Modules!C:D,2,0),"")</f>
        <v>MCI-00652</v>
      </c>
      <c r="D35" s="69" t="s">
        <v>1292</v>
      </c>
      <c r="E35" s="67" t="str">
        <f>IFERROR(VLOOKUP($D35,Interventions!E:F,2,0),IFERROR(VLOOKUP($D35,Interventions!I:L,4,0),IFERROR(VLOOKUP($D35,Interventions!J:L,3,0),"")))</f>
        <v>MCI-00703</v>
      </c>
      <c r="F35" s="95">
        <v>100000</v>
      </c>
      <c r="G35" s="96">
        <f>IF(IF(Modules!$D$4="EUR",F35*(Modules!$B$5),$F35)=0,"",IF(Modules!$D$4="EUR",F35*(Modules!$B$5),$F35))</f>
        <v>100000</v>
      </c>
      <c r="H35" s="31" t="s">
        <v>1695</v>
      </c>
      <c r="I35" s="31"/>
      <c r="J35" s="30"/>
      <c r="K35" s="30"/>
      <c r="L35" s="97"/>
      <c r="M35" s="30"/>
      <c r="N35" s="30" t="str">
        <f>CLEAN(IFERROR(VLOOKUP($D35,Interventions!$E$1:$K$371,7,0),""))</f>
        <v>FunOpp_15:ActAre_222</v>
      </c>
      <c r="O35" s="30" t="str">
        <f>CLEAN(IF(D35="","",CONCATENATE(Modules!$B$8,PAAR!N35,R35)))</f>
        <v>Geography_82/FundingOpportunity_15/FunOpp_15:ActAre_2227</v>
      </c>
      <c r="P35" s="71" t="str">
        <f>IFERROR(INDEX('Dropdown Data'!$D$33:$D$35,MATCH(A35,'Dropdown Data'!$B$33:$B$35,0)),IFERROR(INDEX('Dropdown Data'!$D$33:$D$35,MATCH(A35,'Dropdown Data'!$C$33:$C$35,0)),A35))</f>
        <v>High</v>
      </c>
      <c r="Q35" s="71">
        <f>IFERROR(INDEX('Dropdown Data'!$D$33:$D$36,MATCH(J35,'Dropdown Data'!$B$33:$B$36,0)),IFERROR(INDEX('Dropdown Data'!$D$33:$D$36,MATCH(J35,'Dropdown Data'!$C$33:$C$36,0)),J35))</f>
        <v>0</v>
      </c>
      <c r="R35" s="10">
        <v>7</v>
      </c>
      <c r="S35" s="10" t="b">
        <f t="shared" si="0"/>
        <v>1</v>
      </c>
      <c r="T35" s="10">
        <f t="shared" si="1"/>
        <v>5</v>
      </c>
      <c r="U35" s="10" t="str">
        <f>IFERROR(VLOOKUP(B35,Modules!$E$11:$K$29,7,0),IFERROR(VLOOKUP(B35,Modules!$F$11:$K$29,6,0),VLOOKUP(B35,Modules!$G$11:$K$29,5,0)))</f>
        <v>MCI-00652</v>
      </c>
      <c r="V35" s="10">
        <f>MATCH(U35,Interventions!C:C,0)</f>
        <v>46</v>
      </c>
      <c r="W35" s="10">
        <f>MATCH(U35,Interventions!C:C,1)</f>
        <v>53</v>
      </c>
    </row>
    <row r="36" spans="1:23" ht="40" customHeight="1" x14ac:dyDescent="0.35">
      <c r="A36" s="30" t="s">
        <v>814</v>
      </c>
      <c r="B36" s="69" t="s">
        <v>603</v>
      </c>
      <c r="C36" s="68" t="str">
        <f>IFERROR(VLOOKUP(B36,Modules!C:D,2,0),"")</f>
        <v>MCI-00648</v>
      </c>
      <c r="D36" s="69" t="s">
        <v>1143</v>
      </c>
      <c r="E36" s="67" t="str">
        <f>IFERROR(VLOOKUP($D36,Interventions!E:F,2,0),IFERROR(VLOOKUP($D36,Interventions!I:L,4,0),IFERROR(VLOOKUP($D36,Interventions!J:L,3,0),"")))</f>
        <v>MCI-00672</v>
      </c>
      <c r="F36" s="95">
        <v>111600</v>
      </c>
      <c r="G36" s="96">
        <f>IF(IF(Modules!$D$4="EUR",F36*(Modules!$B$5),$F36)=0,"",IF(Modules!$D$4="EUR",F36*(Modules!$B$5),$F36))</f>
        <v>111600</v>
      </c>
      <c r="H36" s="31" t="s">
        <v>1691</v>
      </c>
      <c r="I36" s="31"/>
      <c r="J36" s="30"/>
      <c r="K36" s="30"/>
      <c r="L36" s="97"/>
      <c r="M36" s="30"/>
      <c r="N36" s="30" t="str">
        <f>CLEAN(IFERROR(VLOOKUP($D36,Interventions!$E$1:$K$371,7,0),""))</f>
        <v>FunOpp_15:ActAre_445</v>
      </c>
      <c r="O36" s="30" t="str">
        <f>CLEAN(IF(D36="","",CONCATENATE(Modules!$B$8,PAAR!N36,R36)))</f>
        <v>Geography_82/FundingOpportunity_15/FunOpp_15:ActAre_4458</v>
      </c>
      <c r="P36" s="71" t="str">
        <f>IFERROR(INDEX('Dropdown Data'!$D$33:$D$35,MATCH(A36,'Dropdown Data'!$B$33:$B$35,0)),IFERROR(INDEX('Dropdown Data'!$D$33:$D$35,MATCH(A36,'Dropdown Data'!$C$33:$C$35,0)),A36))</f>
        <v>High</v>
      </c>
      <c r="Q36" s="71">
        <f>IFERROR(INDEX('Dropdown Data'!$D$33:$D$36,MATCH(J36,'Dropdown Data'!$B$33:$B$36,0)),IFERROR(INDEX('Dropdown Data'!$D$33:$D$36,MATCH(J36,'Dropdown Data'!$C$33:$C$36,0)),J36))</f>
        <v>0</v>
      </c>
      <c r="R36" s="10">
        <v>8</v>
      </c>
      <c r="S36" s="10" t="b">
        <f t="shared" si="0"/>
        <v>1</v>
      </c>
      <c r="T36" s="10">
        <f t="shared" si="1"/>
        <v>5</v>
      </c>
      <c r="U36" s="10" t="str">
        <f>IFERROR(VLOOKUP(B36,Modules!$E$11:$K$29,7,0),IFERROR(VLOOKUP(B36,Modules!$F$11:$K$29,6,0),VLOOKUP(B36,Modules!$G$11:$K$29,5,0)))</f>
        <v>MCI-00648</v>
      </c>
      <c r="V36" s="10">
        <f>MATCH(U36,Interventions!C:C,0)</f>
        <v>13</v>
      </c>
      <c r="W36" s="10">
        <f>MATCH(U36,Interventions!C:C,1)</f>
        <v>31</v>
      </c>
    </row>
    <row r="37" spans="1:23" ht="40" customHeight="1" x14ac:dyDescent="0.35">
      <c r="A37" s="30"/>
      <c r="B37" s="69"/>
      <c r="C37" s="68" t="str">
        <f>IFERROR(VLOOKUP(B37,Modules!C:D,2,0),"")</f>
        <v/>
      </c>
      <c r="D37" s="69"/>
      <c r="E37" s="67" t="str">
        <f>IFERROR(VLOOKUP($D37,Interventions!E:F,2,0),IFERROR(VLOOKUP($D37,Interventions!I:L,4,0),IFERROR(VLOOKUP($D37,Interventions!J:L,3,0),"")))</f>
        <v/>
      </c>
      <c r="F37" s="95"/>
      <c r="G37" s="96" t="str">
        <f>IF(IF(Modules!$D$4="EUR",F37*(Modules!$B$5),$F37)=0,"",IF(Modules!$D$4="EUR",F37*(Modules!$B$5),$F37))</f>
        <v/>
      </c>
      <c r="H37" s="31"/>
      <c r="I37" s="31"/>
      <c r="J37" s="30"/>
      <c r="K37" s="30"/>
      <c r="L37" s="97"/>
      <c r="M37" s="30"/>
      <c r="N37" s="30" t="str">
        <f>CLEAN(IFERROR(VLOOKUP($D37,Interventions!$E$1:$K$371,7,0),""))</f>
        <v/>
      </c>
      <c r="O37" s="30" t="str">
        <f>CLEAN(IF(D37="","",CONCATENATE(Modules!$B$8,PAAR!N37,R37)))</f>
        <v/>
      </c>
      <c r="P37" s="71">
        <f>IFERROR(INDEX('Dropdown Data'!$D$33:$D$35,MATCH(A37,'Dropdown Data'!$B$33:$B$35,0)),IFERROR(INDEX('Dropdown Data'!$D$33:$D$35,MATCH(A37,'Dropdown Data'!$C$33:$C$35,0)),A37))</f>
        <v>0</v>
      </c>
      <c r="Q37" s="71">
        <f>IFERROR(INDEX('Dropdown Data'!$D$33:$D$36,MATCH(J37,'Dropdown Data'!$B$33:$B$36,0)),IFERROR(INDEX('Dropdown Data'!$D$33:$D$36,MATCH(J37,'Dropdown Data'!$C$33:$C$36,0)),J37))</f>
        <v>0</v>
      </c>
      <c r="R37" s="10">
        <v>9</v>
      </c>
      <c r="S37" s="10" t="b">
        <f t="shared" si="0"/>
        <v>1</v>
      </c>
      <c r="T37" s="10">
        <f t="shared" si="1"/>
        <v>13</v>
      </c>
      <c r="U37" s="10" t="e">
        <f>IFERROR(VLOOKUP(B37,Modules!$E$11:$K$29,7,0),IFERROR(VLOOKUP(B37,Modules!$F$11:$K$29,6,0),VLOOKUP(B37,Modules!$G$11:$K$29,5,0)))</f>
        <v>#N/A</v>
      </c>
      <c r="V37" s="10" t="e">
        <f>MATCH(U37,Interventions!C:C,0)</f>
        <v>#N/A</v>
      </c>
      <c r="W37" s="10" t="e">
        <f>MATCH(U37,Interventions!C:C,1)</f>
        <v>#N/A</v>
      </c>
    </row>
    <row r="38" spans="1:23" ht="40" customHeight="1" x14ac:dyDescent="0.35">
      <c r="A38" s="30"/>
      <c r="B38" s="69"/>
      <c r="C38" s="68" t="str">
        <f>IFERROR(VLOOKUP(B38,Modules!C:D,2,0),"")</f>
        <v/>
      </c>
      <c r="D38" s="69"/>
      <c r="E38" s="67" t="str">
        <f>IFERROR(VLOOKUP($D38,Interventions!E:F,2,0),IFERROR(VLOOKUP($D38,Interventions!I:L,4,0),IFERROR(VLOOKUP($D38,Interventions!J:L,3,0),"")))</f>
        <v/>
      </c>
      <c r="F38" s="95"/>
      <c r="G38" s="96" t="str">
        <f>IF(IF(Modules!$D$4="EUR",F38*(Modules!$B$5),$F38)=0,"",IF(Modules!$D$4="EUR",F38*(Modules!$B$5),$F38))</f>
        <v/>
      </c>
      <c r="H38" s="31"/>
      <c r="I38" s="31"/>
      <c r="J38" s="30"/>
      <c r="K38" s="30"/>
      <c r="L38" s="97"/>
      <c r="M38" s="30"/>
      <c r="N38" s="30" t="str">
        <f>CLEAN(IFERROR(VLOOKUP($D38,Interventions!$E$1:$K$371,7,0),""))</f>
        <v/>
      </c>
      <c r="O38" s="30" t="str">
        <f>CLEAN(IF(D38="","",CONCATENATE(Modules!$B$8,PAAR!N38,R38)))</f>
        <v/>
      </c>
      <c r="P38" s="71">
        <f>IFERROR(INDEX('Dropdown Data'!$D$33:$D$35,MATCH(A38,'Dropdown Data'!$B$33:$B$35,0)),IFERROR(INDEX('Dropdown Data'!$D$33:$D$35,MATCH(A38,'Dropdown Data'!$C$33:$C$35,0)),A38))</f>
        <v>0</v>
      </c>
      <c r="Q38" s="71">
        <f>IFERROR(INDEX('Dropdown Data'!$D$33:$D$36,MATCH(J38,'Dropdown Data'!$B$33:$B$36,0)),IFERROR(INDEX('Dropdown Data'!$D$33:$D$36,MATCH(J38,'Dropdown Data'!$C$33:$C$36,0)),J38))</f>
        <v>0</v>
      </c>
      <c r="R38" s="10">
        <v>10</v>
      </c>
      <c r="S38" s="10" t="b">
        <f t="shared" si="0"/>
        <v>1</v>
      </c>
      <c r="T38" s="10">
        <f t="shared" si="1"/>
        <v>13</v>
      </c>
      <c r="U38" s="10" t="e">
        <f>IFERROR(VLOOKUP(B38,Modules!$E$11:$K$29,7,0),IFERROR(VLOOKUP(B38,Modules!$F$11:$K$29,6,0),VLOOKUP(B38,Modules!$G$11:$K$29,5,0)))</f>
        <v>#N/A</v>
      </c>
      <c r="V38" s="10" t="e">
        <f>MATCH(U38,Interventions!C:C,0)</f>
        <v>#N/A</v>
      </c>
      <c r="W38" s="10" t="e">
        <f>MATCH(U38,Interventions!C:C,1)</f>
        <v>#N/A</v>
      </c>
    </row>
    <row r="39" spans="1:23" ht="40" customHeight="1" x14ac:dyDescent="0.35">
      <c r="A39" s="30"/>
      <c r="B39" s="69"/>
      <c r="C39" s="68" t="str">
        <f>IFERROR(VLOOKUP(B39,Modules!C:D,2,0),"")</f>
        <v/>
      </c>
      <c r="D39" s="69"/>
      <c r="E39" s="67" t="str">
        <f>IFERROR(VLOOKUP($D39,Interventions!E:F,2,0),IFERROR(VLOOKUP($D39,Interventions!I:L,4,0),IFERROR(VLOOKUP($D39,Interventions!J:L,3,0),"")))</f>
        <v/>
      </c>
      <c r="F39" s="95"/>
      <c r="G39" s="96" t="str">
        <f>IF(IF(Modules!$D$4="EUR",F39*(Modules!$B$5),$F39)=0,"",IF(Modules!$D$4="EUR",F39*(Modules!$B$5),$F39))</f>
        <v/>
      </c>
      <c r="H39" s="31"/>
      <c r="I39" s="31"/>
      <c r="J39" s="30"/>
      <c r="K39" s="30"/>
      <c r="L39" s="97"/>
      <c r="M39" s="30"/>
      <c r="N39" s="30" t="str">
        <f>CLEAN(IFERROR(VLOOKUP($D39,Interventions!$E$1:$K$371,7,0),""))</f>
        <v/>
      </c>
      <c r="O39" s="30" t="str">
        <f>CLEAN(IF(D39="","",CONCATENATE(Modules!$B$8,PAAR!N39,R39)))</f>
        <v/>
      </c>
      <c r="P39" s="71">
        <f>IFERROR(INDEX('Dropdown Data'!$D$33:$D$35,MATCH(A39,'Dropdown Data'!$B$33:$B$35,0)),IFERROR(INDEX('Dropdown Data'!$D$33:$D$35,MATCH(A39,'Dropdown Data'!$C$33:$C$35,0)),A39))</f>
        <v>0</v>
      </c>
      <c r="Q39" s="71">
        <f>IFERROR(INDEX('Dropdown Data'!$D$33:$D$36,MATCH(J39,'Dropdown Data'!$B$33:$B$36,0)),IFERROR(INDEX('Dropdown Data'!$D$33:$D$36,MATCH(J39,'Dropdown Data'!$C$33:$C$36,0)),J39))</f>
        <v>0</v>
      </c>
      <c r="R39" s="10">
        <v>11</v>
      </c>
      <c r="S39" s="10" t="b">
        <f t="shared" si="0"/>
        <v>1</v>
      </c>
      <c r="T39" s="10">
        <f t="shared" si="1"/>
        <v>13</v>
      </c>
      <c r="U39" s="10" t="e">
        <f>IFERROR(VLOOKUP(B39,Modules!$E$11:$K$29,7,0),IFERROR(VLOOKUP(B39,Modules!$F$11:$K$29,6,0),VLOOKUP(B39,Modules!$G$11:$K$29,5,0)))</f>
        <v>#N/A</v>
      </c>
      <c r="V39" s="10" t="e">
        <f>MATCH(U39,Interventions!C:C,0)</f>
        <v>#N/A</v>
      </c>
      <c r="W39" s="10" t="e">
        <f>MATCH(U39,Interventions!C:C,1)</f>
        <v>#N/A</v>
      </c>
    </row>
    <row r="40" spans="1:23" ht="40" customHeight="1" x14ac:dyDescent="0.35">
      <c r="A40" s="30"/>
      <c r="B40" s="69"/>
      <c r="C40" s="68" t="str">
        <f>IFERROR(VLOOKUP(B40,Modules!C:D,2,0),"")</f>
        <v/>
      </c>
      <c r="D40" s="69"/>
      <c r="E40" s="67" t="str">
        <f>IFERROR(VLOOKUP($D40,Interventions!E:F,2,0),IFERROR(VLOOKUP($D40,Interventions!I:L,4,0),IFERROR(VLOOKUP($D40,Interventions!J:L,3,0),"")))</f>
        <v/>
      </c>
      <c r="F40" s="95"/>
      <c r="G40" s="96" t="str">
        <f>IF(IF(Modules!$D$4="EUR",F40*(Modules!$B$5),$F40)=0,"",IF(Modules!$D$4="EUR",F40*(Modules!$B$5),$F40))</f>
        <v/>
      </c>
      <c r="H40" s="31"/>
      <c r="I40" s="31"/>
      <c r="J40" s="30"/>
      <c r="K40" s="30"/>
      <c r="L40" s="97"/>
      <c r="M40" s="30"/>
      <c r="N40" s="30" t="str">
        <f>CLEAN(IFERROR(VLOOKUP($D40,Interventions!$E$1:$K$371,7,0),""))</f>
        <v/>
      </c>
      <c r="O40" s="30" t="str">
        <f>CLEAN(IF(D40="","",CONCATENATE(Modules!$B$8,PAAR!N40,R40)))</f>
        <v/>
      </c>
      <c r="P40" s="71">
        <f>IFERROR(INDEX('Dropdown Data'!$D$33:$D$35,MATCH(A40,'Dropdown Data'!$B$33:$B$35,0)),IFERROR(INDEX('Dropdown Data'!$D$33:$D$35,MATCH(A40,'Dropdown Data'!$C$33:$C$35,0)),A40))</f>
        <v>0</v>
      </c>
      <c r="Q40" s="71">
        <f>IFERROR(INDEX('Dropdown Data'!$D$33:$D$36,MATCH(J40,'Dropdown Data'!$B$33:$B$36,0)),IFERROR(INDEX('Dropdown Data'!$D$33:$D$36,MATCH(J40,'Dropdown Data'!$C$33:$C$36,0)),J40))</f>
        <v>0</v>
      </c>
      <c r="R40" s="10">
        <v>12</v>
      </c>
      <c r="S40" s="10" t="b">
        <f t="shared" si="0"/>
        <v>1</v>
      </c>
      <c r="T40" s="10">
        <f t="shared" si="1"/>
        <v>13</v>
      </c>
      <c r="U40" s="10" t="e">
        <f>IFERROR(VLOOKUP(B40,Modules!$E$11:$K$29,7,0),IFERROR(VLOOKUP(B40,Modules!$F$11:$K$29,6,0),VLOOKUP(B40,Modules!$G$11:$K$29,5,0)))</f>
        <v>#N/A</v>
      </c>
      <c r="V40" s="10" t="e">
        <f>MATCH(U40,Interventions!C:C,0)</f>
        <v>#N/A</v>
      </c>
      <c r="W40" s="10" t="e">
        <f>MATCH(U40,Interventions!C:C,1)</f>
        <v>#N/A</v>
      </c>
    </row>
    <row r="41" spans="1:23" ht="40" customHeight="1" x14ac:dyDescent="0.35">
      <c r="A41" s="30"/>
      <c r="B41" s="69"/>
      <c r="C41" s="70" t="str">
        <f>IFERROR(VLOOKUP(B41,Modules!C:D,2,0),"")</f>
        <v/>
      </c>
      <c r="D41" s="69"/>
      <c r="E41" s="67" t="str">
        <f>IFERROR(VLOOKUP($D41,Interventions!E:F,2,0),IFERROR(VLOOKUP($D41,Interventions!I:L,4,0),IFERROR(VLOOKUP($D41,Interventions!J:L,3,0),"")))</f>
        <v/>
      </c>
      <c r="F41" s="95"/>
      <c r="G41" s="96" t="str">
        <f>IF(IF(Modules!$D$4="EUR",F41*(Modules!$B$5),$F41)=0,"",IF(Modules!$D$4="EUR",F41*(Modules!$B$5),$F41))</f>
        <v/>
      </c>
      <c r="H41" s="31"/>
      <c r="I41" s="31"/>
      <c r="J41" s="30"/>
      <c r="K41" s="30"/>
      <c r="L41" s="97"/>
      <c r="M41" s="30"/>
      <c r="N41" s="30" t="str">
        <f>CLEAN(IFERROR(VLOOKUP($D41,Interventions!$E$1:$K$371,7,0),""))</f>
        <v/>
      </c>
      <c r="O41" s="30" t="str">
        <f>CLEAN(IF(D41="","",CONCATENATE(Modules!$B$8,PAAR!N41,R41)))</f>
        <v/>
      </c>
      <c r="P41" s="71">
        <f>IFERROR(INDEX('Dropdown Data'!$D$33:$D$35,MATCH(A41,'Dropdown Data'!$B$33:$B$35,0)),IFERROR(INDEX('Dropdown Data'!$D$33:$D$35,MATCH(A41,'Dropdown Data'!$C$33:$C$35,0)),A41))</f>
        <v>0</v>
      </c>
      <c r="Q41" s="71">
        <f>IFERROR(INDEX('Dropdown Data'!$D$33:$D$36,MATCH(J41,'Dropdown Data'!$B$33:$B$36,0)),IFERROR(INDEX('Dropdown Data'!$D$33:$D$36,MATCH(J41,'Dropdown Data'!$C$33:$C$36,0)),J41))</f>
        <v>0</v>
      </c>
      <c r="R41" s="10">
        <v>13</v>
      </c>
      <c r="S41" s="10" t="b">
        <f t="shared" si="0"/>
        <v>1</v>
      </c>
      <c r="T41" s="10">
        <f t="shared" si="1"/>
        <v>13</v>
      </c>
      <c r="U41" s="10" t="e">
        <f>IFERROR(VLOOKUP(B41,Modules!$E$11:$K$29,7,0),IFERROR(VLOOKUP(B41,Modules!$F$11:$K$29,6,0),VLOOKUP(B41,Modules!$G$11:$K$29,5,0)))</f>
        <v>#N/A</v>
      </c>
      <c r="V41" s="10" t="e">
        <f>MATCH(U41,Interventions!C:C,0)</f>
        <v>#N/A</v>
      </c>
      <c r="W41" s="10" t="e">
        <f>MATCH(U41,Interventions!C:C,1)</f>
        <v>#N/A</v>
      </c>
    </row>
    <row r="42" spans="1:23" ht="40" customHeight="1" x14ac:dyDescent="0.35">
      <c r="A42" s="30"/>
      <c r="B42" s="69"/>
      <c r="C42" s="70" t="str">
        <f>IFERROR(VLOOKUP(B42,Modules!C:D,2,0),"")</f>
        <v/>
      </c>
      <c r="D42" s="69"/>
      <c r="E42" s="67" t="str">
        <f>IFERROR(VLOOKUP($D42,Interventions!E:F,2,0),IFERROR(VLOOKUP($D42,Interventions!I:L,4,0),IFERROR(VLOOKUP($D42,Interventions!J:L,3,0),"")))</f>
        <v/>
      </c>
      <c r="F42" s="95"/>
      <c r="G42" s="96" t="str">
        <f>IF(IF(Modules!$D$4="EUR",F42*(Modules!$B$5),$F42)=0,"",IF(Modules!$D$4="EUR",F42*(Modules!$B$5),$F42))</f>
        <v/>
      </c>
      <c r="H42" s="31"/>
      <c r="I42" s="31"/>
      <c r="J42" s="30"/>
      <c r="K42" s="30"/>
      <c r="L42" s="97"/>
      <c r="M42" s="30"/>
      <c r="N42" s="30" t="str">
        <f>CLEAN(IFERROR(VLOOKUP($D42,Interventions!$E$1:$K$371,7,0),""))</f>
        <v/>
      </c>
      <c r="O42" s="30" t="str">
        <f>CLEAN(IF(D42="","",CONCATENATE(Modules!$B$8,PAAR!N42,R42)))</f>
        <v/>
      </c>
      <c r="P42" s="71">
        <f>IFERROR(INDEX('Dropdown Data'!$D$33:$D$35,MATCH(A42,'Dropdown Data'!$B$33:$B$35,0)),IFERROR(INDEX('Dropdown Data'!$D$33:$D$35,MATCH(A42,'Dropdown Data'!$C$33:$C$35,0)),A42))</f>
        <v>0</v>
      </c>
      <c r="Q42" s="71">
        <f>IFERROR(INDEX('Dropdown Data'!$D$33:$D$36,MATCH(J42,'Dropdown Data'!$B$33:$B$36,0)),IFERROR(INDEX('Dropdown Data'!$D$33:$D$36,MATCH(J42,'Dropdown Data'!$C$33:$C$36,0)),J42))</f>
        <v>0</v>
      </c>
      <c r="R42" s="10">
        <v>14</v>
      </c>
      <c r="S42" s="10" t="b">
        <f t="shared" si="0"/>
        <v>1</v>
      </c>
      <c r="T42" s="10">
        <f t="shared" si="1"/>
        <v>13</v>
      </c>
      <c r="U42" s="10" t="e">
        <f>IFERROR(VLOOKUP(B42,Modules!$E$11:$K$29,7,0),IFERROR(VLOOKUP(B42,Modules!$F$11:$K$29,6,0),VLOOKUP(B42,Modules!$G$11:$K$29,5,0)))</f>
        <v>#N/A</v>
      </c>
      <c r="V42" s="10" t="e">
        <f>MATCH(U42,Interventions!C:C,0)</f>
        <v>#N/A</v>
      </c>
      <c r="W42" s="10" t="e">
        <f>MATCH(U42,Interventions!C:C,1)</f>
        <v>#N/A</v>
      </c>
    </row>
    <row r="43" spans="1:23" ht="40" customHeight="1" x14ac:dyDescent="0.35">
      <c r="A43" s="30"/>
      <c r="B43" s="69"/>
      <c r="C43" s="70" t="str">
        <f>IFERROR(VLOOKUP(B43,Modules!C:D,2,0),"")</f>
        <v/>
      </c>
      <c r="D43" s="69"/>
      <c r="E43" s="67" t="str">
        <f>IFERROR(VLOOKUP($D43,Interventions!E:F,2,0),IFERROR(VLOOKUP($D43,Interventions!I:L,4,0),IFERROR(VLOOKUP($D43,Interventions!J:L,3,0),"")))</f>
        <v/>
      </c>
      <c r="F43" s="95"/>
      <c r="G43" s="96" t="str">
        <f>IF(IF(Modules!$D$4="EUR",F43*(Modules!$B$5),$F43)=0,"",IF(Modules!$D$4="EUR",F43*(Modules!$B$5),$F43))</f>
        <v/>
      </c>
      <c r="H43" s="31"/>
      <c r="I43" s="31"/>
      <c r="J43" s="30"/>
      <c r="K43" s="30"/>
      <c r="L43" s="97"/>
      <c r="M43" s="30"/>
      <c r="N43" s="30" t="str">
        <f>CLEAN(IFERROR(VLOOKUP($D43,Interventions!$E$1:$K$371,7,0),""))</f>
        <v/>
      </c>
      <c r="O43" s="30" t="str">
        <f>CLEAN(IF(D43="","",CONCATENATE(Modules!$B$8,PAAR!N43,R43)))</f>
        <v/>
      </c>
      <c r="P43" s="71">
        <f>IFERROR(INDEX('Dropdown Data'!$D$33:$D$35,MATCH(A43,'Dropdown Data'!$B$33:$B$35,0)),IFERROR(INDEX('Dropdown Data'!$D$33:$D$35,MATCH(A43,'Dropdown Data'!$C$33:$C$35,0)),A43))</f>
        <v>0</v>
      </c>
      <c r="Q43" s="71">
        <f>IFERROR(INDEX('Dropdown Data'!$D$33:$D$36,MATCH(J43,'Dropdown Data'!$B$33:$B$36,0)),IFERROR(INDEX('Dropdown Data'!$D$33:$D$36,MATCH(J43,'Dropdown Data'!$C$33:$C$36,0)),J43))</f>
        <v>0</v>
      </c>
      <c r="R43" s="10">
        <v>15</v>
      </c>
      <c r="S43" s="10" t="b">
        <f t="shared" si="0"/>
        <v>1</v>
      </c>
      <c r="T43" s="10">
        <f t="shared" si="1"/>
        <v>13</v>
      </c>
      <c r="U43" s="10" t="e">
        <f>IFERROR(VLOOKUP(B43,Modules!$E$11:$K$29,7,0),IFERROR(VLOOKUP(B43,Modules!$F$11:$K$29,6,0),VLOOKUP(B43,Modules!$G$11:$K$29,5,0)))</f>
        <v>#N/A</v>
      </c>
      <c r="V43" s="10" t="e">
        <f>MATCH(U43,Interventions!C:C,0)</f>
        <v>#N/A</v>
      </c>
      <c r="W43" s="10" t="e">
        <f>MATCH(U43,Interventions!C:C,1)</f>
        <v>#N/A</v>
      </c>
    </row>
    <row r="44" spans="1:23" ht="40" customHeight="1" x14ac:dyDescent="0.35">
      <c r="A44" s="30"/>
      <c r="B44" s="69"/>
      <c r="C44" s="70" t="str">
        <f>IFERROR(VLOOKUP(B44,Modules!C:D,2,0),"")</f>
        <v/>
      </c>
      <c r="D44" s="69"/>
      <c r="E44" s="67" t="str">
        <f>IFERROR(VLOOKUP($D44,Interventions!E:F,2,0),IFERROR(VLOOKUP($D44,Interventions!I:L,4,0),IFERROR(VLOOKUP($D44,Interventions!J:L,3,0),"")))</f>
        <v/>
      </c>
      <c r="F44" s="95"/>
      <c r="G44" s="96" t="str">
        <f>IF(IF(Modules!$D$4="EUR",F44*(Modules!$B$5),$F44)=0,"",IF(Modules!$D$4="EUR",F44*(Modules!$B$5),$F44))</f>
        <v/>
      </c>
      <c r="H44" s="31"/>
      <c r="I44" s="31"/>
      <c r="J44" s="30"/>
      <c r="K44" s="30"/>
      <c r="L44" s="97"/>
      <c r="M44" s="30"/>
      <c r="N44" s="30" t="str">
        <f>CLEAN(IFERROR(VLOOKUP($D44,Interventions!$E$1:$K$371,7,0),""))</f>
        <v/>
      </c>
      <c r="O44" s="30" t="str">
        <f>CLEAN(IF(D44="","",CONCATENATE(Modules!$B$8,PAAR!N44,R44)))</f>
        <v/>
      </c>
      <c r="P44" s="71">
        <f>IFERROR(INDEX('Dropdown Data'!$D$33:$D$35,MATCH(A44,'Dropdown Data'!$B$33:$B$35,0)),IFERROR(INDEX('Dropdown Data'!$D$33:$D$35,MATCH(A44,'Dropdown Data'!$C$33:$C$35,0)),A44))</f>
        <v>0</v>
      </c>
      <c r="Q44" s="71">
        <f>IFERROR(INDEX('Dropdown Data'!$D$33:$D$36,MATCH(J44,'Dropdown Data'!$B$33:$B$36,0)),IFERROR(INDEX('Dropdown Data'!$D$33:$D$36,MATCH(J44,'Dropdown Data'!$C$33:$C$36,0)),J44))</f>
        <v>0</v>
      </c>
      <c r="R44" s="10">
        <v>16</v>
      </c>
      <c r="S44" s="10" t="b">
        <f t="shared" si="0"/>
        <v>1</v>
      </c>
      <c r="T44" s="10">
        <f t="shared" si="1"/>
        <v>13</v>
      </c>
      <c r="U44" s="10" t="e">
        <f>IFERROR(VLOOKUP(B44,Modules!$E$11:$K$29,7,0),IFERROR(VLOOKUP(B44,Modules!$F$11:$K$29,6,0),VLOOKUP(B44,Modules!$G$11:$K$29,5,0)))</f>
        <v>#N/A</v>
      </c>
      <c r="V44" s="10" t="e">
        <f>MATCH(U44,Interventions!C:C,0)</f>
        <v>#N/A</v>
      </c>
      <c r="W44" s="10" t="e">
        <f>MATCH(U44,Interventions!C:C,1)</f>
        <v>#N/A</v>
      </c>
    </row>
    <row r="45" spans="1:23" ht="40" customHeight="1" x14ac:dyDescent="0.35">
      <c r="A45" s="30"/>
      <c r="B45" s="69"/>
      <c r="C45" s="70" t="str">
        <f>IFERROR(VLOOKUP(B45,Modules!C:D,2,0),"")</f>
        <v/>
      </c>
      <c r="D45" s="69"/>
      <c r="E45" s="67" t="str">
        <f>IFERROR(VLOOKUP($D45,Interventions!E:F,2,0),IFERROR(VLOOKUP($D45,Interventions!I:L,4,0),IFERROR(VLOOKUP($D45,Interventions!J:L,3,0),"")))</f>
        <v/>
      </c>
      <c r="F45" s="95"/>
      <c r="G45" s="96" t="str">
        <f>IF(IF(Modules!$D$4="EUR",F45*(Modules!$B$5),$F45)=0,"",IF(Modules!$D$4="EUR",F45*(Modules!$B$5),$F45))</f>
        <v/>
      </c>
      <c r="H45" s="31"/>
      <c r="I45" s="31"/>
      <c r="J45" s="30"/>
      <c r="K45" s="30"/>
      <c r="L45" s="97"/>
      <c r="M45" s="30"/>
      <c r="N45" s="30" t="str">
        <f>CLEAN(IFERROR(VLOOKUP($D45,Interventions!$E$1:$K$371,7,0),""))</f>
        <v/>
      </c>
      <c r="O45" s="30" t="str">
        <f>CLEAN(IF(D45="","",CONCATENATE(Modules!$B$8,PAAR!N45,R45)))</f>
        <v/>
      </c>
      <c r="P45" s="71">
        <f>IFERROR(INDEX('Dropdown Data'!$D$33:$D$35,MATCH(A45,'Dropdown Data'!$B$33:$B$35,0)),IFERROR(INDEX('Dropdown Data'!$D$33:$D$35,MATCH(A45,'Dropdown Data'!$C$33:$C$35,0)),A45))</f>
        <v>0</v>
      </c>
      <c r="Q45" s="71">
        <f>IFERROR(INDEX('Dropdown Data'!$D$33:$D$36,MATCH(J45,'Dropdown Data'!$B$33:$B$36,0)),IFERROR(INDEX('Dropdown Data'!$D$33:$D$36,MATCH(J45,'Dropdown Data'!$C$33:$C$36,0)),J45))</f>
        <v>0</v>
      </c>
      <c r="R45" s="10">
        <v>17</v>
      </c>
      <c r="S45" s="10" t="b">
        <f t="shared" si="0"/>
        <v>1</v>
      </c>
      <c r="T45" s="10">
        <f t="shared" si="1"/>
        <v>13</v>
      </c>
      <c r="U45" s="10" t="e">
        <f>IFERROR(VLOOKUP(B45,Modules!$E$11:$K$29,7,0),IFERROR(VLOOKUP(B45,Modules!$F$11:$K$29,6,0),VLOOKUP(B45,Modules!$G$11:$K$29,5,0)))</f>
        <v>#N/A</v>
      </c>
      <c r="V45" s="10" t="e">
        <f>MATCH(U45,Interventions!C:C,0)</f>
        <v>#N/A</v>
      </c>
      <c r="W45" s="10" t="e">
        <f>MATCH(U45,Interventions!C:C,1)</f>
        <v>#N/A</v>
      </c>
    </row>
    <row r="46" spans="1:23" ht="40" customHeight="1" x14ac:dyDescent="0.35">
      <c r="A46" s="30"/>
      <c r="B46" s="69"/>
      <c r="C46" s="70" t="str">
        <f>IFERROR(VLOOKUP(B46,Modules!C:D,2,0),"")</f>
        <v/>
      </c>
      <c r="D46" s="69"/>
      <c r="E46" s="67" t="str">
        <f>IFERROR(VLOOKUP($D46,Interventions!E:F,2,0),IFERROR(VLOOKUP($D46,Interventions!I:L,4,0),IFERROR(VLOOKUP($D46,Interventions!J:L,3,0),"")))</f>
        <v/>
      </c>
      <c r="F46" s="95"/>
      <c r="G46" s="96" t="str">
        <f>IF(IF(Modules!$D$4="EUR",F46*(Modules!$B$5),$F46)=0,"",IF(Modules!$D$4="EUR",F46*(Modules!$B$5),$F46))</f>
        <v/>
      </c>
      <c r="H46" s="31"/>
      <c r="I46" s="31"/>
      <c r="J46" s="30"/>
      <c r="K46" s="30"/>
      <c r="L46" s="97"/>
      <c r="M46" s="30"/>
      <c r="N46" s="30" t="str">
        <f>CLEAN(IFERROR(VLOOKUP($D46,Interventions!$E$1:$K$371,7,0),""))</f>
        <v/>
      </c>
      <c r="O46" s="30" t="str">
        <f>CLEAN(IF(D46="","",CONCATENATE(Modules!$B$8,PAAR!N46,R46)))</f>
        <v/>
      </c>
      <c r="P46" s="71">
        <f>IFERROR(INDEX('Dropdown Data'!$D$33:$D$35,MATCH(A46,'Dropdown Data'!$B$33:$B$35,0)),IFERROR(INDEX('Dropdown Data'!$D$33:$D$35,MATCH(A46,'Dropdown Data'!$C$33:$C$35,0)),A46))</f>
        <v>0</v>
      </c>
      <c r="Q46" s="71">
        <f>IFERROR(INDEX('Dropdown Data'!$D$33:$D$36,MATCH(J46,'Dropdown Data'!$B$33:$B$36,0)),IFERROR(INDEX('Dropdown Data'!$D$33:$D$36,MATCH(J46,'Dropdown Data'!$C$33:$C$36,0)),J46))</f>
        <v>0</v>
      </c>
      <c r="R46" s="10">
        <v>18</v>
      </c>
      <c r="S46" s="10" t="b">
        <f t="shared" si="0"/>
        <v>1</v>
      </c>
      <c r="T46" s="10">
        <f t="shared" si="1"/>
        <v>13</v>
      </c>
      <c r="U46" s="10" t="e">
        <f>IFERROR(VLOOKUP(B46,Modules!$E$11:$K$29,7,0),IFERROR(VLOOKUP(B46,Modules!$F$11:$K$29,6,0),VLOOKUP(B46,Modules!$G$11:$K$29,5,0)))</f>
        <v>#N/A</v>
      </c>
      <c r="V46" s="10" t="e">
        <f>MATCH(U46,Interventions!C:C,0)</f>
        <v>#N/A</v>
      </c>
      <c r="W46" s="10" t="e">
        <f>MATCH(U46,Interventions!C:C,1)</f>
        <v>#N/A</v>
      </c>
    </row>
    <row r="47" spans="1:23" ht="40" customHeight="1" x14ac:dyDescent="0.35">
      <c r="A47" s="30"/>
      <c r="B47" s="69"/>
      <c r="C47" s="70" t="str">
        <f>IFERROR(VLOOKUP(B47,Modules!C:D,2,0),"")</f>
        <v/>
      </c>
      <c r="D47" s="69"/>
      <c r="E47" s="67" t="str">
        <f>IFERROR(VLOOKUP($D47,Interventions!E:F,2,0),IFERROR(VLOOKUP($D47,Interventions!I:L,4,0),IFERROR(VLOOKUP($D47,Interventions!J:L,3,0),"")))</f>
        <v/>
      </c>
      <c r="F47" s="95"/>
      <c r="G47" s="96" t="str">
        <f>IF(IF(Modules!$D$4="EUR",F47*(Modules!$B$5),$F47)=0,"",IF(Modules!$D$4="EUR",F47*(Modules!$B$5),$F47))</f>
        <v/>
      </c>
      <c r="H47" s="31"/>
      <c r="I47" s="31"/>
      <c r="J47" s="30"/>
      <c r="K47" s="30"/>
      <c r="L47" s="97"/>
      <c r="M47" s="30"/>
      <c r="N47" s="30" t="str">
        <f>CLEAN(IFERROR(VLOOKUP($D47,Interventions!$E$1:$K$371,7,0),""))</f>
        <v/>
      </c>
      <c r="O47" s="30" t="str">
        <f>CLEAN(IF(D47="","",CONCATENATE(Modules!$B$8,PAAR!N47,R47)))</f>
        <v/>
      </c>
      <c r="P47" s="71">
        <f>IFERROR(INDEX('Dropdown Data'!$D$33:$D$35,MATCH(A47,'Dropdown Data'!$B$33:$B$35,0)),IFERROR(INDEX('Dropdown Data'!$D$33:$D$35,MATCH(A47,'Dropdown Data'!$C$33:$C$35,0)),A47))</f>
        <v>0</v>
      </c>
      <c r="Q47" s="71">
        <f>IFERROR(INDEX('Dropdown Data'!$D$33:$D$36,MATCH(J47,'Dropdown Data'!$B$33:$B$36,0)),IFERROR(INDEX('Dropdown Data'!$D$33:$D$36,MATCH(J47,'Dropdown Data'!$C$33:$C$36,0)),J47))</f>
        <v>0</v>
      </c>
      <c r="R47" s="10">
        <v>19</v>
      </c>
      <c r="S47" s="10" t="b">
        <f t="shared" si="0"/>
        <v>1</v>
      </c>
      <c r="T47" s="10">
        <f t="shared" si="1"/>
        <v>13</v>
      </c>
      <c r="U47" s="10" t="e">
        <f>IFERROR(VLOOKUP(B47,Modules!$E$11:$K$29,7,0),IFERROR(VLOOKUP(B47,Modules!$F$11:$K$29,6,0),VLOOKUP(B47,Modules!$G$11:$K$29,5,0)))</f>
        <v>#N/A</v>
      </c>
      <c r="V47" s="10" t="e">
        <f>MATCH(U47,Interventions!C:C,0)</f>
        <v>#N/A</v>
      </c>
      <c r="W47" s="10" t="e">
        <f>MATCH(U47,Interventions!C:C,1)</f>
        <v>#N/A</v>
      </c>
    </row>
    <row r="48" spans="1:23" ht="40" customHeight="1" x14ac:dyDescent="0.35">
      <c r="A48" s="30"/>
      <c r="B48" s="69"/>
      <c r="C48" s="70" t="str">
        <f>IFERROR(VLOOKUP(B48,Modules!C:D,2,0),"")</f>
        <v/>
      </c>
      <c r="D48" s="69"/>
      <c r="E48" s="67" t="str">
        <f>IFERROR(VLOOKUP($D48,Interventions!E:F,2,0),IFERROR(VLOOKUP($D48,Interventions!I:L,4,0),IFERROR(VLOOKUP($D48,Interventions!J:L,3,0),"")))</f>
        <v/>
      </c>
      <c r="F48" s="95"/>
      <c r="G48" s="96" t="str">
        <f>IF(IF(Modules!$D$4="EUR",F48*(Modules!$B$5),$F48)=0,"",IF(Modules!$D$4="EUR",F48*(Modules!$B$5),$F48))</f>
        <v/>
      </c>
      <c r="H48" s="31"/>
      <c r="I48" s="31"/>
      <c r="J48" s="30"/>
      <c r="K48" s="30"/>
      <c r="L48" s="97"/>
      <c r="M48" s="30"/>
      <c r="N48" s="30" t="str">
        <f>CLEAN(IFERROR(VLOOKUP($D48,Interventions!$E$1:$K$371,7,0),""))</f>
        <v/>
      </c>
      <c r="O48" s="30" t="str">
        <f>CLEAN(IF(D48="","",CONCATENATE(Modules!$B$8,PAAR!N48,R48)))</f>
        <v/>
      </c>
      <c r="P48" s="71">
        <f>IFERROR(INDEX('Dropdown Data'!$D$33:$D$35,MATCH(A48,'Dropdown Data'!$B$33:$B$35,0)),IFERROR(INDEX('Dropdown Data'!$D$33:$D$35,MATCH(A48,'Dropdown Data'!$C$33:$C$35,0)),A48))</f>
        <v>0</v>
      </c>
      <c r="Q48" s="71">
        <f>IFERROR(INDEX('Dropdown Data'!$D$33:$D$36,MATCH(J48,'Dropdown Data'!$B$33:$B$36,0)),IFERROR(INDEX('Dropdown Data'!$D$33:$D$36,MATCH(J48,'Dropdown Data'!$C$33:$C$36,0)),J48))</f>
        <v>0</v>
      </c>
      <c r="R48" s="10">
        <v>20</v>
      </c>
      <c r="S48" s="10" t="b">
        <f t="shared" si="0"/>
        <v>1</v>
      </c>
      <c r="T48" s="10">
        <f t="shared" si="1"/>
        <v>13</v>
      </c>
      <c r="U48" s="10" t="e">
        <f>IFERROR(VLOOKUP(B48,Modules!$E$11:$K$29,7,0),IFERROR(VLOOKUP(B48,Modules!$F$11:$K$29,6,0),VLOOKUP(B48,Modules!$G$11:$K$29,5,0)))</f>
        <v>#N/A</v>
      </c>
      <c r="V48" s="10" t="e">
        <f>MATCH(U48,Interventions!C:C,0)</f>
        <v>#N/A</v>
      </c>
      <c r="W48" s="10" t="e">
        <f>MATCH(U48,Interventions!C:C,1)</f>
        <v>#N/A</v>
      </c>
    </row>
    <row r="49" spans="1:23" ht="40" customHeight="1" x14ac:dyDescent="0.35">
      <c r="A49" s="30"/>
      <c r="B49" s="69"/>
      <c r="C49" s="70" t="str">
        <f>IFERROR(VLOOKUP(B49,Modules!C:D,2,0),"")</f>
        <v/>
      </c>
      <c r="D49" s="69"/>
      <c r="E49" s="67" t="str">
        <f>IFERROR(VLOOKUP($D49,Interventions!E:F,2,0),IFERROR(VLOOKUP($D49,Interventions!I:L,4,0),IFERROR(VLOOKUP($D49,Interventions!J:L,3,0),"")))</f>
        <v/>
      </c>
      <c r="F49" s="95"/>
      <c r="G49" s="96" t="str">
        <f>IF(IF(Modules!$D$4="EUR",F49*(Modules!$B$5),$F49)=0,"",IF(Modules!$D$4="EUR",F49*(Modules!$B$5),$F49))</f>
        <v/>
      </c>
      <c r="H49" s="31"/>
      <c r="I49" s="31"/>
      <c r="J49" s="30"/>
      <c r="K49" s="30"/>
      <c r="L49" s="97"/>
      <c r="M49" s="30"/>
      <c r="N49" s="30" t="str">
        <f>CLEAN(IFERROR(VLOOKUP($D49,Interventions!$E$1:$K$371,7,0),""))</f>
        <v/>
      </c>
      <c r="O49" s="30" t="str">
        <f>CLEAN(IF(D49="","",CONCATENATE(Modules!$B$8,PAAR!N49,R49)))</f>
        <v/>
      </c>
      <c r="P49" s="71">
        <f>IFERROR(INDEX('Dropdown Data'!$D$33:$D$35,MATCH(A49,'Dropdown Data'!$B$33:$B$35,0)),IFERROR(INDEX('Dropdown Data'!$D$33:$D$35,MATCH(A49,'Dropdown Data'!$C$33:$C$35,0)),A49))</f>
        <v>0</v>
      </c>
      <c r="Q49" s="71">
        <f>IFERROR(INDEX('Dropdown Data'!$D$33:$D$36,MATCH(J49,'Dropdown Data'!$B$33:$B$36,0)),IFERROR(INDEX('Dropdown Data'!$D$33:$D$36,MATCH(J49,'Dropdown Data'!$C$33:$C$36,0)),J49))</f>
        <v>0</v>
      </c>
      <c r="R49" s="10">
        <v>21</v>
      </c>
      <c r="S49" s="10" t="b">
        <f t="shared" si="0"/>
        <v>1</v>
      </c>
      <c r="T49" s="10">
        <f t="shared" si="1"/>
        <v>13</v>
      </c>
      <c r="U49" s="10" t="e">
        <f>IFERROR(VLOOKUP(B49,Modules!$E$11:$K$29,7,0),IFERROR(VLOOKUP(B49,Modules!$F$11:$K$29,6,0),VLOOKUP(B49,Modules!$G$11:$K$29,5,0)))</f>
        <v>#N/A</v>
      </c>
      <c r="V49" s="10" t="e">
        <f>MATCH(U49,Interventions!C:C,0)</f>
        <v>#N/A</v>
      </c>
      <c r="W49" s="10" t="e">
        <f>MATCH(U49,Interventions!C:C,1)</f>
        <v>#N/A</v>
      </c>
    </row>
    <row r="50" spans="1:23" ht="40" customHeight="1" x14ac:dyDescent="0.35">
      <c r="A50" s="30"/>
      <c r="B50" s="69"/>
      <c r="C50" s="70" t="str">
        <f>IFERROR(VLOOKUP(B50,Modules!C:D,2,0),"")</f>
        <v/>
      </c>
      <c r="D50" s="69"/>
      <c r="E50" s="67" t="str">
        <f>IFERROR(VLOOKUP($D50,Interventions!E:F,2,0),IFERROR(VLOOKUP($D50,Interventions!I:L,4,0),IFERROR(VLOOKUP($D50,Interventions!J:L,3,0),"")))</f>
        <v/>
      </c>
      <c r="F50" s="95"/>
      <c r="G50" s="96" t="str">
        <f>IF(IF(Modules!$D$4="EUR",F50*(Modules!$B$5),$F50)=0,"",IF(Modules!$D$4="EUR",F50*(Modules!$B$5),$F50))</f>
        <v/>
      </c>
      <c r="H50" s="31"/>
      <c r="I50" s="31"/>
      <c r="J50" s="30"/>
      <c r="K50" s="30"/>
      <c r="L50" s="97"/>
      <c r="M50" s="30"/>
      <c r="N50" s="30" t="str">
        <f>CLEAN(IFERROR(VLOOKUP($D50,Interventions!$E$1:$K$371,7,0),""))</f>
        <v/>
      </c>
      <c r="O50" s="30" t="str">
        <f>CLEAN(IF(D50="","",CONCATENATE(Modules!$B$8,PAAR!N50,R50)))</f>
        <v/>
      </c>
      <c r="P50" s="71">
        <f>IFERROR(INDEX('Dropdown Data'!$D$33:$D$35,MATCH(A50,'Dropdown Data'!$B$33:$B$35,0)),IFERROR(INDEX('Dropdown Data'!$D$33:$D$35,MATCH(A50,'Dropdown Data'!$C$33:$C$35,0)),A50))</f>
        <v>0</v>
      </c>
      <c r="Q50" s="71">
        <f>IFERROR(INDEX('Dropdown Data'!$D$33:$D$36,MATCH(J50,'Dropdown Data'!$B$33:$B$36,0)),IFERROR(INDEX('Dropdown Data'!$D$33:$D$36,MATCH(J50,'Dropdown Data'!$C$33:$C$36,0)),J50))</f>
        <v>0</v>
      </c>
      <c r="R50" s="10">
        <v>22</v>
      </c>
      <c r="S50" s="10" t="b">
        <f t="shared" si="0"/>
        <v>1</v>
      </c>
      <c r="T50" s="10">
        <f t="shared" si="1"/>
        <v>13</v>
      </c>
      <c r="U50" s="10" t="e">
        <f>IFERROR(VLOOKUP(B50,Modules!$E$11:$K$29,7,0),IFERROR(VLOOKUP(B50,Modules!$F$11:$K$29,6,0),VLOOKUP(B50,Modules!$G$11:$K$29,5,0)))</f>
        <v>#N/A</v>
      </c>
      <c r="V50" s="10" t="e">
        <f>MATCH(U50,Interventions!C:C,0)</f>
        <v>#N/A</v>
      </c>
      <c r="W50" s="10" t="e">
        <f>MATCH(U50,Interventions!C:C,1)</f>
        <v>#N/A</v>
      </c>
    </row>
    <row r="51" spans="1:23" ht="40" customHeight="1" x14ac:dyDescent="0.35">
      <c r="A51" s="30"/>
      <c r="B51" s="69"/>
      <c r="C51" s="70" t="str">
        <f>IFERROR(VLOOKUP(B51,Modules!C:D,2,0),"")</f>
        <v/>
      </c>
      <c r="D51" s="69"/>
      <c r="E51" s="67" t="str">
        <f>IFERROR(VLOOKUP($D51,Interventions!E:F,2,0),IFERROR(VLOOKUP($D51,Interventions!I:L,4,0),IFERROR(VLOOKUP($D51,Interventions!J:L,3,0),"")))</f>
        <v/>
      </c>
      <c r="F51" s="95"/>
      <c r="G51" s="96" t="str">
        <f>IF(IF(Modules!$D$4="EUR",F51*(Modules!$B$5),$F51)=0,"",IF(Modules!$D$4="EUR",F51*(Modules!$B$5),$F51))</f>
        <v/>
      </c>
      <c r="H51" s="31"/>
      <c r="I51" s="31"/>
      <c r="J51" s="30"/>
      <c r="K51" s="30"/>
      <c r="L51" s="97"/>
      <c r="M51" s="30"/>
      <c r="N51" s="30" t="str">
        <f>CLEAN(IFERROR(VLOOKUP($D51,Interventions!$E$1:$K$371,7,0),""))</f>
        <v/>
      </c>
      <c r="O51" s="30" t="str">
        <f>CLEAN(IF(D51="","",CONCATENATE(Modules!$B$8,PAAR!N51,R51)))</f>
        <v/>
      </c>
      <c r="P51" s="71">
        <f>IFERROR(INDEX('Dropdown Data'!$D$33:$D$35,MATCH(A51,'Dropdown Data'!$B$33:$B$35,0)),IFERROR(INDEX('Dropdown Data'!$D$33:$D$35,MATCH(A51,'Dropdown Data'!$C$33:$C$35,0)),A51))</f>
        <v>0</v>
      </c>
      <c r="Q51" s="71">
        <f>IFERROR(INDEX('Dropdown Data'!$D$33:$D$36,MATCH(J51,'Dropdown Data'!$B$33:$B$36,0)),IFERROR(INDEX('Dropdown Data'!$D$33:$D$36,MATCH(J51,'Dropdown Data'!$C$33:$C$36,0)),J51))</f>
        <v>0</v>
      </c>
      <c r="R51" s="10">
        <v>23</v>
      </c>
      <c r="S51" s="10" t="b">
        <f t="shared" si="0"/>
        <v>1</v>
      </c>
      <c r="T51" s="10">
        <f t="shared" si="1"/>
        <v>13</v>
      </c>
      <c r="U51" s="10" t="e">
        <f>IFERROR(VLOOKUP(B51,Modules!$E$11:$K$29,7,0),IFERROR(VLOOKUP(B51,Modules!$F$11:$K$29,6,0),VLOOKUP(B51,Modules!$G$11:$K$29,5,0)))</f>
        <v>#N/A</v>
      </c>
      <c r="V51" s="10" t="e">
        <f>MATCH(U51,Interventions!C:C,0)</f>
        <v>#N/A</v>
      </c>
      <c r="W51" s="10" t="e">
        <f>MATCH(U51,Interventions!C:C,1)</f>
        <v>#N/A</v>
      </c>
    </row>
    <row r="52" spans="1:23" ht="40" customHeight="1" x14ac:dyDescent="0.35">
      <c r="A52" s="30"/>
      <c r="B52" s="69"/>
      <c r="C52" s="70" t="str">
        <f>IFERROR(VLOOKUP(B52,Modules!C:D,2,0),"")</f>
        <v/>
      </c>
      <c r="D52" s="69"/>
      <c r="E52" s="67" t="str">
        <f>IFERROR(VLOOKUP($D52,Interventions!E:F,2,0),IFERROR(VLOOKUP($D52,Interventions!I:L,4,0),IFERROR(VLOOKUP($D52,Interventions!J:L,3,0),"")))</f>
        <v/>
      </c>
      <c r="F52" s="95"/>
      <c r="G52" s="96" t="str">
        <f>IF(IF(Modules!$D$4="EUR",F52*(Modules!$B$5),$F52)=0,"",IF(Modules!$D$4="EUR",F52*(Modules!$B$5),$F52))</f>
        <v/>
      </c>
      <c r="H52" s="31"/>
      <c r="I52" s="31"/>
      <c r="J52" s="30"/>
      <c r="K52" s="30"/>
      <c r="L52" s="97"/>
      <c r="M52" s="30"/>
      <c r="N52" s="30" t="str">
        <f>CLEAN(IFERROR(VLOOKUP($D52,Interventions!$E$1:$K$371,7,0),""))</f>
        <v/>
      </c>
      <c r="O52" s="30" t="str">
        <f>CLEAN(IF(D52="","",CONCATENATE(Modules!$B$8,PAAR!N52,R52)))</f>
        <v/>
      </c>
      <c r="P52" s="71">
        <f>IFERROR(INDEX('Dropdown Data'!$D$33:$D$35,MATCH(A52,'Dropdown Data'!$B$33:$B$35,0)),IFERROR(INDEX('Dropdown Data'!$D$33:$D$35,MATCH(A52,'Dropdown Data'!$C$33:$C$35,0)),A52))</f>
        <v>0</v>
      </c>
      <c r="Q52" s="71">
        <f>IFERROR(INDEX('Dropdown Data'!$D$33:$D$36,MATCH(J52,'Dropdown Data'!$B$33:$B$36,0)),IFERROR(INDEX('Dropdown Data'!$D$33:$D$36,MATCH(J52,'Dropdown Data'!$C$33:$C$36,0)),J52))</f>
        <v>0</v>
      </c>
      <c r="R52" s="10">
        <v>24</v>
      </c>
      <c r="S52" s="10" t="b">
        <f t="shared" si="0"/>
        <v>1</v>
      </c>
      <c r="T52" s="10">
        <f t="shared" si="1"/>
        <v>13</v>
      </c>
      <c r="U52" s="10" t="e">
        <f>IFERROR(VLOOKUP(B52,Modules!$E$11:$K$29,7,0),IFERROR(VLOOKUP(B52,Modules!$F$11:$K$29,6,0),VLOOKUP(B52,Modules!$G$11:$K$29,5,0)))</f>
        <v>#N/A</v>
      </c>
      <c r="V52" s="10" t="e">
        <f>MATCH(U52,Interventions!C:C,0)</f>
        <v>#N/A</v>
      </c>
      <c r="W52" s="10" t="e">
        <f>MATCH(U52,Interventions!C:C,1)</f>
        <v>#N/A</v>
      </c>
    </row>
    <row r="53" spans="1:23" ht="40" customHeight="1" x14ac:dyDescent="0.35">
      <c r="A53" s="30"/>
      <c r="B53" s="69"/>
      <c r="C53" s="70" t="str">
        <f>IFERROR(VLOOKUP(B53,Modules!C:D,2,0),"")</f>
        <v/>
      </c>
      <c r="D53" s="69"/>
      <c r="E53" s="67" t="str">
        <f>IFERROR(VLOOKUP($D53,Interventions!E:F,2,0),IFERROR(VLOOKUP($D53,Interventions!I:L,4,0),IFERROR(VLOOKUP($D53,Interventions!J:L,3,0),"")))</f>
        <v/>
      </c>
      <c r="F53" s="95"/>
      <c r="G53" s="96" t="str">
        <f>IF(IF(Modules!$D$4="EUR",F53*(Modules!$B$5),$F53)=0,"",IF(Modules!$D$4="EUR",F53*(Modules!$B$5),$F53))</f>
        <v/>
      </c>
      <c r="H53" s="31"/>
      <c r="I53" s="31"/>
      <c r="J53" s="30"/>
      <c r="K53" s="30"/>
      <c r="L53" s="97"/>
      <c r="M53" s="30"/>
      <c r="N53" s="30" t="str">
        <f>CLEAN(IFERROR(VLOOKUP($D53,Interventions!$E$1:$K$371,7,0),""))</f>
        <v/>
      </c>
      <c r="O53" s="30" t="str">
        <f>CLEAN(IF(D53="","",CONCATENATE(Modules!$B$8,PAAR!N53,R53)))</f>
        <v/>
      </c>
      <c r="P53" s="71">
        <f>IFERROR(INDEX('Dropdown Data'!$D$33:$D$35,MATCH(A53,'Dropdown Data'!$B$33:$B$35,0)),IFERROR(INDEX('Dropdown Data'!$D$33:$D$35,MATCH(A53,'Dropdown Data'!$C$33:$C$35,0)),A53))</f>
        <v>0</v>
      </c>
      <c r="Q53" s="71">
        <f>IFERROR(INDEX('Dropdown Data'!$D$33:$D$36,MATCH(J53,'Dropdown Data'!$B$33:$B$36,0)),IFERROR(INDEX('Dropdown Data'!$D$33:$D$36,MATCH(J53,'Dropdown Data'!$C$33:$C$36,0)),J53))</f>
        <v>0</v>
      </c>
      <c r="R53" s="10">
        <v>25</v>
      </c>
      <c r="S53" s="10" t="b">
        <f t="shared" si="0"/>
        <v>1</v>
      </c>
      <c r="T53" s="10">
        <f t="shared" si="1"/>
        <v>13</v>
      </c>
      <c r="U53" s="10" t="e">
        <f>IFERROR(VLOOKUP(B53,Modules!$E$11:$K$29,7,0),IFERROR(VLOOKUP(B53,Modules!$F$11:$K$29,6,0),VLOOKUP(B53,Modules!$G$11:$K$29,5,0)))</f>
        <v>#N/A</v>
      </c>
      <c r="V53" s="10" t="e">
        <f>MATCH(U53,Interventions!C:C,0)</f>
        <v>#N/A</v>
      </c>
      <c r="W53" s="10" t="e">
        <f>MATCH(U53,Interventions!C:C,1)</f>
        <v>#N/A</v>
      </c>
    </row>
    <row r="54" spans="1:23" ht="40" customHeight="1" x14ac:dyDescent="0.35">
      <c r="A54" s="30"/>
      <c r="B54" s="69"/>
      <c r="C54" s="70" t="str">
        <f>IFERROR(VLOOKUP(B54,Modules!C:D,2,0),"")</f>
        <v/>
      </c>
      <c r="D54" s="69"/>
      <c r="E54" s="67" t="str">
        <f>IFERROR(VLOOKUP($D54,Interventions!E:F,2,0),IFERROR(VLOOKUP($D54,Interventions!I:L,4,0),IFERROR(VLOOKUP($D54,Interventions!J:L,3,0),"")))</f>
        <v/>
      </c>
      <c r="F54" s="95"/>
      <c r="G54" s="96" t="str">
        <f>IF(IF(Modules!$D$4="EUR",F54*(Modules!$B$5),$F54)=0,"",IF(Modules!$D$4="EUR",F54*(Modules!$B$5),$F54))</f>
        <v/>
      </c>
      <c r="H54" s="31"/>
      <c r="I54" s="31"/>
      <c r="J54" s="30"/>
      <c r="K54" s="30"/>
      <c r="L54" s="97"/>
      <c r="M54" s="30"/>
      <c r="N54" s="30" t="str">
        <f>CLEAN(IFERROR(VLOOKUP($D54,Interventions!$E$1:$K$371,7,0),""))</f>
        <v/>
      </c>
      <c r="O54" s="30" t="str">
        <f>CLEAN(IF(D54="","",CONCATENATE(Modules!$B$8,PAAR!N54,R54)))</f>
        <v/>
      </c>
      <c r="P54" s="71">
        <f>IFERROR(INDEX('Dropdown Data'!$D$33:$D$35,MATCH(A54,'Dropdown Data'!$B$33:$B$35,0)),IFERROR(INDEX('Dropdown Data'!$D$33:$D$35,MATCH(A54,'Dropdown Data'!$C$33:$C$35,0)),A54))</f>
        <v>0</v>
      </c>
      <c r="Q54" s="71">
        <f>IFERROR(INDEX('Dropdown Data'!$D$33:$D$36,MATCH(J54,'Dropdown Data'!$B$33:$B$36,0)),IFERROR(INDEX('Dropdown Data'!$D$33:$D$36,MATCH(J54,'Dropdown Data'!$C$33:$C$36,0)),J54))</f>
        <v>0</v>
      </c>
      <c r="R54" s="10">
        <v>26</v>
      </c>
      <c r="S54" s="10" t="b">
        <f t="shared" si="0"/>
        <v>1</v>
      </c>
      <c r="T54" s="10">
        <f t="shared" si="1"/>
        <v>13</v>
      </c>
      <c r="U54" s="10" t="e">
        <f>IFERROR(VLOOKUP(B54,Modules!$E$11:$K$29,7,0),IFERROR(VLOOKUP(B54,Modules!$F$11:$K$29,6,0),VLOOKUP(B54,Modules!$G$11:$K$29,5,0)))</f>
        <v>#N/A</v>
      </c>
      <c r="V54" s="10" t="e">
        <f>MATCH(U54,Interventions!C:C,0)</f>
        <v>#N/A</v>
      </c>
      <c r="W54" s="10" t="e">
        <f>MATCH(U54,Interventions!C:C,1)</f>
        <v>#N/A</v>
      </c>
    </row>
    <row r="55" spans="1:23" ht="40" customHeight="1" x14ac:dyDescent="0.35">
      <c r="A55" s="30"/>
      <c r="B55" s="69"/>
      <c r="C55" s="70" t="str">
        <f>IFERROR(VLOOKUP(B55,Modules!C:D,2,0),"")</f>
        <v/>
      </c>
      <c r="D55" s="69"/>
      <c r="E55" s="67" t="str">
        <f>IFERROR(VLOOKUP($D55,Interventions!E:F,2,0),IFERROR(VLOOKUP($D55,Interventions!I:L,4,0),IFERROR(VLOOKUP($D55,Interventions!J:L,3,0),"")))</f>
        <v/>
      </c>
      <c r="F55" s="95"/>
      <c r="G55" s="96" t="str">
        <f>IF(IF(Modules!$D$4="EUR",F55*(Modules!$B$5),$F55)=0,"",IF(Modules!$D$4="EUR",F55*(Modules!$B$5),$F55))</f>
        <v/>
      </c>
      <c r="H55" s="31"/>
      <c r="I55" s="31"/>
      <c r="J55" s="30"/>
      <c r="K55" s="30"/>
      <c r="L55" s="97"/>
      <c r="M55" s="30"/>
      <c r="N55" s="30" t="str">
        <f>CLEAN(IFERROR(VLOOKUP($D55,Interventions!$E$1:$K$371,7,0),""))</f>
        <v/>
      </c>
      <c r="O55" s="30" t="str">
        <f>CLEAN(IF(D55="","",CONCATENATE(Modules!$B$8,PAAR!N55,R55)))</f>
        <v/>
      </c>
      <c r="P55" s="71">
        <f>IFERROR(INDEX('Dropdown Data'!$D$33:$D$35,MATCH(A55,'Dropdown Data'!$B$33:$B$35,0)),IFERROR(INDEX('Dropdown Data'!$D$33:$D$35,MATCH(A55,'Dropdown Data'!$C$33:$C$35,0)),A55))</f>
        <v>0</v>
      </c>
      <c r="Q55" s="71">
        <f>IFERROR(INDEX('Dropdown Data'!$D$33:$D$36,MATCH(J55,'Dropdown Data'!$B$33:$B$36,0)),IFERROR(INDEX('Dropdown Data'!$D$33:$D$36,MATCH(J55,'Dropdown Data'!$C$33:$C$36,0)),J55))</f>
        <v>0</v>
      </c>
      <c r="R55" s="10">
        <v>27</v>
      </c>
      <c r="S55" s="10" t="b">
        <f t="shared" si="0"/>
        <v>1</v>
      </c>
      <c r="T55" s="10">
        <f t="shared" si="1"/>
        <v>13</v>
      </c>
      <c r="U55" s="10" t="e">
        <f>IFERROR(VLOOKUP(B55,Modules!$E$11:$K$29,7,0),IFERROR(VLOOKUP(B55,Modules!$F$11:$K$29,6,0),VLOOKUP(B55,Modules!$G$11:$K$29,5,0)))</f>
        <v>#N/A</v>
      </c>
      <c r="V55" s="10" t="e">
        <f>MATCH(U55,Interventions!C:C,0)</f>
        <v>#N/A</v>
      </c>
      <c r="W55" s="10" t="e">
        <f>MATCH(U55,Interventions!C:C,1)</f>
        <v>#N/A</v>
      </c>
    </row>
    <row r="56" spans="1:23" ht="40" customHeight="1" x14ac:dyDescent="0.35">
      <c r="A56" s="30"/>
      <c r="B56" s="69"/>
      <c r="C56" s="70" t="str">
        <f>IFERROR(VLOOKUP(B56,Modules!C:D,2,0),"")</f>
        <v/>
      </c>
      <c r="D56" s="69"/>
      <c r="E56" s="67" t="str">
        <f>IFERROR(VLOOKUP($D56,Interventions!E:F,2,0),IFERROR(VLOOKUP($D56,Interventions!I:L,4,0),IFERROR(VLOOKUP($D56,Interventions!J:L,3,0),"")))</f>
        <v/>
      </c>
      <c r="F56" s="95"/>
      <c r="G56" s="96" t="str">
        <f>IF(IF(Modules!$D$4="EUR",F56*(Modules!$B$5),$F56)=0,"",IF(Modules!$D$4="EUR",F56*(Modules!$B$5),$F56))</f>
        <v/>
      </c>
      <c r="H56" s="31"/>
      <c r="I56" s="31"/>
      <c r="J56" s="30"/>
      <c r="K56" s="30"/>
      <c r="L56" s="97"/>
      <c r="M56" s="30"/>
      <c r="N56" s="30" t="str">
        <f>CLEAN(IFERROR(VLOOKUP($D56,Interventions!$E$1:$K$371,7,0),""))</f>
        <v/>
      </c>
      <c r="O56" s="30" t="str">
        <f>CLEAN(IF(D56="","",CONCATENATE(Modules!$B$8,PAAR!N56,R56)))</f>
        <v/>
      </c>
      <c r="P56" s="71">
        <f>IFERROR(INDEX('Dropdown Data'!$D$33:$D$35,MATCH(A56,'Dropdown Data'!$B$33:$B$35,0)),IFERROR(INDEX('Dropdown Data'!$D$33:$D$35,MATCH(A56,'Dropdown Data'!$C$33:$C$35,0)),A56))</f>
        <v>0</v>
      </c>
      <c r="Q56" s="71">
        <f>IFERROR(INDEX('Dropdown Data'!$D$33:$D$36,MATCH(J56,'Dropdown Data'!$B$33:$B$36,0)),IFERROR(INDEX('Dropdown Data'!$D$33:$D$36,MATCH(J56,'Dropdown Data'!$C$33:$C$36,0)),J56))</f>
        <v>0</v>
      </c>
      <c r="R56" s="10">
        <v>28</v>
      </c>
      <c r="S56" s="10" t="b">
        <f t="shared" si="0"/>
        <v>1</v>
      </c>
      <c r="T56" s="10">
        <f t="shared" si="1"/>
        <v>13</v>
      </c>
      <c r="U56" s="10" t="e">
        <f>IFERROR(VLOOKUP(B56,Modules!$E$11:$K$29,7,0),IFERROR(VLOOKUP(B56,Modules!$F$11:$K$29,6,0),VLOOKUP(B56,Modules!$G$11:$K$29,5,0)))</f>
        <v>#N/A</v>
      </c>
      <c r="V56" s="10" t="e">
        <f>MATCH(U56,Interventions!C:C,0)</f>
        <v>#N/A</v>
      </c>
      <c r="W56" s="10" t="e">
        <f>MATCH(U56,Interventions!C:C,1)</f>
        <v>#N/A</v>
      </c>
    </row>
    <row r="57" spans="1:23" ht="40" customHeight="1" x14ac:dyDescent="0.35">
      <c r="A57" s="30"/>
      <c r="B57" s="69"/>
      <c r="C57" s="70" t="str">
        <f>IFERROR(VLOOKUP(B57,Modules!C:D,2,0),"")</f>
        <v/>
      </c>
      <c r="D57" s="69"/>
      <c r="E57" s="67" t="str">
        <f>IFERROR(VLOOKUP($D57,Interventions!E:F,2,0),IFERROR(VLOOKUP($D57,Interventions!I:L,4,0),IFERROR(VLOOKUP($D57,Interventions!J:L,3,0),"")))</f>
        <v/>
      </c>
      <c r="F57" s="95"/>
      <c r="G57" s="96" t="str">
        <f>IF(IF(Modules!$D$4="EUR",F57*(Modules!$B$5),$F57)=0,"",IF(Modules!$D$4="EUR",F57*(Modules!$B$5),$F57))</f>
        <v/>
      </c>
      <c r="H57" s="31"/>
      <c r="I57" s="31"/>
      <c r="J57" s="30"/>
      <c r="K57" s="30"/>
      <c r="L57" s="97"/>
      <c r="M57" s="30"/>
      <c r="N57" s="30" t="str">
        <f>CLEAN(IFERROR(VLOOKUP($D57,Interventions!$E$1:$K$371,7,0),""))</f>
        <v/>
      </c>
      <c r="O57" s="30" t="str">
        <f>CLEAN(IF(D57="","",CONCATENATE(Modules!$B$8,PAAR!N57,R57)))</f>
        <v/>
      </c>
      <c r="P57" s="71">
        <f>IFERROR(INDEX('Dropdown Data'!$D$33:$D$35,MATCH(A57,'Dropdown Data'!$B$33:$B$35,0)),IFERROR(INDEX('Dropdown Data'!$D$33:$D$35,MATCH(A57,'Dropdown Data'!$C$33:$C$35,0)),A57))</f>
        <v>0</v>
      </c>
      <c r="Q57" s="71">
        <f>IFERROR(INDEX('Dropdown Data'!$D$33:$D$36,MATCH(J57,'Dropdown Data'!$B$33:$B$36,0)),IFERROR(INDEX('Dropdown Data'!$D$33:$D$36,MATCH(J57,'Dropdown Data'!$C$33:$C$36,0)),J57))</f>
        <v>0</v>
      </c>
      <c r="R57" s="10">
        <v>29</v>
      </c>
      <c r="S57" s="10" t="b">
        <f t="shared" si="0"/>
        <v>1</v>
      </c>
      <c r="T57" s="10">
        <f t="shared" si="1"/>
        <v>13</v>
      </c>
      <c r="U57" s="10" t="e">
        <f>IFERROR(VLOOKUP(B57,Modules!$E$11:$K$29,7,0),IFERROR(VLOOKUP(B57,Modules!$F$11:$K$29,6,0),VLOOKUP(B57,Modules!$G$11:$K$29,5,0)))</f>
        <v>#N/A</v>
      </c>
      <c r="V57" s="10" t="e">
        <f>MATCH(U57,Interventions!C:C,0)</f>
        <v>#N/A</v>
      </c>
      <c r="W57" s="10" t="e">
        <f>MATCH(U57,Interventions!C:C,1)</f>
        <v>#N/A</v>
      </c>
    </row>
    <row r="58" spans="1:23" ht="40" customHeight="1" x14ac:dyDescent="0.35">
      <c r="A58" s="30"/>
      <c r="B58" s="69"/>
      <c r="C58" s="70" t="str">
        <f>IFERROR(VLOOKUP(B58,Modules!C:D,2,0),"")</f>
        <v/>
      </c>
      <c r="D58" s="69"/>
      <c r="E58" s="67" t="str">
        <f>IFERROR(VLOOKUP($D58,Interventions!E:F,2,0),IFERROR(VLOOKUP($D58,Interventions!I:L,4,0),IFERROR(VLOOKUP($D58,Interventions!J:L,3,0),"")))</f>
        <v/>
      </c>
      <c r="F58" s="95"/>
      <c r="G58" s="96" t="str">
        <f>IF(IF(Modules!$D$4="EUR",F58*(Modules!$B$5),$F58)=0,"",IF(Modules!$D$4="EUR",F58*(Modules!$B$5),$F58))</f>
        <v/>
      </c>
      <c r="H58" s="31"/>
      <c r="I58" s="31"/>
      <c r="J58" s="30"/>
      <c r="K58" s="30"/>
      <c r="L58" s="97"/>
      <c r="M58" s="30"/>
      <c r="N58" s="30" t="str">
        <f>CLEAN(IFERROR(VLOOKUP($D58,Interventions!$E$1:$K$371,7,0),""))</f>
        <v/>
      </c>
      <c r="O58" s="30" t="str">
        <f>CLEAN(IF(D58="","",CONCATENATE(Modules!$B$8,PAAR!N58,R58)))</f>
        <v/>
      </c>
      <c r="P58" s="71">
        <f>IFERROR(INDEX('Dropdown Data'!$D$33:$D$35,MATCH(A58,'Dropdown Data'!$B$33:$B$35,0)),IFERROR(INDEX('Dropdown Data'!$D$33:$D$35,MATCH(A58,'Dropdown Data'!$C$33:$C$35,0)),A58))</f>
        <v>0</v>
      </c>
      <c r="Q58" s="71">
        <f>IFERROR(INDEX('Dropdown Data'!$D$33:$D$36,MATCH(J58,'Dropdown Data'!$B$33:$B$36,0)),IFERROR(INDEX('Dropdown Data'!$D$33:$D$36,MATCH(J58,'Dropdown Data'!$C$33:$C$36,0)),J58))</f>
        <v>0</v>
      </c>
      <c r="R58" s="10">
        <v>30</v>
      </c>
      <c r="S58" s="10" t="b">
        <f t="shared" si="0"/>
        <v>1</v>
      </c>
      <c r="T58" s="10">
        <f t="shared" si="1"/>
        <v>13</v>
      </c>
      <c r="U58" s="10" t="e">
        <f>IFERROR(VLOOKUP(B58,Modules!$E$11:$K$29,7,0),IFERROR(VLOOKUP(B58,Modules!$F$11:$K$29,6,0),VLOOKUP(B58,Modules!$G$11:$K$29,5,0)))</f>
        <v>#N/A</v>
      </c>
      <c r="V58" s="10" t="e">
        <f>MATCH(U58,Interventions!C:C,0)</f>
        <v>#N/A</v>
      </c>
      <c r="W58" s="10" t="e">
        <f>MATCH(U58,Interventions!C:C,1)</f>
        <v>#N/A</v>
      </c>
    </row>
    <row r="59" spans="1:23" ht="40" customHeight="1" x14ac:dyDescent="0.35">
      <c r="A59" s="30"/>
      <c r="B59" s="69"/>
      <c r="C59" s="70" t="str">
        <f>IFERROR(VLOOKUP(B59,Modules!C:D,2,0),"")</f>
        <v/>
      </c>
      <c r="D59" s="69"/>
      <c r="E59" s="67" t="str">
        <f>IFERROR(VLOOKUP($D59,Interventions!E:F,2,0),IFERROR(VLOOKUP($D59,Interventions!I:L,4,0),IFERROR(VLOOKUP($D59,Interventions!J:L,3,0),"")))</f>
        <v/>
      </c>
      <c r="F59" s="95"/>
      <c r="G59" s="96" t="str">
        <f>IF(IF(Modules!$D$4="EUR",F59*(Modules!$B$5),$F59)=0,"",IF(Modules!$D$4="EUR",F59*(Modules!$B$5),$F59))</f>
        <v/>
      </c>
      <c r="H59" s="31"/>
      <c r="I59" s="31"/>
      <c r="J59" s="30"/>
      <c r="K59" s="30"/>
      <c r="L59" s="97"/>
      <c r="M59" s="30"/>
      <c r="N59" s="30" t="str">
        <f>CLEAN(IFERROR(VLOOKUP($D59,Interventions!$E$1:$K$371,7,0),""))</f>
        <v/>
      </c>
      <c r="O59" s="30" t="str">
        <f>CLEAN(IF(D59="","",CONCATENATE(Modules!$B$8,PAAR!N59,R59)))</f>
        <v/>
      </c>
      <c r="P59" s="71">
        <f>IFERROR(INDEX('Dropdown Data'!$D$33:$D$35,MATCH(A59,'Dropdown Data'!$B$33:$B$35,0)),IFERROR(INDEX('Dropdown Data'!$D$33:$D$35,MATCH(A59,'Dropdown Data'!$C$33:$C$35,0)),A59))</f>
        <v>0</v>
      </c>
      <c r="Q59" s="71">
        <f>IFERROR(INDEX('Dropdown Data'!$D$33:$D$36,MATCH(J59,'Dropdown Data'!$B$33:$B$36,0)),IFERROR(INDEX('Dropdown Data'!$D$33:$D$36,MATCH(J59,'Dropdown Data'!$C$33:$C$36,0)),J59))</f>
        <v>0</v>
      </c>
      <c r="R59" s="10">
        <v>31</v>
      </c>
      <c r="S59" s="10" t="b">
        <f t="shared" si="0"/>
        <v>1</v>
      </c>
      <c r="T59" s="10">
        <f t="shared" si="1"/>
        <v>13</v>
      </c>
      <c r="U59" s="10" t="e">
        <f>IFERROR(VLOOKUP(B59,Modules!$E$11:$K$29,7,0),IFERROR(VLOOKUP(B59,Modules!$F$11:$K$29,6,0),VLOOKUP(B59,Modules!$G$11:$K$29,5,0)))</f>
        <v>#N/A</v>
      </c>
      <c r="V59" s="10" t="e">
        <f>MATCH(U59,Interventions!C:C,0)</f>
        <v>#N/A</v>
      </c>
      <c r="W59" s="10" t="e">
        <f>MATCH(U59,Interventions!C:C,1)</f>
        <v>#N/A</v>
      </c>
    </row>
    <row r="60" spans="1:23" ht="40" customHeight="1" x14ac:dyDescent="0.35">
      <c r="A60" s="30"/>
      <c r="B60" s="69"/>
      <c r="C60" s="70" t="str">
        <f>IFERROR(VLOOKUP(B60,Modules!C:D,2,0),"")</f>
        <v/>
      </c>
      <c r="D60" s="69"/>
      <c r="E60" s="67" t="str">
        <f>IFERROR(VLOOKUP($D60,Interventions!E:F,2,0),IFERROR(VLOOKUP($D60,Interventions!I:L,4,0),IFERROR(VLOOKUP($D60,Interventions!J:L,3,0),"")))</f>
        <v/>
      </c>
      <c r="F60" s="95"/>
      <c r="G60" s="96" t="str">
        <f>IF(IF(Modules!$D$4="EUR",F60*(Modules!$B$5),$F60)=0,"",IF(Modules!$D$4="EUR",F60*(Modules!$B$5),$F60))</f>
        <v/>
      </c>
      <c r="H60" s="31"/>
      <c r="I60" s="31"/>
      <c r="J60" s="30"/>
      <c r="K60" s="30"/>
      <c r="L60" s="97"/>
      <c r="M60" s="30"/>
      <c r="N60" s="30" t="str">
        <f>CLEAN(IFERROR(VLOOKUP($D60,Interventions!$E$1:$K$371,7,0),""))</f>
        <v/>
      </c>
      <c r="O60" s="30" t="str">
        <f>CLEAN(IF(D60="","",CONCATENATE(Modules!$B$8,PAAR!N60,R60)))</f>
        <v/>
      </c>
      <c r="P60" s="71">
        <f>IFERROR(INDEX('Dropdown Data'!$D$33:$D$35,MATCH(A60,'Dropdown Data'!$B$33:$B$35,0)),IFERROR(INDEX('Dropdown Data'!$D$33:$D$35,MATCH(A60,'Dropdown Data'!$C$33:$C$35,0)),A60))</f>
        <v>0</v>
      </c>
      <c r="Q60" s="71">
        <f>IFERROR(INDEX('Dropdown Data'!$D$33:$D$36,MATCH(J60,'Dropdown Data'!$B$33:$B$36,0)),IFERROR(INDEX('Dropdown Data'!$D$33:$D$36,MATCH(J60,'Dropdown Data'!$C$33:$C$36,0)),J60))</f>
        <v>0</v>
      </c>
      <c r="R60" s="10">
        <v>32</v>
      </c>
      <c r="S60" s="10" t="b">
        <f t="shared" si="0"/>
        <v>1</v>
      </c>
      <c r="T60" s="10">
        <f t="shared" si="1"/>
        <v>13</v>
      </c>
      <c r="U60" s="10" t="e">
        <f>IFERROR(VLOOKUP(B60,Modules!$E$11:$K$29,7,0),IFERROR(VLOOKUP(B60,Modules!$F$11:$K$29,6,0),VLOOKUP(B60,Modules!$G$11:$K$29,5,0)))</f>
        <v>#N/A</v>
      </c>
      <c r="V60" s="10" t="e">
        <f>MATCH(U60,Interventions!C:C,0)</f>
        <v>#N/A</v>
      </c>
      <c r="W60" s="10" t="e">
        <f>MATCH(U60,Interventions!C:C,1)</f>
        <v>#N/A</v>
      </c>
    </row>
    <row r="61" spans="1:23" ht="40" customHeight="1" x14ac:dyDescent="0.35">
      <c r="A61" s="30"/>
      <c r="B61" s="69"/>
      <c r="C61" s="70" t="str">
        <f>IFERROR(VLOOKUP(B61,Modules!C:D,2,0),"")</f>
        <v/>
      </c>
      <c r="D61" s="69"/>
      <c r="E61" s="67" t="str">
        <f>IFERROR(VLOOKUP($D61,Interventions!E:F,2,0),IFERROR(VLOOKUP($D61,Interventions!I:L,4,0),IFERROR(VLOOKUP($D61,Interventions!J:L,3,0),"")))</f>
        <v/>
      </c>
      <c r="F61" s="95"/>
      <c r="G61" s="96" t="str">
        <f>IF(IF(Modules!$D$4="EUR",F61*(Modules!$B$5),$F61)=0,"",IF(Modules!$D$4="EUR",F61*(Modules!$B$5),$F61))</f>
        <v/>
      </c>
      <c r="H61" s="31"/>
      <c r="I61" s="31"/>
      <c r="J61" s="30"/>
      <c r="K61" s="30"/>
      <c r="L61" s="97"/>
      <c r="M61" s="30"/>
      <c r="N61" s="30" t="str">
        <f>CLEAN(IFERROR(VLOOKUP($D61,Interventions!$E$1:$K$371,7,0),""))</f>
        <v/>
      </c>
      <c r="O61" s="30" t="str">
        <f>CLEAN(IF(D61="","",CONCATENATE(Modules!$B$8,PAAR!N61,R61)))</f>
        <v/>
      </c>
      <c r="P61" s="71">
        <f>IFERROR(INDEX('Dropdown Data'!$D$33:$D$35,MATCH(A61,'Dropdown Data'!$B$33:$B$35,0)),IFERROR(INDEX('Dropdown Data'!$D$33:$D$35,MATCH(A61,'Dropdown Data'!$C$33:$C$35,0)),A61))</f>
        <v>0</v>
      </c>
      <c r="Q61" s="71">
        <f>IFERROR(INDEX('Dropdown Data'!$D$33:$D$36,MATCH(J61,'Dropdown Data'!$B$33:$B$36,0)),IFERROR(INDEX('Dropdown Data'!$D$33:$D$36,MATCH(J61,'Dropdown Data'!$C$33:$C$36,0)),J61))</f>
        <v>0</v>
      </c>
      <c r="R61" s="10">
        <v>33</v>
      </c>
      <c r="S61" s="10" t="b">
        <f t="shared" si="0"/>
        <v>1</v>
      </c>
      <c r="T61" s="10">
        <f t="shared" si="1"/>
        <v>13</v>
      </c>
      <c r="U61" s="10" t="e">
        <f>IFERROR(VLOOKUP(B61,Modules!$E$11:$K$29,7,0),IFERROR(VLOOKUP(B61,Modules!$F$11:$K$29,6,0),VLOOKUP(B61,Modules!$G$11:$K$29,5,0)))</f>
        <v>#N/A</v>
      </c>
      <c r="V61" s="10" t="e">
        <f>MATCH(U61,Interventions!C:C,0)</f>
        <v>#N/A</v>
      </c>
      <c r="W61" s="10" t="e">
        <f>MATCH(U61,Interventions!C:C,1)</f>
        <v>#N/A</v>
      </c>
    </row>
    <row r="62" spans="1:23" ht="40" customHeight="1" x14ac:dyDescent="0.35">
      <c r="A62" s="30"/>
      <c r="B62" s="69"/>
      <c r="C62" s="70" t="str">
        <f>IFERROR(VLOOKUP(B62,Modules!C:D,2,0),"")</f>
        <v/>
      </c>
      <c r="D62" s="69"/>
      <c r="E62" s="67" t="str">
        <f>IFERROR(VLOOKUP($D62,Interventions!E:F,2,0),IFERROR(VLOOKUP($D62,Interventions!I:L,4,0),IFERROR(VLOOKUP($D62,Interventions!J:L,3,0),"")))</f>
        <v/>
      </c>
      <c r="F62" s="95"/>
      <c r="G62" s="96" t="str">
        <f>IF(IF(Modules!$D$4="EUR",F62*(Modules!$B$5),$F62)=0,"",IF(Modules!$D$4="EUR",F62*(Modules!$B$5),$F62))</f>
        <v/>
      </c>
      <c r="H62" s="31"/>
      <c r="I62" s="31"/>
      <c r="J62" s="30"/>
      <c r="K62" s="30"/>
      <c r="L62" s="97"/>
      <c r="M62" s="30"/>
      <c r="N62" s="30" t="str">
        <f>CLEAN(IFERROR(VLOOKUP($D62,Interventions!$E$1:$K$371,7,0),""))</f>
        <v/>
      </c>
      <c r="O62" s="30" t="str">
        <f>CLEAN(IF(D62="","",CONCATENATE(Modules!$B$8,PAAR!N62,R62)))</f>
        <v/>
      </c>
      <c r="P62" s="71">
        <f>IFERROR(INDEX('Dropdown Data'!$D$33:$D$35,MATCH(A62,'Dropdown Data'!$B$33:$B$35,0)),IFERROR(INDEX('Dropdown Data'!$D$33:$D$35,MATCH(A62,'Dropdown Data'!$C$33:$C$35,0)),A62))</f>
        <v>0</v>
      </c>
      <c r="Q62" s="71">
        <f>IFERROR(INDEX('Dropdown Data'!$D$33:$D$36,MATCH(J62,'Dropdown Data'!$B$33:$B$36,0)),IFERROR(INDEX('Dropdown Data'!$D$33:$D$36,MATCH(J62,'Dropdown Data'!$C$33:$C$36,0)),J62))</f>
        <v>0</v>
      </c>
      <c r="R62" s="10">
        <v>34</v>
      </c>
      <c r="S62" s="10" t="b">
        <f t="shared" si="0"/>
        <v>1</v>
      </c>
      <c r="T62" s="10">
        <f t="shared" si="1"/>
        <v>13</v>
      </c>
      <c r="U62" s="10" t="e">
        <f>IFERROR(VLOOKUP(B62,Modules!$E$11:$K$29,7,0),IFERROR(VLOOKUP(B62,Modules!$F$11:$K$29,6,0),VLOOKUP(B62,Modules!$G$11:$K$29,5,0)))</f>
        <v>#N/A</v>
      </c>
      <c r="V62" s="10" t="e">
        <f>MATCH(U62,Interventions!C:C,0)</f>
        <v>#N/A</v>
      </c>
      <c r="W62" s="10" t="e">
        <f>MATCH(U62,Interventions!C:C,1)</f>
        <v>#N/A</v>
      </c>
    </row>
    <row r="63" spans="1:23" ht="40" customHeight="1" x14ac:dyDescent="0.35">
      <c r="A63" s="30"/>
      <c r="B63" s="69"/>
      <c r="C63" s="70" t="str">
        <f>IFERROR(VLOOKUP(B63,Modules!C:D,2,0),"")</f>
        <v/>
      </c>
      <c r="D63" s="69"/>
      <c r="E63" s="67" t="str">
        <f>IFERROR(VLOOKUP($D63,Interventions!E:F,2,0),IFERROR(VLOOKUP($D63,Interventions!I:L,4,0),IFERROR(VLOOKUP($D63,Interventions!J:L,3,0),"")))</f>
        <v/>
      </c>
      <c r="F63" s="95"/>
      <c r="G63" s="96" t="str">
        <f>IF(IF(Modules!$D$4="EUR",F63*(Modules!$B$5),$F63)=0,"",IF(Modules!$D$4="EUR",F63*(Modules!$B$5),$F63))</f>
        <v/>
      </c>
      <c r="H63" s="31"/>
      <c r="I63" s="31"/>
      <c r="J63" s="30"/>
      <c r="K63" s="30"/>
      <c r="L63" s="97"/>
      <c r="M63" s="30"/>
      <c r="N63" s="30" t="str">
        <f>CLEAN(IFERROR(VLOOKUP($D63,Interventions!$E$1:$K$371,7,0),""))</f>
        <v/>
      </c>
      <c r="O63" s="30" t="str">
        <f>CLEAN(IF(D63="","",CONCATENATE(Modules!$B$8,PAAR!N63,R63)))</f>
        <v/>
      </c>
      <c r="P63" s="71">
        <f>IFERROR(INDEX('Dropdown Data'!$D$33:$D$35,MATCH(A63,'Dropdown Data'!$B$33:$B$35,0)),IFERROR(INDEX('Dropdown Data'!$D$33:$D$35,MATCH(A63,'Dropdown Data'!$C$33:$C$35,0)),A63))</f>
        <v>0</v>
      </c>
      <c r="Q63" s="71">
        <f>IFERROR(INDEX('Dropdown Data'!$D$33:$D$36,MATCH(J63,'Dropdown Data'!$B$33:$B$36,0)),IFERROR(INDEX('Dropdown Data'!$D$33:$D$36,MATCH(J63,'Dropdown Data'!$C$33:$C$36,0)),J63))</f>
        <v>0</v>
      </c>
      <c r="R63" s="10">
        <v>35</v>
      </c>
      <c r="S63" s="10" t="b">
        <f t="shared" si="0"/>
        <v>1</v>
      </c>
      <c r="T63" s="10">
        <f t="shared" si="1"/>
        <v>13</v>
      </c>
      <c r="U63" s="10" t="e">
        <f>IFERROR(VLOOKUP(B63,Modules!$E$11:$K$29,7,0),IFERROR(VLOOKUP(B63,Modules!$F$11:$K$29,6,0),VLOOKUP(B63,Modules!$G$11:$K$29,5,0)))</f>
        <v>#N/A</v>
      </c>
      <c r="V63" s="10" t="e">
        <f>MATCH(U63,Interventions!C:C,0)</f>
        <v>#N/A</v>
      </c>
      <c r="W63" s="10" t="e">
        <f>MATCH(U63,Interventions!C:C,1)</f>
        <v>#N/A</v>
      </c>
    </row>
    <row r="64" spans="1:23" ht="40" customHeight="1" x14ac:dyDescent="0.35">
      <c r="A64" s="30"/>
      <c r="B64" s="69"/>
      <c r="C64" s="70" t="str">
        <f>IFERROR(VLOOKUP(B64,Modules!C:D,2,0),"")</f>
        <v/>
      </c>
      <c r="D64" s="69"/>
      <c r="E64" s="67" t="str">
        <f>IFERROR(VLOOKUP($D64,Interventions!E:F,2,0),IFERROR(VLOOKUP($D64,Interventions!I:L,4,0),IFERROR(VLOOKUP($D64,Interventions!J:L,3,0),"")))</f>
        <v/>
      </c>
      <c r="F64" s="95"/>
      <c r="G64" s="96" t="str">
        <f>IF(IF(Modules!$D$4="EUR",F64*(Modules!$B$5),$F64)=0,"",IF(Modules!$D$4="EUR",F64*(Modules!$B$5),$F64))</f>
        <v/>
      </c>
      <c r="H64" s="31"/>
      <c r="I64" s="31"/>
      <c r="J64" s="30"/>
      <c r="K64" s="30"/>
      <c r="L64" s="97"/>
      <c r="M64" s="30"/>
      <c r="N64" s="30" t="str">
        <f>CLEAN(IFERROR(VLOOKUP($D64,Interventions!$E$1:$K$371,7,0),""))</f>
        <v/>
      </c>
      <c r="O64" s="30" t="str">
        <f>CLEAN(IF(D64="","",CONCATENATE(Modules!$B$8,PAAR!N64,R64)))</f>
        <v/>
      </c>
      <c r="P64" s="71">
        <f>IFERROR(INDEX('Dropdown Data'!$D$33:$D$35,MATCH(A64,'Dropdown Data'!$B$33:$B$35,0)),IFERROR(INDEX('Dropdown Data'!$D$33:$D$35,MATCH(A64,'Dropdown Data'!$C$33:$C$35,0)),A64))</f>
        <v>0</v>
      </c>
      <c r="Q64" s="71">
        <f>IFERROR(INDEX('Dropdown Data'!$D$33:$D$36,MATCH(J64,'Dropdown Data'!$B$33:$B$36,0)),IFERROR(INDEX('Dropdown Data'!$D$33:$D$36,MATCH(J64,'Dropdown Data'!$C$33:$C$36,0)),J64))</f>
        <v>0</v>
      </c>
      <c r="R64" s="10">
        <v>36</v>
      </c>
      <c r="S64" s="10" t="b">
        <f t="shared" si="0"/>
        <v>1</v>
      </c>
      <c r="T64" s="10">
        <f t="shared" si="1"/>
        <v>13</v>
      </c>
      <c r="U64" s="10" t="e">
        <f>IFERROR(VLOOKUP(B64,Modules!$E$11:$K$29,7,0),IFERROR(VLOOKUP(B64,Modules!$F$11:$K$29,6,0),VLOOKUP(B64,Modules!$G$11:$K$29,5,0)))</f>
        <v>#N/A</v>
      </c>
      <c r="V64" s="10" t="e">
        <f>MATCH(U64,Interventions!C:C,0)</f>
        <v>#N/A</v>
      </c>
      <c r="W64" s="10" t="e">
        <f>MATCH(U64,Interventions!C:C,1)</f>
        <v>#N/A</v>
      </c>
    </row>
    <row r="65" spans="1:23" ht="40" customHeight="1" x14ac:dyDescent="0.35">
      <c r="A65" s="30"/>
      <c r="B65" s="69"/>
      <c r="C65" s="70" t="str">
        <f>IFERROR(VLOOKUP(B65,Modules!C:D,2,0),"")</f>
        <v/>
      </c>
      <c r="D65" s="69"/>
      <c r="E65" s="67" t="str">
        <f>IFERROR(VLOOKUP($D65,Interventions!E:F,2,0),IFERROR(VLOOKUP($D65,Interventions!I:L,4,0),IFERROR(VLOOKUP($D65,Interventions!J:L,3,0),"")))</f>
        <v/>
      </c>
      <c r="F65" s="95"/>
      <c r="G65" s="96" t="str">
        <f>IF(IF(Modules!$D$4="EUR",F65*(Modules!$B$5),$F65)=0,"",IF(Modules!$D$4="EUR",F65*(Modules!$B$5),$F65))</f>
        <v/>
      </c>
      <c r="H65" s="31"/>
      <c r="I65" s="31"/>
      <c r="J65" s="30"/>
      <c r="K65" s="30"/>
      <c r="L65" s="97"/>
      <c r="M65" s="30"/>
      <c r="N65" s="30" t="str">
        <f>CLEAN(IFERROR(VLOOKUP($D65,Interventions!$E$1:$K$371,7,0),""))</f>
        <v/>
      </c>
      <c r="O65" s="30" t="str">
        <f>CLEAN(IF(D65="","",CONCATENATE(Modules!$B$8,PAAR!N65,R65)))</f>
        <v/>
      </c>
      <c r="P65" s="71">
        <f>IFERROR(INDEX('Dropdown Data'!$D$33:$D$35,MATCH(A65,'Dropdown Data'!$B$33:$B$35,0)),IFERROR(INDEX('Dropdown Data'!$D$33:$D$35,MATCH(A65,'Dropdown Data'!$C$33:$C$35,0)),A65))</f>
        <v>0</v>
      </c>
      <c r="Q65" s="71">
        <f>IFERROR(INDEX('Dropdown Data'!$D$33:$D$36,MATCH(J65,'Dropdown Data'!$B$33:$B$36,0)),IFERROR(INDEX('Dropdown Data'!$D$33:$D$36,MATCH(J65,'Dropdown Data'!$C$33:$C$36,0)),J65))</f>
        <v>0</v>
      </c>
      <c r="R65" s="10">
        <v>37</v>
      </c>
      <c r="S65" s="10" t="b">
        <f t="shared" si="0"/>
        <v>1</v>
      </c>
      <c r="T65" s="10">
        <f t="shared" si="1"/>
        <v>13</v>
      </c>
      <c r="U65" s="10" t="e">
        <f>IFERROR(VLOOKUP(B65,Modules!$E$11:$K$29,7,0),IFERROR(VLOOKUP(B65,Modules!$F$11:$K$29,6,0),VLOOKUP(B65,Modules!$G$11:$K$29,5,0)))</f>
        <v>#N/A</v>
      </c>
      <c r="V65" s="10" t="e">
        <f>MATCH(U65,Interventions!C:C,0)</f>
        <v>#N/A</v>
      </c>
      <c r="W65" s="10" t="e">
        <f>MATCH(U65,Interventions!C:C,1)</f>
        <v>#N/A</v>
      </c>
    </row>
    <row r="66" spans="1:23" ht="40" customHeight="1" x14ac:dyDescent="0.35">
      <c r="A66" s="30"/>
      <c r="B66" s="69"/>
      <c r="C66" s="70" t="str">
        <f>IFERROR(VLOOKUP(B66,Modules!C:D,2,0),"")</f>
        <v/>
      </c>
      <c r="D66" s="69"/>
      <c r="E66" s="67" t="str">
        <f>IFERROR(VLOOKUP($D66,Interventions!E:F,2,0),IFERROR(VLOOKUP($D66,Interventions!I:L,4,0),IFERROR(VLOOKUP($D66,Interventions!J:L,3,0),"")))</f>
        <v/>
      </c>
      <c r="F66" s="95"/>
      <c r="G66" s="96" t="str">
        <f>IF(IF(Modules!$D$4="EUR",F66*(Modules!$B$5),$F66)=0,"",IF(Modules!$D$4="EUR",F66*(Modules!$B$5),$F66))</f>
        <v/>
      </c>
      <c r="H66" s="31"/>
      <c r="I66" s="31"/>
      <c r="J66" s="30"/>
      <c r="K66" s="30"/>
      <c r="L66" s="97"/>
      <c r="M66" s="30"/>
      <c r="N66" s="30" t="str">
        <f>CLEAN(IFERROR(VLOOKUP($D66,Interventions!$E$1:$K$371,7,0),""))</f>
        <v/>
      </c>
      <c r="O66" s="30" t="str">
        <f>CLEAN(IF(D66="","",CONCATENATE(Modules!$B$8,PAAR!N66,R66)))</f>
        <v/>
      </c>
      <c r="P66" s="71">
        <f>IFERROR(INDEX('Dropdown Data'!$D$33:$D$35,MATCH(A66,'Dropdown Data'!$B$33:$B$35,0)),IFERROR(INDEX('Dropdown Data'!$D$33:$D$35,MATCH(A66,'Dropdown Data'!$C$33:$C$35,0)),A66))</f>
        <v>0</v>
      </c>
      <c r="Q66" s="71">
        <f>IFERROR(INDEX('Dropdown Data'!$D$33:$D$36,MATCH(J66,'Dropdown Data'!$B$33:$B$36,0)),IFERROR(INDEX('Dropdown Data'!$D$33:$D$36,MATCH(J66,'Dropdown Data'!$C$33:$C$36,0)),J66))</f>
        <v>0</v>
      </c>
      <c r="R66" s="10">
        <v>38</v>
      </c>
      <c r="S66" s="10" t="b">
        <f t="shared" si="0"/>
        <v>1</v>
      </c>
      <c r="T66" s="10">
        <f t="shared" si="1"/>
        <v>13</v>
      </c>
      <c r="U66" s="10" t="e">
        <f>IFERROR(VLOOKUP(B66,Modules!$E$11:$K$29,7,0),IFERROR(VLOOKUP(B66,Modules!$F$11:$K$29,6,0),VLOOKUP(B66,Modules!$G$11:$K$29,5,0)))</f>
        <v>#N/A</v>
      </c>
      <c r="V66" s="10" t="e">
        <f>MATCH(U66,Interventions!C:C,0)</f>
        <v>#N/A</v>
      </c>
      <c r="W66" s="10" t="e">
        <f>MATCH(U66,Interventions!C:C,1)</f>
        <v>#N/A</v>
      </c>
    </row>
    <row r="67" spans="1:23" ht="40" customHeight="1" x14ac:dyDescent="0.35">
      <c r="A67" s="30"/>
      <c r="B67" s="69"/>
      <c r="C67" s="70" t="str">
        <f>IFERROR(VLOOKUP(B67,Modules!C:D,2,0),"")</f>
        <v/>
      </c>
      <c r="D67" s="69"/>
      <c r="E67" s="67" t="str">
        <f>IFERROR(VLOOKUP($D67,Interventions!E:F,2,0),IFERROR(VLOOKUP($D67,Interventions!I:L,4,0),IFERROR(VLOOKUP($D67,Interventions!J:L,3,0),"")))</f>
        <v/>
      </c>
      <c r="F67" s="95"/>
      <c r="G67" s="96" t="str">
        <f>IF(IF(Modules!$D$4="EUR",F67*(Modules!$B$5),$F67)=0,"",IF(Modules!$D$4="EUR",F67*(Modules!$B$5),$F67))</f>
        <v/>
      </c>
      <c r="H67" s="31"/>
      <c r="I67" s="31"/>
      <c r="J67" s="30"/>
      <c r="K67" s="30"/>
      <c r="L67" s="97"/>
      <c r="M67" s="30"/>
      <c r="N67" s="30" t="str">
        <f>CLEAN(IFERROR(VLOOKUP($D67,Interventions!$E$1:$K$371,7,0),""))</f>
        <v/>
      </c>
      <c r="O67" s="30" t="str">
        <f>CLEAN(IF(D67="","",CONCATENATE(Modules!$B$8,PAAR!N67,R67)))</f>
        <v/>
      </c>
      <c r="P67" s="71">
        <f>IFERROR(INDEX('Dropdown Data'!$D$33:$D$35,MATCH(A67,'Dropdown Data'!$B$33:$B$35,0)),IFERROR(INDEX('Dropdown Data'!$D$33:$D$35,MATCH(A67,'Dropdown Data'!$C$33:$C$35,0)),A67))</f>
        <v>0</v>
      </c>
      <c r="Q67" s="71">
        <f>IFERROR(INDEX('Dropdown Data'!$D$33:$D$36,MATCH(J67,'Dropdown Data'!$B$33:$B$36,0)),IFERROR(INDEX('Dropdown Data'!$D$33:$D$36,MATCH(J67,'Dropdown Data'!$C$33:$C$36,0)),J67))</f>
        <v>0</v>
      </c>
      <c r="R67" s="10">
        <v>39</v>
      </c>
      <c r="S67" s="10" t="b">
        <f t="shared" si="0"/>
        <v>1</v>
      </c>
      <c r="T67" s="10">
        <f t="shared" si="1"/>
        <v>13</v>
      </c>
      <c r="U67" s="10" t="e">
        <f>IFERROR(VLOOKUP(B67,Modules!$E$11:$K$29,7,0),IFERROR(VLOOKUP(B67,Modules!$F$11:$K$29,6,0),VLOOKUP(B67,Modules!$G$11:$K$29,5,0)))</f>
        <v>#N/A</v>
      </c>
      <c r="V67" s="10" t="e">
        <f>MATCH(U67,Interventions!C:C,0)</f>
        <v>#N/A</v>
      </c>
      <c r="W67" s="10" t="e">
        <f>MATCH(U67,Interventions!C:C,1)</f>
        <v>#N/A</v>
      </c>
    </row>
    <row r="68" spans="1:23" ht="40" customHeight="1" x14ac:dyDescent="0.35">
      <c r="A68" s="30"/>
      <c r="B68" s="69"/>
      <c r="C68" s="70" t="str">
        <f>IFERROR(VLOOKUP(B68,Modules!C:D,2,0),"")</f>
        <v/>
      </c>
      <c r="D68" s="69"/>
      <c r="E68" s="67" t="str">
        <f>IFERROR(VLOOKUP($D68,Interventions!E:F,2,0),IFERROR(VLOOKUP($D68,Interventions!I:L,4,0),IFERROR(VLOOKUP($D68,Interventions!J:L,3,0),"")))</f>
        <v/>
      </c>
      <c r="F68" s="95"/>
      <c r="G68" s="96" t="str">
        <f>IF(IF(Modules!$D$4="EUR",F68*(Modules!$B$5),$F68)=0,"",IF(Modules!$D$4="EUR",F68*(Modules!$B$5),$F68))</f>
        <v/>
      </c>
      <c r="H68" s="31"/>
      <c r="I68" s="31"/>
      <c r="J68" s="30"/>
      <c r="K68" s="30"/>
      <c r="L68" s="97"/>
      <c r="M68" s="30"/>
      <c r="N68" s="30" t="str">
        <f>CLEAN(IFERROR(VLOOKUP($D68,Interventions!$E$1:$K$371,7,0),""))</f>
        <v/>
      </c>
      <c r="O68" s="30" t="str">
        <f>CLEAN(IF(D68="","",CONCATENATE(Modules!$B$8,PAAR!N68,R68)))</f>
        <v/>
      </c>
      <c r="P68" s="71">
        <f>IFERROR(INDEX('Dropdown Data'!$D$33:$D$35,MATCH(A68,'Dropdown Data'!$B$33:$B$35,0)),IFERROR(INDEX('Dropdown Data'!$D$33:$D$35,MATCH(A68,'Dropdown Data'!$C$33:$C$35,0)),A68))</f>
        <v>0</v>
      </c>
      <c r="Q68" s="71">
        <f>IFERROR(INDEX('Dropdown Data'!$D$33:$D$36,MATCH(J68,'Dropdown Data'!$B$33:$B$36,0)),IFERROR(INDEX('Dropdown Data'!$D$33:$D$36,MATCH(J68,'Dropdown Data'!$C$33:$C$36,0)),J68))</f>
        <v>0</v>
      </c>
      <c r="R68" s="10">
        <v>40</v>
      </c>
      <c r="S68" s="10" t="b">
        <f t="shared" si="0"/>
        <v>1</v>
      </c>
      <c r="T68" s="10">
        <f t="shared" si="1"/>
        <v>13</v>
      </c>
      <c r="U68" s="10" t="e">
        <f>IFERROR(VLOOKUP(B68,Modules!$E$11:$K$29,7,0),IFERROR(VLOOKUP(B68,Modules!$F$11:$K$29,6,0),VLOOKUP(B68,Modules!$G$11:$K$29,5,0)))</f>
        <v>#N/A</v>
      </c>
      <c r="V68" s="10" t="e">
        <f>MATCH(U68,Interventions!C:C,0)</f>
        <v>#N/A</v>
      </c>
      <c r="W68" s="10" t="e">
        <f>MATCH(U68,Interventions!C:C,1)</f>
        <v>#N/A</v>
      </c>
    </row>
    <row r="69" spans="1:23" ht="40" customHeight="1" x14ac:dyDescent="0.35">
      <c r="A69" s="30"/>
      <c r="B69" s="69"/>
      <c r="C69" s="70" t="str">
        <f>IFERROR(VLOOKUP(B69,Modules!C:D,2,0),"")</f>
        <v/>
      </c>
      <c r="D69" s="69"/>
      <c r="E69" s="67" t="str">
        <f>IFERROR(VLOOKUP($D69,Interventions!E:F,2,0),IFERROR(VLOOKUP($D69,Interventions!I:L,4,0),IFERROR(VLOOKUP($D69,Interventions!J:L,3,0),"")))</f>
        <v/>
      </c>
      <c r="F69" s="95"/>
      <c r="G69" s="96" t="str">
        <f>IF(IF(Modules!$D$4="EUR",F69*(Modules!$B$5),$F69)=0,"",IF(Modules!$D$4="EUR",F69*(Modules!$B$5),$F69))</f>
        <v/>
      </c>
      <c r="H69" s="31"/>
      <c r="I69" s="31"/>
      <c r="J69" s="30"/>
      <c r="K69" s="30"/>
      <c r="L69" s="97"/>
      <c r="M69" s="30"/>
      <c r="N69" s="30" t="str">
        <f>CLEAN(IFERROR(VLOOKUP($D69,Interventions!$E$1:$K$371,7,0),""))</f>
        <v/>
      </c>
      <c r="O69" s="30" t="str">
        <f>CLEAN(IF(D69="","",CONCATENATE(Modules!$B$8,PAAR!N69,R69)))</f>
        <v/>
      </c>
      <c r="P69" s="71">
        <f>IFERROR(INDEX('Dropdown Data'!$D$33:$D$35,MATCH(A69,'Dropdown Data'!$B$33:$B$35,0)),IFERROR(INDEX('Dropdown Data'!$D$33:$D$35,MATCH(A69,'Dropdown Data'!$C$33:$C$35,0)),A69))</f>
        <v>0</v>
      </c>
      <c r="Q69" s="71">
        <f>IFERROR(INDEX('Dropdown Data'!$D$33:$D$36,MATCH(J69,'Dropdown Data'!$B$33:$B$36,0)),IFERROR(INDEX('Dropdown Data'!$D$33:$D$36,MATCH(J69,'Dropdown Data'!$C$33:$C$36,0)),J69))</f>
        <v>0</v>
      </c>
      <c r="R69" s="10">
        <v>41</v>
      </c>
      <c r="S69" s="10" t="b">
        <f t="shared" si="0"/>
        <v>1</v>
      </c>
      <c r="T69" s="10">
        <f t="shared" si="1"/>
        <v>13</v>
      </c>
      <c r="U69" s="10" t="e">
        <f>IFERROR(VLOOKUP(B69,Modules!$E$11:$K$29,7,0),IFERROR(VLOOKUP(B69,Modules!$F$11:$K$29,6,0),VLOOKUP(B69,Modules!$G$11:$K$29,5,0)))</f>
        <v>#N/A</v>
      </c>
      <c r="V69" s="10" t="e">
        <f>MATCH(U69,Interventions!C:C,0)</f>
        <v>#N/A</v>
      </c>
      <c r="W69" s="10" t="e">
        <f>MATCH(U69,Interventions!C:C,1)</f>
        <v>#N/A</v>
      </c>
    </row>
    <row r="70" spans="1:23" ht="40" customHeight="1" x14ac:dyDescent="0.35">
      <c r="A70" s="30"/>
      <c r="B70" s="69"/>
      <c r="C70" s="70" t="str">
        <f>IFERROR(VLOOKUP(B70,Modules!C:D,2,0),"")</f>
        <v/>
      </c>
      <c r="D70" s="69"/>
      <c r="E70" s="67" t="str">
        <f>IFERROR(VLOOKUP($D70,Interventions!E:F,2,0),IFERROR(VLOOKUP($D70,Interventions!I:L,4,0),IFERROR(VLOOKUP($D70,Interventions!J:L,3,0),"")))</f>
        <v/>
      </c>
      <c r="F70" s="95"/>
      <c r="G70" s="96" t="str">
        <f>IF(IF(Modules!$D$4="EUR",F70*(Modules!$B$5),$F70)=0,"",IF(Modules!$D$4="EUR",F70*(Modules!$B$5),$F70))</f>
        <v/>
      </c>
      <c r="H70" s="31"/>
      <c r="I70" s="31"/>
      <c r="J70" s="30"/>
      <c r="K70" s="30"/>
      <c r="L70" s="97"/>
      <c r="M70" s="30"/>
      <c r="N70" s="30" t="str">
        <f>CLEAN(IFERROR(VLOOKUP($D70,Interventions!$E$1:$K$371,7,0),""))</f>
        <v/>
      </c>
      <c r="O70" s="30" t="str">
        <f>CLEAN(IF(D70="","",CONCATENATE(Modules!$B$8,PAAR!N70,R70)))</f>
        <v/>
      </c>
      <c r="P70" s="71">
        <f>IFERROR(INDEX('Dropdown Data'!$D$33:$D$35,MATCH(A70,'Dropdown Data'!$B$33:$B$35,0)),IFERROR(INDEX('Dropdown Data'!$D$33:$D$35,MATCH(A70,'Dropdown Data'!$C$33:$C$35,0)),A70))</f>
        <v>0</v>
      </c>
      <c r="Q70" s="71">
        <f>IFERROR(INDEX('Dropdown Data'!$D$33:$D$36,MATCH(J70,'Dropdown Data'!$B$33:$B$36,0)),IFERROR(INDEX('Dropdown Data'!$D$33:$D$36,MATCH(J70,'Dropdown Data'!$C$33:$C$36,0)),J70))</f>
        <v>0</v>
      </c>
      <c r="R70" s="10">
        <v>42</v>
      </c>
      <c r="S70" s="10" t="b">
        <f t="shared" si="0"/>
        <v>1</v>
      </c>
      <c r="T70" s="10">
        <f t="shared" si="1"/>
        <v>13</v>
      </c>
      <c r="U70" s="10" t="e">
        <f>IFERROR(VLOOKUP(B70,Modules!$E$11:$K$29,7,0),IFERROR(VLOOKUP(B70,Modules!$F$11:$K$29,6,0),VLOOKUP(B70,Modules!$G$11:$K$29,5,0)))</f>
        <v>#N/A</v>
      </c>
      <c r="V70" s="10" t="e">
        <f>MATCH(U70,Interventions!C:C,0)</f>
        <v>#N/A</v>
      </c>
      <c r="W70" s="10" t="e">
        <f>MATCH(U70,Interventions!C:C,1)</f>
        <v>#N/A</v>
      </c>
    </row>
    <row r="71" spans="1:23" ht="40" customHeight="1" x14ac:dyDescent="0.35">
      <c r="A71" s="30"/>
      <c r="B71" s="69"/>
      <c r="C71" s="70" t="str">
        <f>IFERROR(VLOOKUP(B71,Modules!C:D,2,0),"")</f>
        <v/>
      </c>
      <c r="D71" s="69"/>
      <c r="E71" s="67" t="str">
        <f>IFERROR(VLOOKUP($D71,Interventions!E:F,2,0),IFERROR(VLOOKUP($D71,Interventions!I:L,4,0),IFERROR(VLOOKUP($D71,Interventions!J:L,3,0),"")))</f>
        <v/>
      </c>
      <c r="F71" s="95"/>
      <c r="G71" s="96" t="str">
        <f>IF(IF(Modules!$D$4="EUR",F71*(Modules!$B$5),$F71)=0,"",IF(Modules!$D$4="EUR",F71*(Modules!$B$5),$F71))</f>
        <v/>
      </c>
      <c r="H71" s="31"/>
      <c r="I71" s="31"/>
      <c r="J71" s="30"/>
      <c r="K71" s="30"/>
      <c r="L71" s="97"/>
      <c r="M71" s="30"/>
      <c r="N71" s="30" t="str">
        <f>CLEAN(IFERROR(VLOOKUP($D71,Interventions!$E$1:$K$371,7,0),""))</f>
        <v/>
      </c>
      <c r="O71" s="30" t="str">
        <f>CLEAN(IF(D71="","",CONCATENATE(Modules!$B$8,PAAR!N71,R71)))</f>
        <v/>
      </c>
      <c r="P71" s="71">
        <f>IFERROR(INDEX('Dropdown Data'!$D$33:$D$35,MATCH(A71,'Dropdown Data'!$B$33:$B$35,0)),IFERROR(INDEX('Dropdown Data'!$D$33:$D$35,MATCH(A71,'Dropdown Data'!$C$33:$C$35,0)),A71))</f>
        <v>0</v>
      </c>
      <c r="Q71" s="71">
        <f>IFERROR(INDEX('Dropdown Data'!$D$33:$D$36,MATCH(J71,'Dropdown Data'!$B$33:$B$36,0)),IFERROR(INDEX('Dropdown Data'!$D$33:$D$36,MATCH(J71,'Dropdown Data'!$C$33:$C$36,0)),J71))</f>
        <v>0</v>
      </c>
      <c r="R71" s="10">
        <v>43</v>
      </c>
      <c r="S71" s="10" t="b">
        <f t="shared" si="0"/>
        <v>1</v>
      </c>
      <c r="T71" s="10">
        <f t="shared" si="1"/>
        <v>13</v>
      </c>
      <c r="U71" s="10" t="e">
        <f>IFERROR(VLOOKUP(B71,Modules!$E$11:$K$29,7,0),IFERROR(VLOOKUP(B71,Modules!$F$11:$K$29,6,0),VLOOKUP(B71,Modules!$G$11:$K$29,5,0)))</f>
        <v>#N/A</v>
      </c>
      <c r="V71" s="10" t="e">
        <f>MATCH(U71,Interventions!C:C,0)</f>
        <v>#N/A</v>
      </c>
      <c r="W71" s="10" t="e">
        <f>MATCH(U71,Interventions!C:C,1)</f>
        <v>#N/A</v>
      </c>
    </row>
    <row r="72" spans="1:23" ht="40" customHeight="1" x14ac:dyDescent="0.35">
      <c r="A72" s="30"/>
      <c r="B72" s="69"/>
      <c r="C72" s="70" t="str">
        <f>IFERROR(VLOOKUP(B72,Modules!C:D,2,0),"")</f>
        <v/>
      </c>
      <c r="D72" s="69"/>
      <c r="E72" s="67" t="str">
        <f>IFERROR(VLOOKUP($D72,Interventions!E:F,2,0),IFERROR(VLOOKUP($D72,Interventions!I:L,4,0),IFERROR(VLOOKUP($D72,Interventions!J:L,3,0),"")))</f>
        <v/>
      </c>
      <c r="F72" s="95"/>
      <c r="G72" s="96" t="str">
        <f>IF(IF(Modules!$D$4="EUR",F72*(Modules!$B$5),$F72)=0,"",IF(Modules!$D$4="EUR",F72*(Modules!$B$5),$F72))</f>
        <v/>
      </c>
      <c r="H72" s="31"/>
      <c r="I72" s="31"/>
      <c r="J72" s="30"/>
      <c r="K72" s="30"/>
      <c r="L72" s="97"/>
      <c r="M72" s="30"/>
      <c r="N72" s="30" t="str">
        <f>CLEAN(IFERROR(VLOOKUP($D72,Interventions!$E$1:$K$371,7,0),""))</f>
        <v/>
      </c>
      <c r="O72" s="30" t="str">
        <f>CLEAN(IF(D72="","",CONCATENATE(Modules!$B$8,PAAR!N72,R72)))</f>
        <v/>
      </c>
      <c r="P72" s="71">
        <f>IFERROR(INDEX('Dropdown Data'!$D$33:$D$35,MATCH(A72,'Dropdown Data'!$B$33:$B$35,0)),IFERROR(INDEX('Dropdown Data'!$D$33:$D$35,MATCH(A72,'Dropdown Data'!$C$33:$C$35,0)),A72))</f>
        <v>0</v>
      </c>
      <c r="Q72" s="71">
        <f>IFERROR(INDEX('Dropdown Data'!$D$33:$D$36,MATCH(J72,'Dropdown Data'!$B$33:$B$36,0)),IFERROR(INDEX('Dropdown Data'!$D$33:$D$36,MATCH(J72,'Dropdown Data'!$C$33:$C$36,0)),J72))</f>
        <v>0</v>
      </c>
      <c r="R72" s="10">
        <v>44</v>
      </c>
      <c r="S72" s="10" t="b">
        <f t="shared" si="0"/>
        <v>1</v>
      </c>
      <c r="T72" s="10">
        <f t="shared" si="1"/>
        <v>13</v>
      </c>
      <c r="U72" s="10" t="e">
        <f>IFERROR(VLOOKUP(B72,Modules!$E$11:$K$29,7,0),IFERROR(VLOOKUP(B72,Modules!$F$11:$K$29,6,0),VLOOKUP(B72,Modules!$G$11:$K$29,5,0)))</f>
        <v>#N/A</v>
      </c>
      <c r="V72" s="10" t="e">
        <f>MATCH(U72,Interventions!C:C,0)</f>
        <v>#N/A</v>
      </c>
      <c r="W72" s="10" t="e">
        <f>MATCH(U72,Interventions!C:C,1)</f>
        <v>#N/A</v>
      </c>
    </row>
    <row r="73" spans="1:23" ht="40" customHeight="1" x14ac:dyDescent="0.35">
      <c r="A73" s="30"/>
      <c r="B73" s="69"/>
      <c r="C73" s="70" t="str">
        <f>IFERROR(VLOOKUP(B73,Modules!C:D,2,0),"")</f>
        <v/>
      </c>
      <c r="D73" s="69"/>
      <c r="E73" s="67" t="str">
        <f>IFERROR(VLOOKUP($D73,Interventions!E:F,2,0),IFERROR(VLOOKUP($D73,Interventions!I:L,4,0),IFERROR(VLOOKUP($D73,Interventions!J:L,3,0),"")))</f>
        <v/>
      </c>
      <c r="F73" s="95"/>
      <c r="G73" s="96" t="str">
        <f>IF(IF(Modules!$D$4="EUR",F73*(Modules!$B$5),$F73)=0,"",IF(Modules!$D$4="EUR",F73*(Modules!$B$5),$F73))</f>
        <v/>
      </c>
      <c r="H73" s="31"/>
      <c r="I73" s="31"/>
      <c r="J73" s="30"/>
      <c r="K73" s="30"/>
      <c r="L73" s="97"/>
      <c r="M73" s="30"/>
      <c r="N73" s="30" t="str">
        <f>CLEAN(IFERROR(VLOOKUP($D73,Interventions!$E$1:$K$371,7,0),""))</f>
        <v/>
      </c>
      <c r="O73" s="30" t="str">
        <f>CLEAN(IF(D73="","",CONCATENATE(Modules!$B$8,PAAR!N73,R73)))</f>
        <v/>
      </c>
      <c r="P73" s="71">
        <f>IFERROR(INDEX('Dropdown Data'!$D$33:$D$35,MATCH(A73,'Dropdown Data'!$B$33:$B$35,0)),IFERROR(INDEX('Dropdown Data'!$D$33:$D$35,MATCH(A73,'Dropdown Data'!$C$33:$C$35,0)),A73))</f>
        <v>0</v>
      </c>
      <c r="Q73" s="71">
        <f>IFERROR(INDEX('Dropdown Data'!$D$33:$D$36,MATCH(J73,'Dropdown Data'!$B$33:$B$36,0)),IFERROR(INDEX('Dropdown Data'!$D$33:$D$36,MATCH(J73,'Dropdown Data'!$C$33:$C$36,0)),J73))</f>
        <v>0</v>
      </c>
      <c r="R73" s="10">
        <v>45</v>
      </c>
      <c r="S73" s="10" t="b">
        <f t="shared" si="0"/>
        <v>1</v>
      </c>
      <c r="T73" s="10">
        <f t="shared" si="1"/>
        <v>13</v>
      </c>
      <c r="U73" s="10" t="e">
        <f>IFERROR(VLOOKUP(B73,Modules!$E$11:$K$29,7,0),IFERROR(VLOOKUP(B73,Modules!$F$11:$K$29,6,0),VLOOKUP(B73,Modules!$G$11:$K$29,5,0)))</f>
        <v>#N/A</v>
      </c>
      <c r="V73" s="10" t="e">
        <f>MATCH(U73,Interventions!C:C,0)</f>
        <v>#N/A</v>
      </c>
      <c r="W73" s="10" t="e">
        <f>MATCH(U73,Interventions!C:C,1)</f>
        <v>#N/A</v>
      </c>
    </row>
    <row r="74" spans="1:23" ht="40" customHeight="1" x14ac:dyDescent="0.35">
      <c r="A74" s="30"/>
      <c r="B74" s="69"/>
      <c r="C74" s="70" t="str">
        <f>IFERROR(VLOOKUP(B74,Modules!C:D,2,0),"")</f>
        <v/>
      </c>
      <c r="D74" s="69"/>
      <c r="E74" s="67" t="str">
        <f>IFERROR(VLOOKUP($D74,Interventions!E:F,2,0),IFERROR(VLOOKUP($D74,Interventions!I:L,4,0),IFERROR(VLOOKUP($D74,Interventions!J:L,3,0),"")))</f>
        <v/>
      </c>
      <c r="F74" s="95"/>
      <c r="G74" s="96" t="str">
        <f>IF(IF(Modules!$D$4="EUR",F74*(Modules!$B$5),$F74)=0,"",IF(Modules!$D$4="EUR",F74*(Modules!$B$5),$F74))</f>
        <v/>
      </c>
      <c r="H74" s="31"/>
      <c r="I74" s="31"/>
      <c r="J74" s="30"/>
      <c r="K74" s="30"/>
      <c r="L74" s="97"/>
      <c r="M74" s="30"/>
      <c r="N74" s="30" t="str">
        <f>CLEAN(IFERROR(VLOOKUP($D74,Interventions!$E$1:$K$371,7,0),""))</f>
        <v/>
      </c>
      <c r="O74" s="30" t="str">
        <f>CLEAN(IF(D74="","",CONCATENATE(Modules!$B$8,PAAR!N74,R74)))</f>
        <v/>
      </c>
      <c r="P74" s="71">
        <f>IFERROR(INDEX('Dropdown Data'!$D$33:$D$35,MATCH(A74,'Dropdown Data'!$B$33:$B$35,0)),IFERROR(INDEX('Dropdown Data'!$D$33:$D$35,MATCH(A74,'Dropdown Data'!$C$33:$C$35,0)),A74))</f>
        <v>0</v>
      </c>
      <c r="Q74" s="71">
        <f>IFERROR(INDEX('Dropdown Data'!$D$33:$D$36,MATCH(J74,'Dropdown Data'!$B$33:$B$36,0)),IFERROR(INDEX('Dropdown Data'!$D$33:$D$36,MATCH(J74,'Dropdown Data'!$C$33:$C$36,0)),J74))</f>
        <v>0</v>
      </c>
      <c r="R74" s="10">
        <v>46</v>
      </c>
      <c r="S74" s="10" t="b">
        <f t="shared" si="0"/>
        <v>1</v>
      </c>
      <c r="T74" s="10">
        <f t="shared" si="1"/>
        <v>13</v>
      </c>
      <c r="U74" s="10" t="e">
        <f>IFERROR(VLOOKUP(B74,Modules!$E$11:$K$29,7,0),IFERROR(VLOOKUP(B74,Modules!$F$11:$K$29,6,0),VLOOKUP(B74,Modules!$G$11:$K$29,5,0)))</f>
        <v>#N/A</v>
      </c>
      <c r="V74" s="10" t="e">
        <f>MATCH(U74,Interventions!C:C,0)</f>
        <v>#N/A</v>
      </c>
      <c r="W74" s="10" t="e">
        <f>MATCH(U74,Interventions!C:C,1)</f>
        <v>#N/A</v>
      </c>
    </row>
    <row r="75" spans="1:23" ht="40" customHeight="1" x14ac:dyDescent="0.35">
      <c r="A75" s="30"/>
      <c r="B75" s="69"/>
      <c r="C75" s="70" t="str">
        <f>IFERROR(VLOOKUP(B75,Modules!C:D,2,0),"")</f>
        <v/>
      </c>
      <c r="D75" s="69"/>
      <c r="E75" s="67" t="str">
        <f>IFERROR(VLOOKUP($D75,Interventions!E:F,2,0),IFERROR(VLOOKUP($D75,Interventions!I:L,4,0),IFERROR(VLOOKUP($D75,Interventions!J:L,3,0),"")))</f>
        <v/>
      </c>
      <c r="F75" s="95"/>
      <c r="G75" s="96" t="str">
        <f>IF(IF(Modules!$D$4="EUR",F75*(Modules!$B$5),$F75)=0,"",IF(Modules!$D$4="EUR",F75*(Modules!$B$5),$F75))</f>
        <v/>
      </c>
      <c r="H75" s="31"/>
      <c r="I75" s="31"/>
      <c r="J75" s="30"/>
      <c r="K75" s="30"/>
      <c r="L75" s="97"/>
      <c r="M75" s="30"/>
      <c r="N75" s="30" t="str">
        <f>CLEAN(IFERROR(VLOOKUP($D75,Interventions!$E$1:$K$371,7,0),""))</f>
        <v/>
      </c>
      <c r="O75" s="30" t="str">
        <f>CLEAN(IF(D75="","",CONCATENATE(Modules!$B$8,PAAR!N75,R75)))</f>
        <v/>
      </c>
      <c r="P75" s="71">
        <f>IFERROR(INDEX('Dropdown Data'!$D$33:$D$35,MATCH(A75,'Dropdown Data'!$B$33:$B$35,0)),IFERROR(INDEX('Dropdown Data'!$D$33:$D$35,MATCH(A75,'Dropdown Data'!$C$33:$C$35,0)),A75))</f>
        <v>0</v>
      </c>
      <c r="Q75" s="71">
        <f>IFERROR(INDEX('Dropdown Data'!$D$33:$D$36,MATCH(J75,'Dropdown Data'!$B$33:$B$36,0)),IFERROR(INDEX('Dropdown Data'!$D$33:$D$36,MATCH(J75,'Dropdown Data'!$C$33:$C$36,0)),J75))</f>
        <v>0</v>
      </c>
      <c r="R75" s="10">
        <v>47</v>
      </c>
      <c r="S75" s="10" t="b">
        <f t="shared" si="0"/>
        <v>1</v>
      </c>
      <c r="T75" s="10">
        <f t="shared" si="1"/>
        <v>13</v>
      </c>
      <c r="U75" s="10" t="e">
        <f>IFERROR(VLOOKUP(B75,Modules!$E$11:$K$29,7,0),IFERROR(VLOOKUP(B75,Modules!$F$11:$K$29,6,0),VLOOKUP(B75,Modules!$G$11:$K$29,5,0)))</f>
        <v>#N/A</v>
      </c>
      <c r="V75" s="10" t="e">
        <f>MATCH(U75,Interventions!C:C,0)</f>
        <v>#N/A</v>
      </c>
      <c r="W75" s="10" t="e">
        <f>MATCH(U75,Interventions!C:C,1)</f>
        <v>#N/A</v>
      </c>
    </row>
    <row r="76" spans="1:23" ht="40" customHeight="1" x14ac:dyDescent="0.35">
      <c r="A76" s="30"/>
      <c r="B76" s="69"/>
      <c r="C76" s="70" t="str">
        <f>IFERROR(VLOOKUP(B76,Modules!C:D,2,0),"")</f>
        <v/>
      </c>
      <c r="D76" s="69"/>
      <c r="E76" s="67" t="str">
        <f>IFERROR(VLOOKUP($D76,Interventions!E:F,2,0),IFERROR(VLOOKUP($D76,Interventions!I:L,4,0),IFERROR(VLOOKUP($D76,Interventions!J:L,3,0),"")))</f>
        <v/>
      </c>
      <c r="F76" s="95"/>
      <c r="G76" s="96" t="str">
        <f>IF(IF(Modules!$D$4="EUR",F76*(Modules!$B$5),$F76)=0,"",IF(Modules!$D$4="EUR",F76*(Modules!$B$5),$F76))</f>
        <v/>
      </c>
      <c r="H76" s="31"/>
      <c r="I76" s="31"/>
      <c r="J76" s="30"/>
      <c r="K76" s="30"/>
      <c r="L76" s="97"/>
      <c r="M76" s="30"/>
      <c r="N76" s="30" t="str">
        <f>CLEAN(IFERROR(VLOOKUP($D76,Interventions!$E$1:$K$371,7,0),""))</f>
        <v/>
      </c>
      <c r="O76" s="30" t="str">
        <f>CLEAN(IF(D76="","",CONCATENATE(Modules!$B$8,PAAR!N76,R76)))</f>
        <v/>
      </c>
      <c r="P76" s="71">
        <f>IFERROR(INDEX('Dropdown Data'!$D$33:$D$35,MATCH(A76,'Dropdown Data'!$B$33:$B$35,0)),IFERROR(INDEX('Dropdown Data'!$D$33:$D$35,MATCH(A76,'Dropdown Data'!$C$33:$C$35,0)),A76))</f>
        <v>0</v>
      </c>
      <c r="Q76" s="71">
        <f>IFERROR(INDEX('Dropdown Data'!$D$33:$D$36,MATCH(J76,'Dropdown Data'!$B$33:$B$36,0)),IFERROR(INDEX('Dropdown Data'!$D$33:$D$36,MATCH(J76,'Dropdown Data'!$C$33:$C$36,0)),J76))</f>
        <v>0</v>
      </c>
      <c r="R76" s="10">
        <v>48</v>
      </c>
      <c r="S76" s="10" t="b">
        <f t="shared" si="0"/>
        <v>1</v>
      </c>
      <c r="T76" s="10">
        <f t="shared" si="1"/>
        <v>13</v>
      </c>
      <c r="U76" s="10" t="e">
        <f>IFERROR(VLOOKUP(B76,Modules!$E$11:$K$29,7,0),IFERROR(VLOOKUP(B76,Modules!$F$11:$K$29,6,0),VLOOKUP(B76,Modules!$G$11:$K$29,5,0)))</f>
        <v>#N/A</v>
      </c>
      <c r="V76" s="10" t="e">
        <f>MATCH(U76,Interventions!C:C,0)</f>
        <v>#N/A</v>
      </c>
      <c r="W76" s="10" t="e">
        <f>MATCH(U76,Interventions!C:C,1)</f>
        <v>#N/A</v>
      </c>
    </row>
    <row r="77" spans="1:23" ht="40" customHeight="1" x14ac:dyDescent="0.35">
      <c r="A77" s="30"/>
      <c r="B77" s="69"/>
      <c r="C77" s="70" t="str">
        <f>IFERROR(VLOOKUP(B77,Modules!C:D,2,0),"")</f>
        <v/>
      </c>
      <c r="D77" s="69"/>
      <c r="E77" s="67" t="str">
        <f>IFERROR(VLOOKUP($D77,Interventions!E:F,2,0),IFERROR(VLOOKUP($D77,Interventions!I:L,4,0),IFERROR(VLOOKUP($D77,Interventions!J:L,3,0),"")))</f>
        <v/>
      </c>
      <c r="F77" s="95"/>
      <c r="G77" s="96" t="str">
        <f>IF(IF(Modules!$D$4="EUR",F77*(Modules!$B$5),$F77)=0,"",IF(Modules!$D$4="EUR",F77*(Modules!$B$5),$F77))</f>
        <v/>
      </c>
      <c r="H77" s="31"/>
      <c r="I77" s="31"/>
      <c r="J77" s="30"/>
      <c r="K77" s="30"/>
      <c r="L77" s="97"/>
      <c r="M77" s="30"/>
      <c r="N77" s="30" t="str">
        <f>CLEAN(IFERROR(VLOOKUP($D77,Interventions!$E$1:$K$371,7,0),""))</f>
        <v/>
      </c>
      <c r="O77" s="30" t="str">
        <f>CLEAN(IF(D77="","",CONCATENATE(Modules!$B$8,PAAR!N77,R77)))</f>
        <v/>
      </c>
      <c r="P77" s="71">
        <f>IFERROR(INDEX('Dropdown Data'!$D$33:$D$35,MATCH(A77,'Dropdown Data'!$B$33:$B$35,0)),IFERROR(INDEX('Dropdown Data'!$D$33:$D$35,MATCH(A77,'Dropdown Data'!$C$33:$C$35,0)),A77))</f>
        <v>0</v>
      </c>
      <c r="Q77" s="71">
        <f>IFERROR(INDEX('Dropdown Data'!$D$33:$D$36,MATCH(J77,'Dropdown Data'!$B$33:$B$36,0)),IFERROR(INDEX('Dropdown Data'!$D$33:$D$36,MATCH(J77,'Dropdown Data'!$C$33:$C$36,0)),J77))</f>
        <v>0</v>
      </c>
      <c r="R77" s="10">
        <v>49</v>
      </c>
      <c r="S77" s="10" t="b">
        <f t="shared" si="0"/>
        <v>1</v>
      </c>
      <c r="T77" s="10">
        <f t="shared" si="1"/>
        <v>13</v>
      </c>
      <c r="U77" s="10" t="e">
        <f>IFERROR(VLOOKUP(B77,Modules!$E$11:$K$29,7,0),IFERROR(VLOOKUP(B77,Modules!$F$11:$K$29,6,0),VLOOKUP(B77,Modules!$G$11:$K$29,5,0)))</f>
        <v>#N/A</v>
      </c>
      <c r="V77" s="10" t="e">
        <f>MATCH(U77,Interventions!C:C,0)</f>
        <v>#N/A</v>
      </c>
      <c r="W77" s="10" t="e">
        <f>MATCH(U77,Interventions!C:C,1)</f>
        <v>#N/A</v>
      </c>
    </row>
    <row r="78" spans="1:23" ht="40" customHeight="1" x14ac:dyDescent="0.35">
      <c r="A78" s="30"/>
      <c r="B78" s="69"/>
      <c r="C78" s="70" t="str">
        <f>IFERROR(VLOOKUP(B78,Modules!C:D,2,0),"")</f>
        <v/>
      </c>
      <c r="D78" s="69"/>
      <c r="E78" s="67" t="str">
        <f>IFERROR(VLOOKUP($D78,Interventions!E:F,2,0),IFERROR(VLOOKUP($D78,Interventions!I:L,4,0),IFERROR(VLOOKUP($D78,Interventions!J:L,3,0),"")))</f>
        <v/>
      </c>
      <c r="F78" s="95"/>
      <c r="G78" s="96" t="str">
        <f>IF(IF(Modules!$D$4="EUR",F78*(Modules!$B$5),$F78)=0,"",IF(Modules!$D$4="EUR",F78*(Modules!$B$5),$F78))</f>
        <v/>
      </c>
      <c r="H78" s="31"/>
      <c r="I78" s="31"/>
      <c r="J78" s="30"/>
      <c r="K78" s="30"/>
      <c r="L78" s="97"/>
      <c r="M78" s="30"/>
      <c r="N78" s="30" t="str">
        <f>CLEAN(IFERROR(VLOOKUP($D78,Interventions!$E$1:$K$371,7,0),""))</f>
        <v/>
      </c>
      <c r="O78" s="30" t="str">
        <f>CLEAN(IF(D78="","",CONCATENATE(Modules!$B$8,PAAR!N78,R78)))</f>
        <v/>
      </c>
      <c r="P78" s="71">
        <f>IFERROR(INDEX('Dropdown Data'!$D$33:$D$35,MATCH(A78,'Dropdown Data'!$B$33:$B$35,0)),IFERROR(INDEX('Dropdown Data'!$D$33:$D$35,MATCH(A78,'Dropdown Data'!$C$33:$C$35,0)),A78))</f>
        <v>0</v>
      </c>
      <c r="Q78" s="71">
        <f>IFERROR(INDEX('Dropdown Data'!$D$33:$D$36,MATCH(J78,'Dropdown Data'!$B$33:$B$36,0)),IFERROR(INDEX('Dropdown Data'!$D$33:$D$36,MATCH(J78,'Dropdown Data'!$C$33:$C$36,0)),J78))</f>
        <v>0</v>
      </c>
      <c r="R78" s="10">
        <v>50</v>
      </c>
      <c r="S78" s="10" t="b">
        <f t="shared" si="0"/>
        <v>1</v>
      </c>
      <c r="T78" s="10">
        <f t="shared" si="1"/>
        <v>13</v>
      </c>
      <c r="U78" s="10" t="e">
        <f>IFERROR(VLOOKUP(B78,Modules!$E$11:$K$29,7,0),IFERROR(VLOOKUP(B78,Modules!$F$11:$K$29,6,0),VLOOKUP(B78,Modules!$G$11:$K$29,5,0)))</f>
        <v>#N/A</v>
      </c>
      <c r="V78" s="10" t="e">
        <f>MATCH(U78,Interventions!C:C,0)</f>
        <v>#N/A</v>
      </c>
      <c r="W78" s="10" t="e">
        <f>MATCH(U78,Interventions!C:C,1)</f>
        <v>#N/A</v>
      </c>
    </row>
    <row r="79" spans="1:23" ht="40" customHeight="1" x14ac:dyDescent="0.35">
      <c r="A79" s="30"/>
      <c r="B79" s="69"/>
      <c r="C79" s="70" t="str">
        <f>IFERROR(VLOOKUP(B79,Modules!C:D,2,0),"")</f>
        <v/>
      </c>
      <c r="D79" s="69"/>
      <c r="E79" s="67" t="str">
        <f>IFERROR(VLOOKUP($D79,Interventions!E:F,2,0),IFERROR(VLOOKUP($D79,Interventions!I:L,4,0),IFERROR(VLOOKUP($D79,Interventions!J:L,3,0),"")))</f>
        <v/>
      </c>
      <c r="F79" s="95"/>
      <c r="G79" s="96" t="str">
        <f>IF(IF(Modules!$D$4="EUR",F79*(Modules!$B$5),$F79)=0,"",IF(Modules!$D$4="EUR",F79*(Modules!$B$5),$F79))</f>
        <v/>
      </c>
      <c r="H79" s="31"/>
      <c r="I79" s="31"/>
      <c r="J79" s="30"/>
      <c r="K79" s="30"/>
      <c r="L79" s="97"/>
      <c r="M79" s="30"/>
      <c r="N79" s="30" t="str">
        <f>CLEAN(IFERROR(VLOOKUP($D79,Interventions!$E$1:$K$371,7,0),""))</f>
        <v/>
      </c>
      <c r="O79" s="30" t="str">
        <f>CLEAN(IF(D79="","",CONCATENATE(Modules!$B$8,PAAR!N79,R79)))</f>
        <v/>
      </c>
      <c r="P79" s="71">
        <f>IFERROR(INDEX('Dropdown Data'!$D$33:$D$35,MATCH(A79,'Dropdown Data'!$B$33:$B$35,0)),IFERROR(INDEX('Dropdown Data'!$D$33:$D$35,MATCH(A79,'Dropdown Data'!$C$33:$C$35,0)),A79))</f>
        <v>0</v>
      </c>
      <c r="Q79" s="71">
        <f>IFERROR(INDEX('Dropdown Data'!$D$33:$D$36,MATCH(J79,'Dropdown Data'!$B$33:$B$36,0)),IFERROR(INDEX('Dropdown Data'!$D$33:$D$36,MATCH(J79,'Dropdown Data'!$C$33:$C$36,0)),J79))</f>
        <v>0</v>
      </c>
      <c r="R79" s="10">
        <v>51</v>
      </c>
      <c r="S79" s="10" t="b">
        <f t="shared" si="0"/>
        <v>1</v>
      </c>
      <c r="T79" s="10">
        <f t="shared" si="1"/>
        <v>13</v>
      </c>
      <c r="U79" s="10" t="e">
        <f>IFERROR(VLOOKUP(B79,Modules!$E$11:$K$29,7,0),IFERROR(VLOOKUP(B79,Modules!$F$11:$K$29,6,0),VLOOKUP(B79,Modules!$G$11:$K$29,5,0)))</f>
        <v>#N/A</v>
      </c>
      <c r="V79" s="10" t="e">
        <f>MATCH(U79,Interventions!C:C,0)</f>
        <v>#N/A</v>
      </c>
      <c r="W79" s="10" t="e">
        <f>MATCH(U79,Interventions!C:C,1)</f>
        <v>#N/A</v>
      </c>
    </row>
    <row r="80" spans="1:23" ht="40" customHeight="1" x14ac:dyDescent="0.35">
      <c r="A80" s="30"/>
      <c r="B80" s="69"/>
      <c r="C80" s="70" t="str">
        <f>IFERROR(VLOOKUP(B80,Modules!C:D,2,0),"")</f>
        <v/>
      </c>
      <c r="D80" s="69"/>
      <c r="E80" s="67" t="str">
        <f>IFERROR(VLOOKUP($D80,Interventions!E:F,2,0),IFERROR(VLOOKUP($D80,Interventions!I:L,4,0),IFERROR(VLOOKUP($D80,Interventions!J:L,3,0),"")))</f>
        <v/>
      </c>
      <c r="F80" s="95"/>
      <c r="G80" s="96" t="str">
        <f>IF(IF(Modules!$D$4="EUR",F80*(Modules!$B$5),$F80)=0,"",IF(Modules!$D$4="EUR",F80*(Modules!$B$5),$F80))</f>
        <v/>
      </c>
      <c r="H80" s="31"/>
      <c r="I80" s="31"/>
      <c r="J80" s="30"/>
      <c r="K80" s="30"/>
      <c r="L80" s="97"/>
      <c r="M80" s="30"/>
      <c r="N80" s="30" t="str">
        <f>CLEAN(IFERROR(VLOOKUP($D80,Interventions!$E$1:$K$371,7,0),""))</f>
        <v/>
      </c>
      <c r="O80" s="30" t="str">
        <f>CLEAN(IF(D80="","",CONCATENATE(Modules!$B$8,PAAR!N80,R80)))</f>
        <v/>
      </c>
      <c r="P80" s="71">
        <f>IFERROR(INDEX('Dropdown Data'!$D$33:$D$35,MATCH(A80,'Dropdown Data'!$B$33:$B$35,0)),IFERROR(INDEX('Dropdown Data'!$D$33:$D$35,MATCH(A80,'Dropdown Data'!$C$33:$C$35,0)),A80))</f>
        <v>0</v>
      </c>
      <c r="Q80" s="71">
        <f>IFERROR(INDEX('Dropdown Data'!$D$33:$D$36,MATCH(J80,'Dropdown Data'!$B$33:$B$36,0)),IFERROR(INDEX('Dropdown Data'!$D$33:$D$36,MATCH(J80,'Dropdown Data'!$C$33:$C$36,0)),J80))</f>
        <v>0</v>
      </c>
      <c r="R80" s="10">
        <v>52</v>
      </c>
      <c r="S80" s="10" t="b">
        <f t="shared" si="0"/>
        <v>1</v>
      </c>
      <c r="T80" s="10">
        <f t="shared" si="1"/>
        <v>13</v>
      </c>
      <c r="U80" s="10" t="e">
        <f>IFERROR(VLOOKUP(B80,Modules!$E$11:$K$29,7,0),IFERROR(VLOOKUP(B80,Modules!$F$11:$K$29,6,0),VLOOKUP(B80,Modules!$G$11:$K$29,5,0)))</f>
        <v>#N/A</v>
      </c>
      <c r="V80" s="10" t="e">
        <f>MATCH(U80,Interventions!C:C,0)</f>
        <v>#N/A</v>
      </c>
      <c r="W80" s="10" t="e">
        <f>MATCH(U80,Interventions!C:C,1)</f>
        <v>#N/A</v>
      </c>
    </row>
    <row r="81" spans="1:23" ht="40" customHeight="1" x14ac:dyDescent="0.35">
      <c r="A81" s="30"/>
      <c r="B81" s="69"/>
      <c r="C81" s="70" t="str">
        <f>IFERROR(VLOOKUP(B81,Modules!C:D,2,0),"")</f>
        <v/>
      </c>
      <c r="D81" s="69"/>
      <c r="E81" s="67" t="str">
        <f>IFERROR(VLOOKUP($D81,Interventions!E:F,2,0),IFERROR(VLOOKUP($D81,Interventions!I:L,4,0),IFERROR(VLOOKUP($D81,Interventions!J:L,3,0),"")))</f>
        <v/>
      </c>
      <c r="F81" s="95"/>
      <c r="G81" s="96" t="str">
        <f>IF(IF(Modules!$D$4="EUR",F81*(Modules!$B$5),$F81)=0,"",IF(Modules!$D$4="EUR",F81*(Modules!$B$5),$F81))</f>
        <v/>
      </c>
      <c r="H81" s="31"/>
      <c r="I81" s="31"/>
      <c r="J81" s="30"/>
      <c r="K81" s="30"/>
      <c r="L81" s="97"/>
      <c r="M81" s="30"/>
      <c r="N81" s="30" t="str">
        <f>CLEAN(IFERROR(VLOOKUP($D81,Interventions!$E$1:$K$371,7,0),""))</f>
        <v/>
      </c>
      <c r="O81" s="30" t="str">
        <f>CLEAN(IF(D81="","",CONCATENATE(Modules!$B$8,PAAR!N81,R81)))</f>
        <v/>
      </c>
      <c r="P81" s="71">
        <f>IFERROR(INDEX('Dropdown Data'!$D$33:$D$35,MATCH(A81,'Dropdown Data'!$B$33:$B$35,0)),IFERROR(INDEX('Dropdown Data'!$D$33:$D$35,MATCH(A81,'Dropdown Data'!$C$33:$C$35,0)),A81))</f>
        <v>0</v>
      </c>
      <c r="Q81" s="71">
        <f>IFERROR(INDEX('Dropdown Data'!$D$33:$D$36,MATCH(J81,'Dropdown Data'!$B$33:$B$36,0)),IFERROR(INDEX('Dropdown Data'!$D$33:$D$36,MATCH(J81,'Dropdown Data'!$C$33:$C$36,0)),J81))</f>
        <v>0</v>
      </c>
      <c r="R81" s="10">
        <v>53</v>
      </c>
      <c r="S81" s="10" t="b">
        <f t="shared" si="0"/>
        <v>1</v>
      </c>
      <c r="T81" s="10">
        <f t="shared" si="1"/>
        <v>13</v>
      </c>
      <c r="U81" s="10" t="e">
        <f>IFERROR(VLOOKUP(B81,Modules!$E$11:$K$29,7,0),IFERROR(VLOOKUP(B81,Modules!$F$11:$K$29,6,0),VLOOKUP(B81,Modules!$G$11:$K$29,5,0)))</f>
        <v>#N/A</v>
      </c>
      <c r="V81" s="10" t="e">
        <f>MATCH(U81,Interventions!C:C,0)</f>
        <v>#N/A</v>
      </c>
      <c r="W81" s="10" t="e">
        <f>MATCH(U81,Interventions!C:C,1)</f>
        <v>#N/A</v>
      </c>
    </row>
    <row r="82" spans="1:23" ht="40" customHeight="1" x14ac:dyDescent="0.35">
      <c r="A82" s="30"/>
      <c r="B82" s="69"/>
      <c r="C82" s="70" t="str">
        <f>IFERROR(VLOOKUP(B82,Modules!C:D,2,0),"")</f>
        <v/>
      </c>
      <c r="D82" s="69"/>
      <c r="E82" s="67" t="str">
        <f>IFERROR(VLOOKUP($D82,Interventions!E:F,2,0),IFERROR(VLOOKUP($D82,Interventions!I:L,4,0),IFERROR(VLOOKUP($D82,Interventions!J:L,3,0),"")))</f>
        <v/>
      </c>
      <c r="F82" s="95"/>
      <c r="G82" s="96" t="str">
        <f>IF(IF(Modules!$D$4="EUR",F82*(Modules!$B$5),$F82)=0,"",IF(Modules!$D$4="EUR",F82*(Modules!$B$5),$F82))</f>
        <v/>
      </c>
      <c r="H82" s="31"/>
      <c r="I82" s="31"/>
      <c r="J82" s="30"/>
      <c r="K82" s="30"/>
      <c r="L82" s="97"/>
      <c r="M82" s="30"/>
      <c r="N82" s="30" t="str">
        <f>CLEAN(IFERROR(VLOOKUP($D82,Interventions!$E$1:$K$371,7,0),""))</f>
        <v/>
      </c>
      <c r="O82" s="30" t="str">
        <f>CLEAN(IF(D82="","",CONCATENATE(Modules!$B$8,PAAR!N82,R82)))</f>
        <v/>
      </c>
      <c r="P82" s="71">
        <f>IFERROR(INDEX('Dropdown Data'!$D$33:$D$35,MATCH(A82,'Dropdown Data'!$B$33:$B$35,0)),IFERROR(INDEX('Dropdown Data'!$D$33:$D$35,MATCH(A82,'Dropdown Data'!$C$33:$C$35,0)),A82))</f>
        <v>0</v>
      </c>
      <c r="Q82" s="71">
        <f>IFERROR(INDEX('Dropdown Data'!$D$33:$D$36,MATCH(J82,'Dropdown Data'!$B$33:$B$36,0)),IFERROR(INDEX('Dropdown Data'!$D$33:$D$36,MATCH(J82,'Dropdown Data'!$C$33:$C$36,0)),J82))</f>
        <v>0</v>
      </c>
      <c r="R82" s="10">
        <v>54</v>
      </c>
      <c r="S82" s="10" t="b">
        <f t="shared" si="0"/>
        <v>1</v>
      </c>
      <c r="T82" s="10">
        <f t="shared" si="1"/>
        <v>13</v>
      </c>
      <c r="U82" s="10" t="e">
        <f>IFERROR(VLOOKUP(B82,Modules!$E$11:$K$29,7,0),IFERROR(VLOOKUP(B82,Modules!$F$11:$K$29,6,0),VLOOKUP(B82,Modules!$G$11:$K$29,5,0)))</f>
        <v>#N/A</v>
      </c>
      <c r="V82" s="10" t="e">
        <f>MATCH(U82,Interventions!C:C,0)</f>
        <v>#N/A</v>
      </c>
      <c r="W82" s="10" t="e">
        <f>MATCH(U82,Interventions!C:C,1)</f>
        <v>#N/A</v>
      </c>
    </row>
    <row r="83" spans="1:23" ht="40" customHeight="1" x14ac:dyDescent="0.35">
      <c r="A83" s="30"/>
      <c r="B83" s="69"/>
      <c r="C83" s="70" t="str">
        <f>IFERROR(VLOOKUP(B83,Modules!C:D,2,0),"")</f>
        <v/>
      </c>
      <c r="D83" s="69"/>
      <c r="E83" s="67" t="str">
        <f>IFERROR(VLOOKUP($D83,Interventions!E:F,2,0),IFERROR(VLOOKUP($D83,Interventions!I:L,4,0),IFERROR(VLOOKUP($D83,Interventions!J:L,3,0),"")))</f>
        <v/>
      </c>
      <c r="F83" s="95"/>
      <c r="G83" s="96" t="str">
        <f>IF(IF(Modules!$D$4="EUR",F83*(Modules!$B$5),$F83)=0,"",IF(Modules!$D$4="EUR",F83*(Modules!$B$5),$F83))</f>
        <v/>
      </c>
      <c r="H83" s="31"/>
      <c r="I83" s="31"/>
      <c r="J83" s="30"/>
      <c r="K83" s="30"/>
      <c r="L83" s="97"/>
      <c r="M83" s="30"/>
      <c r="N83" s="30" t="str">
        <f>CLEAN(IFERROR(VLOOKUP($D83,Interventions!$E$1:$K$371,7,0),""))</f>
        <v/>
      </c>
      <c r="O83" s="30" t="str">
        <f>CLEAN(IF(D83="","",CONCATENATE(Modules!$B$8,PAAR!N83,R83)))</f>
        <v/>
      </c>
      <c r="P83" s="71">
        <f>IFERROR(INDEX('Dropdown Data'!$D$33:$D$35,MATCH(A83,'Dropdown Data'!$B$33:$B$35,0)),IFERROR(INDEX('Dropdown Data'!$D$33:$D$35,MATCH(A83,'Dropdown Data'!$C$33:$C$35,0)),A83))</f>
        <v>0</v>
      </c>
      <c r="Q83" s="71">
        <f>IFERROR(INDEX('Dropdown Data'!$D$33:$D$36,MATCH(J83,'Dropdown Data'!$B$33:$B$36,0)),IFERROR(INDEX('Dropdown Data'!$D$33:$D$36,MATCH(J83,'Dropdown Data'!$C$33:$C$36,0)),J83))</f>
        <v>0</v>
      </c>
      <c r="R83" s="10">
        <v>55</v>
      </c>
      <c r="S83" s="10" t="b">
        <f t="shared" si="0"/>
        <v>1</v>
      </c>
      <c r="T83" s="10">
        <f t="shared" si="1"/>
        <v>13</v>
      </c>
      <c r="U83" s="10" t="e">
        <f>IFERROR(VLOOKUP(B83,Modules!$E$11:$K$29,7,0),IFERROR(VLOOKUP(B83,Modules!$F$11:$K$29,6,0),VLOOKUP(B83,Modules!$G$11:$K$29,5,0)))</f>
        <v>#N/A</v>
      </c>
      <c r="V83" s="10" t="e">
        <f>MATCH(U83,Interventions!C:C,0)</f>
        <v>#N/A</v>
      </c>
      <c r="W83" s="10" t="e">
        <f>MATCH(U83,Interventions!C:C,1)</f>
        <v>#N/A</v>
      </c>
    </row>
    <row r="84" spans="1:23" ht="40" customHeight="1" x14ac:dyDescent="0.35">
      <c r="A84" s="30"/>
      <c r="B84" s="69"/>
      <c r="C84" s="70" t="str">
        <f>IFERROR(VLOOKUP(B84,Modules!C:D,2,0),"")</f>
        <v/>
      </c>
      <c r="D84" s="69"/>
      <c r="E84" s="67" t="str">
        <f>IFERROR(VLOOKUP($D84,Interventions!E:F,2,0),IFERROR(VLOOKUP($D84,Interventions!I:L,4,0),IFERROR(VLOOKUP($D84,Interventions!J:L,3,0),"")))</f>
        <v/>
      </c>
      <c r="F84" s="95"/>
      <c r="G84" s="96" t="str">
        <f>IF(IF(Modules!$D$4="EUR",F84*(Modules!$B$5),$F84)=0,"",IF(Modules!$D$4="EUR",F84*(Modules!$B$5),$F84))</f>
        <v/>
      </c>
      <c r="H84" s="31"/>
      <c r="I84" s="31"/>
      <c r="J84" s="30"/>
      <c r="K84" s="30"/>
      <c r="L84" s="97"/>
      <c r="M84" s="30"/>
      <c r="N84" s="30" t="str">
        <f>CLEAN(IFERROR(VLOOKUP($D84,Interventions!$E$1:$K$371,7,0),""))</f>
        <v/>
      </c>
      <c r="O84" s="30" t="str">
        <f>CLEAN(IF(D84="","",CONCATENATE(Modules!$B$8,PAAR!N84,R84)))</f>
        <v/>
      </c>
      <c r="P84" s="71">
        <f>IFERROR(INDEX('Dropdown Data'!$D$33:$D$35,MATCH(A84,'Dropdown Data'!$B$33:$B$35,0)),IFERROR(INDEX('Dropdown Data'!$D$33:$D$35,MATCH(A84,'Dropdown Data'!$C$33:$C$35,0)),A84))</f>
        <v>0</v>
      </c>
      <c r="Q84" s="71">
        <f>IFERROR(INDEX('Dropdown Data'!$D$33:$D$36,MATCH(J84,'Dropdown Data'!$B$33:$B$36,0)),IFERROR(INDEX('Dropdown Data'!$D$33:$D$36,MATCH(J84,'Dropdown Data'!$C$33:$C$36,0)),J84))</f>
        <v>0</v>
      </c>
      <c r="R84" s="10">
        <v>56</v>
      </c>
      <c r="S84" s="10" t="b">
        <f t="shared" si="0"/>
        <v>1</v>
      </c>
      <c r="T84" s="10">
        <f t="shared" si="1"/>
        <v>13</v>
      </c>
      <c r="U84" s="10" t="e">
        <f>IFERROR(VLOOKUP(B84,Modules!$E$11:$K$29,7,0),IFERROR(VLOOKUP(B84,Modules!$F$11:$K$29,6,0),VLOOKUP(B84,Modules!$G$11:$K$29,5,0)))</f>
        <v>#N/A</v>
      </c>
      <c r="V84" s="10" t="e">
        <f>MATCH(U84,Interventions!C:C,0)</f>
        <v>#N/A</v>
      </c>
      <c r="W84" s="10" t="e">
        <f>MATCH(U84,Interventions!C:C,1)</f>
        <v>#N/A</v>
      </c>
    </row>
    <row r="85" spans="1:23" ht="40" customHeight="1" x14ac:dyDescent="0.35">
      <c r="A85" s="30"/>
      <c r="B85" s="69"/>
      <c r="C85" s="70" t="str">
        <f>IFERROR(VLOOKUP(B85,Modules!C:D,2,0),"")</f>
        <v/>
      </c>
      <c r="D85" s="69"/>
      <c r="E85" s="67" t="str">
        <f>IFERROR(VLOOKUP($D85,Interventions!E:F,2,0),IFERROR(VLOOKUP($D85,Interventions!I:L,4,0),IFERROR(VLOOKUP($D85,Interventions!J:L,3,0),"")))</f>
        <v/>
      </c>
      <c r="F85" s="95"/>
      <c r="G85" s="96" t="str">
        <f>IF(IF(Modules!$D$4="EUR",F85*(Modules!$B$5),$F85)=0,"",IF(Modules!$D$4="EUR",F85*(Modules!$B$5),$F85))</f>
        <v/>
      </c>
      <c r="H85" s="31"/>
      <c r="I85" s="31"/>
      <c r="J85" s="30"/>
      <c r="K85" s="30"/>
      <c r="L85" s="97"/>
      <c r="M85" s="30"/>
      <c r="N85" s="30" t="str">
        <f>CLEAN(IFERROR(VLOOKUP($D85,Interventions!$E$1:$K$371,7,0),""))</f>
        <v/>
      </c>
      <c r="O85" s="30" t="str">
        <f>CLEAN(IF(D85="","",CONCATENATE(Modules!$B$8,PAAR!N85,R85)))</f>
        <v/>
      </c>
      <c r="P85" s="71">
        <f>IFERROR(INDEX('Dropdown Data'!$D$33:$D$35,MATCH(A85,'Dropdown Data'!$B$33:$B$35,0)),IFERROR(INDEX('Dropdown Data'!$D$33:$D$35,MATCH(A85,'Dropdown Data'!$C$33:$C$35,0)),A85))</f>
        <v>0</v>
      </c>
      <c r="Q85" s="71">
        <f>IFERROR(INDEX('Dropdown Data'!$D$33:$D$36,MATCH(J85,'Dropdown Data'!$B$33:$B$36,0)),IFERROR(INDEX('Dropdown Data'!$D$33:$D$36,MATCH(J85,'Dropdown Data'!$C$33:$C$36,0)),J85))</f>
        <v>0</v>
      </c>
      <c r="R85" s="10">
        <v>57</v>
      </c>
      <c r="S85" s="10" t="b">
        <f t="shared" si="0"/>
        <v>1</v>
      </c>
      <c r="T85" s="10">
        <f t="shared" si="1"/>
        <v>13</v>
      </c>
      <c r="U85" s="10" t="e">
        <f>IFERROR(VLOOKUP(B85,Modules!$E$11:$K$29,7,0),IFERROR(VLOOKUP(B85,Modules!$F$11:$K$29,6,0),VLOOKUP(B85,Modules!$G$11:$K$29,5,0)))</f>
        <v>#N/A</v>
      </c>
      <c r="V85" s="10" t="e">
        <f>MATCH(U85,Interventions!C:C,0)</f>
        <v>#N/A</v>
      </c>
      <c r="W85" s="10" t="e">
        <f>MATCH(U85,Interventions!C:C,1)</f>
        <v>#N/A</v>
      </c>
    </row>
    <row r="86" spans="1:23" ht="40" customHeight="1" x14ac:dyDescent="0.35">
      <c r="A86" s="30"/>
      <c r="B86" s="69"/>
      <c r="C86" s="70" t="str">
        <f>IFERROR(VLOOKUP(B86,Modules!C:D,2,0),"")</f>
        <v/>
      </c>
      <c r="D86" s="69"/>
      <c r="E86" s="67" t="str">
        <f>IFERROR(VLOOKUP($D86,Interventions!E:F,2,0),IFERROR(VLOOKUP($D86,Interventions!I:L,4,0),IFERROR(VLOOKUP($D86,Interventions!J:L,3,0),"")))</f>
        <v/>
      </c>
      <c r="F86" s="95"/>
      <c r="G86" s="96" t="str">
        <f>IF(IF(Modules!$D$4="EUR",F86*(Modules!$B$5),$F86)=0,"",IF(Modules!$D$4="EUR",F86*(Modules!$B$5),$F86))</f>
        <v/>
      </c>
      <c r="H86" s="31"/>
      <c r="I86" s="31"/>
      <c r="J86" s="30"/>
      <c r="K86" s="30"/>
      <c r="L86" s="97"/>
      <c r="M86" s="30"/>
      <c r="N86" s="30" t="str">
        <f>CLEAN(IFERROR(VLOOKUP($D86,Interventions!$E$1:$K$371,7,0),""))</f>
        <v/>
      </c>
      <c r="O86" s="30" t="str">
        <f>CLEAN(IF(D86="","",CONCATENATE(Modules!$B$8,PAAR!N86,R86)))</f>
        <v/>
      </c>
      <c r="P86" s="71">
        <f>IFERROR(INDEX('Dropdown Data'!$D$33:$D$35,MATCH(A86,'Dropdown Data'!$B$33:$B$35,0)),IFERROR(INDEX('Dropdown Data'!$D$33:$D$35,MATCH(A86,'Dropdown Data'!$C$33:$C$35,0)),A86))</f>
        <v>0</v>
      </c>
      <c r="Q86" s="71">
        <f>IFERROR(INDEX('Dropdown Data'!$D$33:$D$36,MATCH(J86,'Dropdown Data'!$B$33:$B$36,0)),IFERROR(INDEX('Dropdown Data'!$D$33:$D$36,MATCH(J86,'Dropdown Data'!$C$33:$C$36,0)),J86))</f>
        <v>0</v>
      </c>
      <c r="R86" s="10">
        <v>58</v>
      </c>
      <c r="S86" s="10" t="b">
        <f t="shared" si="0"/>
        <v>1</v>
      </c>
      <c r="T86" s="10">
        <f t="shared" si="1"/>
        <v>13</v>
      </c>
      <c r="U86" s="10" t="e">
        <f>IFERROR(VLOOKUP(B86,Modules!$E$11:$K$29,7,0),IFERROR(VLOOKUP(B86,Modules!$F$11:$K$29,6,0),VLOOKUP(B86,Modules!$G$11:$K$29,5,0)))</f>
        <v>#N/A</v>
      </c>
      <c r="V86" s="10" t="e">
        <f>MATCH(U86,Interventions!C:C,0)</f>
        <v>#N/A</v>
      </c>
      <c r="W86" s="10" t="e">
        <f>MATCH(U86,Interventions!C:C,1)</f>
        <v>#N/A</v>
      </c>
    </row>
    <row r="87" spans="1:23" ht="40" customHeight="1" x14ac:dyDescent="0.35">
      <c r="A87" s="30"/>
      <c r="B87" s="69"/>
      <c r="C87" s="70" t="str">
        <f>IFERROR(VLOOKUP(B87,Modules!C:D,2,0),"")</f>
        <v/>
      </c>
      <c r="D87" s="69"/>
      <c r="E87" s="67" t="str">
        <f>IFERROR(VLOOKUP($D87,Interventions!E:F,2,0),IFERROR(VLOOKUP($D87,Interventions!I:L,4,0),IFERROR(VLOOKUP($D87,Interventions!J:L,3,0),"")))</f>
        <v/>
      </c>
      <c r="F87" s="95"/>
      <c r="G87" s="96" t="str">
        <f>IF(IF(Modules!$D$4="EUR",F87*(Modules!$B$5),$F87)=0,"",IF(Modules!$D$4="EUR",F87*(Modules!$B$5),$F87))</f>
        <v/>
      </c>
      <c r="H87" s="31"/>
      <c r="I87" s="31"/>
      <c r="J87" s="30"/>
      <c r="K87" s="30"/>
      <c r="L87" s="97"/>
      <c r="M87" s="30"/>
      <c r="N87" s="30" t="str">
        <f>CLEAN(IFERROR(VLOOKUP($D87,Interventions!$E$1:$K$371,7,0),""))</f>
        <v/>
      </c>
      <c r="O87" s="30" t="str">
        <f>CLEAN(IF(D87="","",CONCATENATE(Modules!$B$8,PAAR!N87,R87)))</f>
        <v/>
      </c>
      <c r="P87" s="71">
        <f>IFERROR(INDEX('Dropdown Data'!$D$33:$D$35,MATCH(A87,'Dropdown Data'!$B$33:$B$35,0)),IFERROR(INDEX('Dropdown Data'!$D$33:$D$35,MATCH(A87,'Dropdown Data'!$C$33:$C$35,0)),A87))</f>
        <v>0</v>
      </c>
      <c r="Q87" s="71">
        <f>IFERROR(INDEX('Dropdown Data'!$D$33:$D$36,MATCH(J87,'Dropdown Data'!$B$33:$B$36,0)),IFERROR(INDEX('Dropdown Data'!$D$33:$D$36,MATCH(J87,'Dropdown Data'!$C$33:$C$36,0)),J87))</f>
        <v>0</v>
      </c>
      <c r="R87" s="10">
        <v>59</v>
      </c>
      <c r="S87" s="10" t="b">
        <f t="shared" si="0"/>
        <v>1</v>
      </c>
      <c r="T87" s="10">
        <f t="shared" si="1"/>
        <v>13</v>
      </c>
      <c r="U87" s="10" t="e">
        <f>IFERROR(VLOOKUP(B87,Modules!$E$11:$K$29,7,0),IFERROR(VLOOKUP(B87,Modules!$F$11:$K$29,6,0),VLOOKUP(B87,Modules!$G$11:$K$29,5,0)))</f>
        <v>#N/A</v>
      </c>
      <c r="V87" s="10" t="e">
        <f>MATCH(U87,Interventions!C:C,0)</f>
        <v>#N/A</v>
      </c>
      <c r="W87" s="10" t="e">
        <f>MATCH(U87,Interventions!C:C,1)</f>
        <v>#N/A</v>
      </c>
    </row>
    <row r="88" spans="1:23" ht="40" customHeight="1" x14ac:dyDescent="0.35">
      <c r="A88" s="30"/>
      <c r="B88" s="69"/>
      <c r="C88" s="70" t="str">
        <f>IFERROR(VLOOKUP(B88,Modules!C:D,2,0),"")</f>
        <v/>
      </c>
      <c r="D88" s="69"/>
      <c r="E88" s="67" t="str">
        <f>IFERROR(VLOOKUP($D88,Interventions!E:F,2,0),IFERROR(VLOOKUP($D88,Interventions!I:L,4,0),IFERROR(VLOOKUP($D88,Interventions!J:L,3,0),"")))</f>
        <v/>
      </c>
      <c r="F88" s="95"/>
      <c r="G88" s="96" t="str">
        <f>IF(IF(Modules!$D$4="EUR",F88*(Modules!$B$5),$F88)=0,"",IF(Modules!$D$4="EUR",F88*(Modules!$B$5),$F88))</f>
        <v/>
      </c>
      <c r="H88" s="31"/>
      <c r="I88" s="31"/>
      <c r="J88" s="30"/>
      <c r="K88" s="30"/>
      <c r="L88" s="97"/>
      <c r="M88" s="30"/>
      <c r="N88" s="30" t="str">
        <f>CLEAN(IFERROR(VLOOKUP($D88,Interventions!$E$1:$K$371,7,0),""))</f>
        <v/>
      </c>
      <c r="O88" s="30" t="str">
        <f>CLEAN(IF(D88="","",CONCATENATE(Modules!$B$8,PAAR!N88,R88)))</f>
        <v/>
      </c>
      <c r="P88" s="71">
        <f>IFERROR(INDEX('Dropdown Data'!$D$33:$D$35,MATCH(A88,'Dropdown Data'!$B$33:$B$35,0)),IFERROR(INDEX('Dropdown Data'!$D$33:$D$35,MATCH(A88,'Dropdown Data'!$C$33:$C$35,0)),A88))</f>
        <v>0</v>
      </c>
      <c r="Q88" s="71">
        <f>IFERROR(INDEX('Dropdown Data'!$D$33:$D$36,MATCH(J88,'Dropdown Data'!$B$33:$B$36,0)),IFERROR(INDEX('Dropdown Data'!$D$33:$D$36,MATCH(J88,'Dropdown Data'!$C$33:$C$36,0)),J88))</f>
        <v>0</v>
      </c>
      <c r="R88" s="10">
        <v>60</v>
      </c>
      <c r="S88" s="10" t="b">
        <f t="shared" si="0"/>
        <v>1</v>
      </c>
      <c r="T88" s="10">
        <f t="shared" si="1"/>
        <v>13</v>
      </c>
      <c r="U88" s="10" t="e">
        <f>IFERROR(VLOOKUP(B88,Modules!$E$11:$K$29,7,0),IFERROR(VLOOKUP(B88,Modules!$F$11:$K$29,6,0),VLOOKUP(B88,Modules!$G$11:$K$29,5,0)))</f>
        <v>#N/A</v>
      </c>
      <c r="V88" s="10" t="e">
        <f>MATCH(U88,Interventions!C:C,0)</f>
        <v>#N/A</v>
      </c>
      <c r="W88" s="10" t="e">
        <f>MATCH(U88,Interventions!C:C,1)</f>
        <v>#N/A</v>
      </c>
    </row>
    <row r="89" spans="1:23" ht="40" customHeight="1" x14ac:dyDescent="0.35">
      <c r="A89" s="30"/>
      <c r="B89" s="69"/>
      <c r="C89" s="70" t="str">
        <f>IFERROR(VLOOKUP(B89,Modules!C:D,2,0),"")</f>
        <v/>
      </c>
      <c r="D89" s="69"/>
      <c r="E89" s="67" t="str">
        <f>IFERROR(VLOOKUP($D89,Interventions!E:F,2,0),IFERROR(VLOOKUP($D89,Interventions!I:L,4,0),IFERROR(VLOOKUP($D89,Interventions!J:L,3,0),"")))</f>
        <v/>
      </c>
      <c r="F89" s="95"/>
      <c r="G89" s="96" t="str">
        <f>IF(IF(Modules!$D$4="EUR",F89*(Modules!$B$5),$F89)=0,"",IF(Modules!$D$4="EUR",F89*(Modules!$B$5),$F89))</f>
        <v/>
      </c>
      <c r="H89" s="31"/>
      <c r="I89" s="31"/>
      <c r="J89" s="30"/>
      <c r="K89" s="30"/>
      <c r="L89" s="97"/>
      <c r="M89" s="30"/>
      <c r="N89" s="30" t="str">
        <f>CLEAN(IFERROR(VLOOKUP($D89,Interventions!$E$1:$K$371,7,0),""))</f>
        <v/>
      </c>
      <c r="O89" s="30" t="str">
        <f>CLEAN(IF(D89="","",CONCATENATE(Modules!$B$8,PAAR!N89,R89)))</f>
        <v/>
      </c>
      <c r="P89" s="71">
        <f>IFERROR(INDEX('Dropdown Data'!$D$33:$D$35,MATCH(A89,'Dropdown Data'!$B$33:$B$35,0)),IFERROR(INDEX('Dropdown Data'!$D$33:$D$35,MATCH(A89,'Dropdown Data'!$C$33:$C$35,0)),A89))</f>
        <v>0</v>
      </c>
      <c r="Q89" s="71">
        <f>IFERROR(INDEX('Dropdown Data'!$D$33:$D$36,MATCH(J89,'Dropdown Data'!$B$33:$B$36,0)),IFERROR(INDEX('Dropdown Data'!$D$33:$D$36,MATCH(J89,'Dropdown Data'!$C$33:$C$36,0)),J89))</f>
        <v>0</v>
      </c>
      <c r="R89" s="10">
        <v>61</v>
      </c>
      <c r="S89" s="10" t="b">
        <f t="shared" si="0"/>
        <v>1</v>
      </c>
      <c r="T89" s="10">
        <f t="shared" si="1"/>
        <v>13</v>
      </c>
      <c r="U89" s="10" t="e">
        <f>IFERROR(VLOOKUP(B89,Modules!$E$11:$K$29,7,0),IFERROR(VLOOKUP(B89,Modules!$F$11:$K$29,6,0),VLOOKUP(B89,Modules!$G$11:$K$29,5,0)))</f>
        <v>#N/A</v>
      </c>
      <c r="V89" s="10" t="e">
        <f>MATCH(U89,Interventions!C:C,0)</f>
        <v>#N/A</v>
      </c>
      <c r="W89" s="10" t="e">
        <f>MATCH(U89,Interventions!C:C,1)</f>
        <v>#N/A</v>
      </c>
    </row>
    <row r="90" spans="1:23" ht="40" customHeight="1" x14ac:dyDescent="0.35">
      <c r="A90" s="30"/>
      <c r="B90" s="69"/>
      <c r="C90" s="70" t="str">
        <f>IFERROR(VLOOKUP(B90,Modules!C:D,2,0),"")</f>
        <v/>
      </c>
      <c r="D90" s="69"/>
      <c r="E90" s="67" t="str">
        <f>IFERROR(VLOOKUP($D90,Interventions!E:F,2,0),IFERROR(VLOOKUP($D90,Interventions!I:L,4,0),IFERROR(VLOOKUP($D90,Interventions!J:L,3,0),"")))</f>
        <v/>
      </c>
      <c r="F90" s="95"/>
      <c r="G90" s="96" t="str">
        <f>IF(IF(Modules!$D$4="EUR",F90*(Modules!$B$5),$F90)=0,"",IF(Modules!$D$4="EUR",F90*(Modules!$B$5),$F90))</f>
        <v/>
      </c>
      <c r="H90" s="31"/>
      <c r="I90" s="31"/>
      <c r="J90" s="30"/>
      <c r="K90" s="30"/>
      <c r="L90" s="97"/>
      <c r="M90" s="30"/>
      <c r="N90" s="30" t="str">
        <f>CLEAN(IFERROR(VLOOKUP($D90,Interventions!$E$1:$K$371,7,0),""))</f>
        <v/>
      </c>
      <c r="O90" s="30" t="str">
        <f>CLEAN(IF(D90="","",CONCATENATE(Modules!$B$8,PAAR!N90,R90)))</f>
        <v/>
      </c>
      <c r="P90" s="71">
        <f>IFERROR(INDEX('Dropdown Data'!$D$33:$D$35,MATCH(A90,'Dropdown Data'!$B$33:$B$35,0)),IFERROR(INDEX('Dropdown Data'!$D$33:$D$35,MATCH(A90,'Dropdown Data'!$C$33:$C$35,0)),A90))</f>
        <v>0</v>
      </c>
      <c r="Q90" s="71">
        <f>IFERROR(INDEX('Dropdown Data'!$D$33:$D$36,MATCH(J90,'Dropdown Data'!$B$33:$B$36,0)),IFERROR(INDEX('Dropdown Data'!$D$33:$D$36,MATCH(J90,'Dropdown Data'!$C$33:$C$36,0)),J90))</f>
        <v>0</v>
      </c>
      <c r="R90" s="10">
        <v>62</v>
      </c>
      <c r="S90" s="10" t="b">
        <f t="shared" si="0"/>
        <v>1</v>
      </c>
      <c r="T90" s="10">
        <f t="shared" si="1"/>
        <v>13</v>
      </c>
      <c r="U90" s="10" t="e">
        <f>IFERROR(VLOOKUP(B90,Modules!$E$11:$K$29,7,0),IFERROR(VLOOKUP(B90,Modules!$F$11:$K$29,6,0),VLOOKUP(B90,Modules!$G$11:$K$29,5,0)))</f>
        <v>#N/A</v>
      </c>
      <c r="V90" s="10" t="e">
        <f>MATCH(U90,Interventions!C:C,0)</f>
        <v>#N/A</v>
      </c>
      <c r="W90" s="10" t="e">
        <f>MATCH(U90,Interventions!C:C,1)</f>
        <v>#N/A</v>
      </c>
    </row>
    <row r="91" spans="1:23" ht="40" customHeight="1" x14ac:dyDescent="0.35">
      <c r="A91" s="30"/>
      <c r="B91" s="69"/>
      <c r="C91" s="70" t="str">
        <f>IFERROR(VLOOKUP(B91,Modules!C:D,2,0),"")</f>
        <v/>
      </c>
      <c r="D91" s="69"/>
      <c r="E91" s="67" t="str">
        <f>IFERROR(VLOOKUP($D91,Interventions!E:F,2,0),IFERROR(VLOOKUP($D91,Interventions!I:L,4,0),IFERROR(VLOOKUP($D91,Interventions!J:L,3,0),"")))</f>
        <v/>
      </c>
      <c r="F91" s="95"/>
      <c r="G91" s="96" t="str">
        <f>IF(IF(Modules!$D$4="EUR",F91*(Modules!$B$5),$F91)=0,"",IF(Modules!$D$4="EUR",F91*(Modules!$B$5),$F91))</f>
        <v/>
      </c>
      <c r="H91" s="31"/>
      <c r="I91" s="31"/>
      <c r="J91" s="30"/>
      <c r="K91" s="30"/>
      <c r="L91" s="97"/>
      <c r="M91" s="30"/>
      <c r="N91" s="30" t="str">
        <f>CLEAN(IFERROR(VLOOKUP($D91,Interventions!$E$1:$K$371,7,0),""))</f>
        <v/>
      </c>
      <c r="O91" s="30" t="str">
        <f>CLEAN(IF(D91="","",CONCATENATE(Modules!$B$8,PAAR!N91,R91)))</f>
        <v/>
      </c>
      <c r="P91" s="71">
        <f>IFERROR(INDEX('Dropdown Data'!$D$33:$D$35,MATCH(A91,'Dropdown Data'!$B$33:$B$35,0)),IFERROR(INDEX('Dropdown Data'!$D$33:$D$35,MATCH(A91,'Dropdown Data'!$C$33:$C$35,0)),A91))</f>
        <v>0</v>
      </c>
      <c r="Q91" s="71">
        <f>IFERROR(INDEX('Dropdown Data'!$D$33:$D$36,MATCH(J91,'Dropdown Data'!$B$33:$B$36,0)),IFERROR(INDEX('Dropdown Data'!$D$33:$D$36,MATCH(J91,'Dropdown Data'!$C$33:$C$36,0)),J91))</f>
        <v>0</v>
      </c>
      <c r="R91" s="10">
        <v>63</v>
      </c>
      <c r="S91" s="10" t="b">
        <f t="shared" si="0"/>
        <v>1</v>
      </c>
      <c r="T91" s="10">
        <f t="shared" si="1"/>
        <v>13</v>
      </c>
      <c r="U91" s="10" t="e">
        <f>IFERROR(VLOOKUP(B91,Modules!$E$11:$K$29,7,0),IFERROR(VLOOKUP(B91,Modules!$F$11:$K$29,6,0),VLOOKUP(B91,Modules!$G$11:$K$29,5,0)))</f>
        <v>#N/A</v>
      </c>
      <c r="V91" s="10" t="e">
        <f>MATCH(U91,Interventions!C:C,0)</f>
        <v>#N/A</v>
      </c>
      <c r="W91" s="10" t="e">
        <f>MATCH(U91,Interventions!C:C,1)</f>
        <v>#N/A</v>
      </c>
    </row>
    <row r="92" spans="1:23" ht="40" customHeight="1" x14ac:dyDescent="0.35">
      <c r="A92" s="30"/>
      <c r="B92" s="69"/>
      <c r="C92" s="70" t="str">
        <f>IFERROR(VLOOKUP(B92,Modules!C:D,2,0),"")</f>
        <v/>
      </c>
      <c r="D92" s="69"/>
      <c r="E92" s="67" t="str">
        <f>IFERROR(VLOOKUP($D92,Interventions!E:F,2,0),IFERROR(VLOOKUP($D92,Interventions!I:L,4,0),IFERROR(VLOOKUP($D92,Interventions!J:L,3,0),"")))</f>
        <v/>
      </c>
      <c r="F92" s="95"/>
      <c r="G92" s="96" t="str">
        <f>IF(IF(Modules!$D$4="EUR",F92*(Modules!$B$5),$F92)=0,"",IF(Modules!$D$4="EUR",F92*(Modules!$B$5),$F92))</f>
        <v/>
      </c>
      <c r="H92" s="31"/>
      <c r="I92" s="31"/>
      <c r="J92" s="30"/>
      <c r="K92" s="30"/>
      <c r="L92" s="97"/>
      <c r="M92" s="30"/>
      <c r="N92" s="30" t="str">
        <f>CLEAN(IFERROR(VLOOKUP($D92,Interventions!$E$1:$K$371,7,0),""))</f>
        <v/>
      </c>
      <c r="O92" s="30" t="str">
        <f>CLEAN(IF(D92="","",CONCATENATE(Modules!$B$8,PAAR!N92,R92)))</f>
        <v/>
      </c>
      <c r="P92" s="71">
        <f>IFERROR(INDEX('Dropdown Data'!$D$33:$D$35,MATCH(A92,'Dropdown Data'!$B$33:$B$35,0)),IFERROR(INDEX('Dropdown Data'!$D$33:$D$35,MATCH(A92,'Dropdown Data'!$C$33:$C$35,0)),A92))</f>
        <v>0</v>
      </c>
      <c r="Q92" s="71">
        <f>IFERROR(INDEX('Dropdown Data'!$D$33:$D$36,MATCH(J92,'Dropdown Data'!$B$33:$B$36,0)),IFERROR(INDEX('Dropdown Data'!$D$33:$D$36,MATCH(J92,'Dropdown Data'!$C$33:$C$36,0)),J92))</f>
        <v>0</v>
      </c>
      <c r="R92" s="10">
        <v>64</v>
      </c>
      <c r="S92" s="10" t="b">
        <f t="shared" si="0"/>
        <v>1</v>
      </c>
      <c r="T92" s="10">
        <f t="shared" si="1"/>
        <v>13</v>
      </c>
      <c r="U92" s="10" t="e">
        <f>IFERROR(VLOOKUP(B92,Modules!$E$11:$K$29,7,0),IFERROR(VLOOKUP(B92,Modules!$F$11:$K$29,6,0),VLOOKUP(B92,Modules!$G$11:$K$29,5,0)))</f>
        <v>#N/A</v>
      </c>
      <c r="V92" s="10" t="e">
        <f>MATCH(U92,Interventions!C:C,0)</f>
        <v>#N/A</v>
      </c>
      <c r="W92" s="10" t="e">
        <f>MATCH(U92,Interventions!C:C,1)</f>
        <v>#N/A</v>
      </c>
    </row>
    <row r="93" spans="1:23" ht="40" customHeight="1" x14ac:dyDescent="0.35">
      <c r="A93" s="30"/>
      <c r="B93" s="69"/>
      <c r="C93" s="70" t="str">
        <f>IFERROR(VLOOKUP(B93,Modules!C:D,2,0),"")</f>
        <v/>
      </c>
      <c r="D93" s="69"/>
      <c r="E93" s="67" t="str">
        <f>IFERROR(VLOOKUP($D93,Interventions!E:F,2,0),IFERROR(VLOOKUP($D93,Interventions!I:L,4,0),IFERROR(VLOOKUP($D93,Interventions!J:L,3,0),"")))</f>
        <v/>
      </c>
      <c r="F93" s="95"/>
      <c r="G93" s="96" t="str">
        <f>IF(IF(Modules!$D$4="EUR",F93*(Modules!$B$5),$F93)=0,"",IF(Modules!$D$4="EUR",F93*(Modules!$B$5),$F93))</f>
        <v/>
      </c>
      <c r="H93" s="31"/>
      <c r="I93" s="31"/>
      <c r="J93" s="30"/>
      <c r="K93" s="30"/>
      <c r="L93" s="97"/>
      <c r="M93" s="30"/>
      <c r="N93" s="30" t="str">
        <f>CLEAN(IFERROR(VLOOKUP($D93,Interventions!$E$1:$K$371,7,0),""))</f>
        <v/>
      </c>
      <c r="O93" s="30" t="str">
        <f>CLEAN(IF(D93="","",CONCATENATE(Modules!$B$8,PAAR!N93,R93)))</f>
        <v/>
      </c>
      <c r="P93" s="71">
        <f>IFERROR(INDEX('Dropdown Data'!$D$33:$D$35,MATCH(A93,'Dropdown Data'!$B$33:$B$35,0)),IFERROR(INDEX('Dropdown Data'!$D$33:$D$35,MATCH(A93,'Dropdown Data'!$C$33:$C$35,0)),A93))</f>
        <v>0</v>
      </c>
      <c r="Q93" s="71">
        <f>IFERROR(INDEX('Dropdown Data'!$D$33:$D$36,MATCH(J93,'Dropdown Data'!$B$33:$B$36,0)),IFERROR(INDEX('Dropdown Data'!$D$33:$D$36,MATCH(J93,'Dropdown Data'!$C$33:$C$36,0)),J93))</f>
        <v>0</v>
      </c>
      <c r="R93" s="10">
        <v>65</v>
      </c>
      <c r="S93" s="10" t="b">
        <f t="shared" si="0"/>
        <v>1</v>
      </c>
      <c r="T93" s="10">
        <f t="shared" si="1"/>
        <v>13</v>
      </c>
      <c r="U93" s="10" t="e">
        <f>IFERROR(VLOOKUP(B93,Modules!$E$11:$K$29,7,0),IFERROR(VLOOKUP(B93,Modules!$F$11:$K$29,6,0),VLOOKUP(B93,Modules!$G$11:$K$29,5,0)))</f>
        <v>#N/A</v>
      </c>
      <c r="V93" s="10" t="e">
        <f>MATCH(U93,Interventions!C:C,0)</f>
        <v>#N/A</v>
      </c>
      <c r="W93" s="10" t="e">
        <f>MATCH(U93,Interventions!C:C,1)</f>
        <v>#N/A</v>
      </c>
    </row>
    <row r="94" spans="1:23" ht="40" customHeight="1" x14ac:dyDescent="0.35">
      <c r="A94" s="30"/>
      <c r="B94" s="69"/>
      <c r="C94" s="70" t="str">
        <f>IFERROR(VLOOKUP(B94,Modules!C:D,2,0),"")</f>
        <v/>
      </c>
      <c r="D94" s="69"/>
      <c r="E94" s="67" t="str">
        <f>IFERROR(VLOOKUP($D94,Interventions!E:F,2,0),IFERROR(VLOOKUP($D94,Interventions!I:L,4,0),IFERROR(VLOOKUP($D94,Interventions!J:L,3,0),"")))</f>
        <v/>
      </c>
      <c r="F94" s="95"/>
      <c r="G94" s="96" t="str">
        <f>IF(IF(Modules!$D$4="EUR",F94*(Modules!$B$5),$F94)=0,"",IF(Modules!$D$4="EUR",F94*(Modules!$B$5),$F94))</f>
        <v/>
      </c>
      <c r="H94" s="31"/>
      <c r="I94" s="31"/>
      <c r="J94" s="30"/>
      <c r="K94" s="30"/>
      <c r="L94" s="97"/>
      <c r="M94" s="30"/>
      <c r="N94" s="30" t="str">
        <f>CLEAN(IFERROR(VLOOKUP($D94,Interventions!$E$1:$K$371,7,0),""))</f>
        <v/>
      </c>
      <c r="O94" s="30" t="str">
        <f>CLEAN(IF(D94="","",CONCATENATE(Modules!$B$8,PAAR!N94,R94)))</f>
        <v/>
      </c>
      <c r="P94" s="71">
        <f>IFERROR(INDEX('Dropdown Data'!$D$33:$D$35,MATCH(A94,'Dropdown Data'!$B$33:$B$35,0)),IFERROR(INDEX('Dropdown Data'!$D$33:$D$35,MATCH(A94,'Dropdown Data'!$C$33:$C$35,0)),A94))</f>
        <v>0</v>
      </c>
      <c r="Q94" s="71">
        <f>IFERROR(INDEX('Dropdown Data'!$D$33:$D$36,MATCH(J94,'Dropdown Data'!$B$33:$B$36,0)),IFERROR(INDEX('Dropdown Data'!$D$33:$D$36,MATCH(J94,'Dropdown Data'!$C$33:$C$36,0)),J94))</f>
        <v>0</v>
      </c>
      <c r="R94" s="10">
        <v>66</v>
      </c>
      <c r="S94" s="10" t="b">
        <f t="shared" ref="S94:S116" si="2">IF(AND($B$17&gt;0,NOT(ISBLANK(G94)),(OR(ISBLANK(J94),ISBLANK(L94)))),TRUE,FALSE)</f>
        <v>1</v>
      </c>
      <c r="T94" s="10">
        <f t="shared" ref="T94:T116" si="3">COUNTBLANK(A94:M94)</f>
        <v>13</v>
      </c>
      <c r="U94" s="10" t="e">
        <f>IFERROR(VLOOKUP(B94,Modules!$E$11:$K$29,7,0),IFERROR(VLOOKUP(B94,Modules!$F$11:$K$29,6,0),VLOOKUP(B94,Modules!$G$11:$K$29,5,0)))</f>
        <v>#N/A</v>
      </c>
      <c r="V94" s="10" t="e">
        <f>MATCH(U94,Interventions!C:C,0)</f>
        <v>#N/A</v>
      </c>
      <c r="W94" s="10" t="e">
        <f>MATCH(U94,Interventions!C:C,1)</f>
        <v>#N/A</v>
      </c>
    </row>
    <row r="95" spans="1:23" ht="40" customHeight="1" x14ac:dyDescent="0.35">
      <c r="A95" s="30"/>
      <c r="B95" s="69"/>
      <c r="C95" s="70" t="str">
        <f>IFERROR(VLOOKUP(B95,Modules!C:D,2,0),"")</f>
        <v/>
      </c>
      <c r="D95" s="69"/>
      <c r="E95" s="67" t="str">
        <f>IFERROR(VLOOKUP($D95,Interventions!E:F,2,0),IFERROR(VLOOKUP($D95,Interventions!I:L,4,0),IFERROR(VLOOKUP($D95,Interventions!J:L,3,0),"")))</f>
        <v/>
      </c>
      <c r="F95" s="95"/>
      <c r="G95" s="96" t="str">
        <f>IF(IF(Modules!$D$4="EUR",F95*(Modules!$B$5),$F95)=0,"",IF(Modules!$D$4="EUR",F95*(Modules!$B$5),$F95))</f>
        <v/>
      </c>
      <c r="H95" s="31"/>
      <c r="I95" s="31"/>
      <c r="J95" s="30"/>
      <c r="K95" s="30"/>
      <c r="L95" s="97"/>
      <c r="M95" s="30"/>
      <c r="N95" s="30" t="str">
        <f>CLEAN(IFERROR(VLOOKUP($D95,Interventions!$E$1:$K$371,7,0),""))</f>
        <v/>
      </c>
      <c r="O95" s="30" t="str">
        <f>CLEAN(IF(D95="","",CONCATENATE(Modules!$B$8,PAAR!N95,R95)))</f>
        <v/>
      </c>
      <c r="P95" s="71">
        <f>IFERROR(INDEX('Dropdown Data'!$D$33:$D$35,MATCH(A95,'Dropdown Data'!$B$33:$B$35,0)),IFERROR(INDEX('Dropdown Data'!$D$33:$D$35,MATCH(A95,'Dropdown Data'!$C$33:$C$35,0)),A95))</f>
        <v>0</v>
      </c>
      <c r="Q95" s="71">
        <f>IFERROR(INDEX('Dropdown Data'!$D$33:$D$36,MATCH(J95,'Dropdown Data'!$B$33:$B$36,0)),IFERROR(INDEX('Dropdown Data'!$D$33:$D$36,MATCH(J95,'Dropdown Data'!$C$33:$C$36,0)),J95))</f>
        <v>0</v>
      </c>
      <c r="R95" s="10">
        <v>67</v>
      </c>
      <c r="S95" s="10" t="b">
        <f t="shared" si="2"/>
        <v>1</v>
      </c>
      <c r="T95" s="10">
        <f t="shared" si="3"/>
        <v>13</v>
      </c>
      <c r="U95" s="10" t="e">
        <f>IFERROR(VLOOKUP(B95,Modules!$E$11:$K$29,7,0),IFERROR(VLOOKUP(B95,Modules!$F$11:$K$29,6,0),VLOOKUP(B95,Modules!$G$11:$K$29,5,0)))</f>
        <v>#N/A</v>
      </c>
      <c r="V95" s="10" t="e">
        <f>MATCH(U95,Interventions!C:C,0)</f>
        <v>#N/A</v>
      </c>
      <c r="W95" s="10" t="e">
        <f>MATCH(U95,Interventions!C:C,1)</f>
        <v>#N/A</v>
      </c>
    </row>
    <row r="96" spans="1:23" ht="40" customHeight="1" x14ac:dyDescent="0.35">
      <c r="A96" s="30"/>
      <c r="B96" s="69"/>
      <c r="C96" s="70" t="str">
        <f>IFERROR(VLOOKUP(B96,Modules!C:D,2,0),"")</f>
        <v/>
      </c>
      <c r="D96" s="69"/>
      <c r="E96" s="67" t="str">
        <f>IFERROR(VLOOKUP($D96,Interventions!E:F,2,0),IFERROR(VLOOKUP($D96,Interventions!I:L,4,0),IFERROR(VLOOKUP($D96,Interventions!J:L,3,0),"")))</f>
        <v/>
      </c>
      <c r="F96" s="95"/>
      <c r="G96" s="96" t="str">
        <f>IF(IF(Modules!$D$4="EUR",F96*(Modules!$B$5),$F96)=0,"",IF(Modules!$D$4="EUR",F96*(Modules!$B$5),$F96))</f>
        <v/>
      </c>
      <c r="H96" s="31"/>
      <c r="I96" s="31"/>
      <c r="J96" s="30"/>
      <c r="K96" s="30"/>
      <c r="L96" s="97"/>
      <c r="M96" s="30"/>
      <c r="N96" s="30" t="str">
        <f>CLEAN(IFERROR(VLOOKUP($D96,Interventions!$E$1:$K$371,7,0),""))</f>
        <v/>
      </c>
      <c r="O96" s="30" t="str">
        <f>CLEAN(IF(D96="","",CONCATENATE(Modules!$B$8,PAAR!N96,R96)))</f>
        <v/>
      </c>
      <c r="P96" s="71">
        <f>IFERROR(INDEX('Dropdown Data'!$D$33:$D$35,MATCH(A96,'Dropdown Data'!$B$33:$B$35,0)),IFERROR(INDEX('Dropdown Data'!$D$33:$D$35,MATCH(A96,'Dropdown Data'!$C$33:$C$35,0)),A96))</f>
        <v>0</v>
      </c>
      <c r="Q96" s="71">
        <f>IFERROR(INDEX('Dropdown Data'!$D$33:$D$36,MATCH(J96,'Dropdown Data'!$B$33:$B$36,0)),IFERROR(INDEX('Dropdown Data'!$D$33:$D$36,MATCH(J96,'Dropdown Data'!$C$33:$C$36,0)),J96))</f>
        <v>0</v>
      </c>
      <c r="R96" s="10">
        <v>68</v>
      </c>
      <c r="S96" s="10" t="b">
        <f t="shared" si="2"/>
        <v>1</v>
      </c>
      <c r="T96" s="10">
        <f t="shared" si="3"/>
        <v>13</v>
      </c>
      <c r="U96" s="10" t="e">
        <f>IFERROR(VLOOKUP(B96,Modules!$E$11:$K$29,7,0),IFERROR(VLOOKUP(B96,Modules!$F$11:$K$29,6,0),VLOOKUP(B96,Modules!$G$11:$K$29,5,0)))</f>
        <v>#N/A</v>
      </c>
      <c r="V96" s="10" t="e">
        <f>MATCH(U96,Interventions!C:C,0)</f>
        <v>#N/A</v>
      </c>
      <c r="W96" s="10" t="e">
        <f>MATCH(U96,Interventions!C:C,1)</f>
        <v>#N/A</v>
      </c>
    </row>
    <row r="97" spans="1:23" ht="40" customHeight="1" x14ac:dyDescent="0.35">
      <c r="A97" s="30"/>
      <c r="B97" s="69"/>
      <c r="C97" s="70" t="str">
        <f>IFERROR(VLOOKUP(B97,Modules!C:D,2,0),"")</f>
        <v/>
      </c>
      <c r="D97" s="69"/>
      <c r="E97" s="67" t="str">
        <f>IFERROR(VLOOKUP($D97,Interventions!E:F,2,0),IFERROR(VLOOKUP($D97,Interventions!I:L,4,0),IFERROR(VLOOKUP($D97,Interventions!J:L,3,0),"")))</f>
        <v/>
      </c>
      <c r="F97" s="95"/>
      <c r="G97" s="96" t="str">
        <f>IF(IF(Modules!$D$4="EUR",F97*(Modules!$B$5),$F97)=0,"",IF(Modules!$D$4="EUR",F97*(Modules!$B$5),$F97))</f>
        <v/>
      </c>
      <c r="H97" s="31"/>
      <c r="I97" s="31"/>
      <c r="J97" s="30"/>
      <c r="K97" s="30"/>
      <c r="L97" s="97"/>
      <c r="M97" s="30"/>
      <c r="N97" s="30" t="str">
        <f>CLEAN(IFERROR(VLOOKUP($D97,Interventions!$E$1:$K$371,7,0),""))</f>
        <v/>
      </c>
      <c r="O97" s="30" t="str">
        <f>CLEAN(IF(D97="","",CONCATENATE(Modules!$B$8,PAAR!N97,R97)))</f>
        <v/>
      </c>
      <c r="P97" s="71">
        <f>IFERROR(INDEX('Dropdown Data'!$D$33:$D$35,MATCH(A97,'Dropdown Data'!$B$33:$B$35,0)),IFERROR(INDEX('Dropdown Data'!$D$33:$D$35,MATCH(A97,'Dropdown Data'!$C$33:$C$35,0)),A97))</f>
        <v>0</v>
      </c>
      <c r="Q97" s="71">
        <f>IFERROR(INDEX('Dropdown Data'!$D$33:$D$36,MATCH(J97,'Dropdown Data'!$B$33:$B$36,0)),IFERROR(INDEX('Dropdown Data'!$D$33:$D$36,MATCH(J97,'Dropdown Data'!$C$33:$C$36,0)),J97))</f>
        <v>0</v>
      </c>
      <c r="R97" s="10">
        <v>69</v>
      </c>
      <c r="S97" s="10" t="b">
        <f t="shared" si="2"/>
        <v>1</v>
      </c>
      <c r="T97" s="10">
        <f t="shared" si="3"/>
        <v>13</v>
      </c>
      <c r="U97" s="10" t="e">
        <f>IFERROR(VLOOKUP(B97,Modules!$E$11:$K$29,7,0),IFERROR(VLOOKUP(B97,Modules!$F$11:$K$29,6,0),VLOOKUP(B97,Modules!$G$11:$K$29,5,0)))</f>
        <v>#N/A</v>
      </c>
      <c r="V97" s="10" t="e">
        <f>MATCH(U97,Interventions!C:C,0)</f>
        <v>#N/A</v>
      </c>
      <c r="W97" s="10" t="e">
        <f>MATCH(U97,Interventions!C:C,1)</f>
        <v>#N/A</v>
      </c>
    </row>
    <row r="98" spans="1:23" ht="40" customHeight="1" x14ac:dyDescent="0.35">
      <c r="A98" s="30"/>
      <c r="B98" s="69"/>
      <c r="C98" s="70" t="str">
        <f>IFERROR(VLOOKUP(B98,Modules!C:D,2,0),"")</f>
        <v/>
      </c>
      <c r="D98" s="69"/>
      <c r="E98" s="67" t="str">
        <f>IFERROR(VLOOKUP($D98,Interventions!E:F,2,0),IFERROR(VLOOKUP($D98,Interventions!I:L,4,0),IFERROR(VLOOKUP($D98,Interventions!J:L,3,0),"")))</f>
        <v/>
      </c>
      <c r="F98" s="95"/>
      <c r="G98" s="96" t="str">
        <f>IF(IF(Modules!$D$4="EUR",F98*(Modules!$B$5),$F98)=0,"",IF(Modules!$D$4="EUR",F98*(Modules!$B$5),$F98))</f>
        <v/>
      </c>
      <c r="H98" s="31"/>
      <c r="I98" s="31"/>
      <c r="J98" s="30"/>
      <c r="K98" s="30"/>
      <c r="L98" s="97"/>
      <c r="M98" s="30"/>
      <c r="N98" s="30" t="str">
        <f>CLEAN(IFERROR(VLOOKUP($D98,Interventions!$E$1:$K$371,7,0),""))</f>
        <v/>
      </c>
      <c r="O98" s="30" t="str">
        <f>CLEAN(IF(D98="","",CONCATENATE(Modules!$B$8,PAAR!N98,R98)))</f>
        <v/>
      </c>
      <c r="P98" s="71">
        <f>IFERROR(INDEX('Dropdown Data'!$D$33:$D$35,MATCH(A98,'Dropdown Data'!$B$33:$B$35,0)),IFERROR(INDEX('Dropdown Data'!$D$33:$D$35,MATCH(A98,'Dropdown Data'!$C$33:$C$35,0)),A98))</f>
        <v>0</v>
      </c>
      <c r="Q98" s="71">
        <f>IFERROR(INDEX('Dropdown Data'!$D$33:$D$36,MATCH(J98,'Dropdown Data'!$B$33:$B$36,0)),IFERROR(INDEX('Dropdown Data'!$D$33:$D$36,MATCH(J98,'Dropdown Data'!$C$33:$C$36,0)),J98))</f>
        <v>0</v>
      </c>
      <c r="R98" s="10">
        <v>70</v>
      </c>
      <c r="S98" s="10" t="b">
        <f t="shared" si="2"/>
        <v>1</v>
      </c>
      <c r="T98" s="10">
        <f t="shared" si="3"/>
        <v>13</v>
      </c>
      <c r="U98" s="10" t="e">
        <f>IFERROR(VLOOKUP(B98,Modules!$E$11:$K$29,7,0),IFERROR(VLOOKUP(B98,Modules!$F$11:$K$29,6,0),VLOOKUP(B98,Modules!$G$11:$K$29,5,0)))</f>
        <v>#N/A</v>
      </c>
      <c r="V98" s="10" t="e">
        <f>MATCH(U98,Interventions!C:C,0)</f>
        <v>#N/A</v>
      </c>
      <c r="W98" s="10" t="e">
        <f>MATCH(U98,Interventions!C:C,1)</f>
        <v>#N/A</v>
      </c>
    </row>
    <row r="99" spans="1:23" ht="40" customHeight="1" x14ac:dyDescent="0.35">
      <c r="A99" s="30"/>
      <c r="B99" s="69"/>
      <c r="C99" s="70" t="str">
        <f>IFERROR(VLOOKUP(B99,Modules!C:D,2,0),"")</f>
        <v/>
      </c>
      <c r="D99" s="69"/>
      <c r="E99" s="67" t="str">
        <f>IFERROR(VLOOKUP($D99,Interventions!E:F,2,0),IFERROR(VLOOKUP($D99,Interventions!I:L,4,0),IFERROR(VLOOKUP($D99,Interventions!J:L,3,0),"")))</f>
        <v/>
      </c>
      <c r="F99" s="95"/>
      <c r="G99" s="96" t="str">
        <f>IF(IF(Modules!$D$4="EUR",F99*(Modules!$B$5),$F99)=0,"",IF(Modules!$D$4="EUR",F99*(Modules!$B$5),$F99))</f>
        <v/>
      </c>
      <c r="H99" s="31"/>
      <c r="I99" s="31"/>
      <c r="J99" s="30"/>
      <c r="K99" s="30"/>
      <c r="L99" s="97"/>
      <c r="M99" s="30"/>
      <c r="N99" s="30" t="str">
        <f>CLEAN(IFERROR(VLOOKUP($D99,Interventions!$E$1:$K$371,7,0),""))</f>
        <v/>
      </c>
      <c r="O99" s="30" t="str">
        <f>CLEAN(IF(D99="","",CONCATENATE(Modules!$B$8,PAAR!N99,R99)))</f>
        <v/>
      </c>
      <c r="P99" s="71">
        <f>IFERROR(INDEX('Dropdown Data'!$D$33:$D$35,MATCH(A99,'Dropdown Data'!$B$33:$B$35,0)),IFERROR(INDEX('Dropdown Data'!$D$33:$D$35,MATCH(A99,'Dropdown Data'!$C$33:$C$35,0)),A99))</f>
        <v>0</v>
      </c>
      <c r="Q99" s="71">
        <f>IFERROR(INDEX('Dropdown Data'!$D$33:$D$36,MATCH(J99,'Dropdown Data'!$B$33:$B$36,0)),IFERROR(INDEX('Dropdown Data'!$D$33:$D$36,MATCH(J99,'Dropdown Data'!$C$33:$C$36,0)),J99))</f>
        <v>0</v>
      </c>
      <c r="R99" s="10">
        <v>71</v>
      </c>
      <c r="S99" s="10" t="b">
        <f t="shared" si="2"/>
        <v>1</v>
      </c>
      <c r="T99" s="10">
        <f t="shared" si="3"/>
        <v>13</v>
      </c>
      <c r="U99" s="10" t="e">
        <f>IFERROR(VLOOKUP(B99,Modules!$E$11:$K$29,7,0),IFERROR(VLOOKUP(B99,Modules!$F$11:$K$29,6,0),VLOOKUP(B99,Modules!$G$11:$K$29,5,0)))</f>
        <v>#N/A</v>
      </c>
      <c r="V99" s="10" t="e">
        <f>MATCH(U99,Interventions!C:C,0)</f>
        <v>#N/A</v>
      </c>
      <c r="W99" s="10" t="e">
        <f>MATCH(U99,Interventions!C:C,1)</f>
        <v>#N/A</v>
      </c>
    </row>
    <row r="100" spans="1:23" ht="40" customHeight="1" x14ac:dyDescent="0.35">
      <c r="A100" s="30"/>
      <c r="B100" s="69"/>
      <c r="C100" s="70" t="str">
        <f>IFERROR(VLOOKUP(B100,Modules!C:D,2,0),"")</f>
        <v/>
      </c>
      <c r="D100" s="69"/>
      <c r="E100" s="67" t="str">
        <f>IFERROR(VLOOKUP($D100,Interventions!E:F,2,0),IFERROR(VLOOKUP($D100,Interventions!I:L,4,0),IFERROR(VLOOKUP($D100,Interventions!J:L,3,0),"")))</f>
        <v/>
      </c>
      <c r="F100" s="95"/>
      <c r="G100" s="96" t="str">
        <f>IF(IF(Modules!$D$4="EUR",F100*(Modules!$B$5),$F100)=0,"",IF(Modules!$D$4="EUR",F100*(Modules!$B$5),$F100))</f>
        <v/>
      </c>
      <c r="H100" s="31"/>
      <c r="I100" s="31"/>
      <c r="J100" s="30"/>
      <c r="K100" s="30"/>
      <c r="L100" s="97"/>
      <c r="M100" s="30"/>
      <c r="N100" s="30" t="str">
        <f>CLEAN(IFERROR(VLOOKUP($D100,Interventions!$E$1:$K$371,7,0),""))</f>
        <v/>
      </c>
      <c r="O100" s="30" t="str">
        <f>CLEAN(IF(D100="","",CONCATENATE(Modules!$B$8,PAAR!N100,R100)))</f>
        <v/>
      </c>
      <c r="P100" s="71">
        <f>IFERROR(INDEX('Dropdown Data'!$D$33:$D$35,MATCH(A100,'Dropdown Data'!$B$33:$B$35,0)),IFERROR(INDEX('Dropdown Data'!$D$33:$D$35,MATCH(A100,'Dropdown Data'!$C$33:$C$35,0)),A100))</f>
        <v>0</v>
      </c>
      <c r="Q100" s="71">
        <f>IFERROR(INDEX('Dropdown Data'!$D$33:$D$36,MATCH(J100,'Dropdown Data'!$B$33:$B$36,0)),IFERROR(INDEX('Dropdown Data'!$D$33:$D$36,MATCH(J100,'Dropdown Data'!$C$33:$C$36,0)),J100))</f>
        <v>0</v>
      </c>
      <c r="R100" s="10">
        <v>72</v>
      </c>
      <c r="S100" s="10" t="b">
        <f t="shared" si="2"/>
        <v>1</v>
      </c>
      <c r="T100" s="10">
        <f t="shared" si="3"/>
        <v>13</v>
      </c>
      <c r="U100" s="10" t="e">
        <f>IFERROR(VLOOKUP(B100,Modules!$E$11:$K$29,7,0),IFERROR(VLOOKUP(B100,Modules!$F$11:$K$29,6,0),VLOOKUP(B100,Modules!$G$11:$K$29,5,0)))</f>
        <v>#N/A</v>
      </c>
      <c r="V100" s="10" t="e">
        <f>MATCH(U100,Interventions!C:C,0)</f>
        <v>#N/A</v>
      </c>
      <c r="W100" s="10" t="e">
        <f>MATCH(U100,Interventions!C:C,1)</f>
        <v>#N/A</v>
      </c>
    </row>
    <row r="101" spans="1:23" ht="40" customHeight="1" x14ac:dyDescent="0.35">
      <c r="A101" s="30"/>
      <c r="B101" s="69"/>
      <c r="C101" s="70" t="str">
        <f>IFERROR(VLOOKUP(B101,Modules!C:D,2,0),"")</f>
        <v/>
      </c>
      <c r="D101" s="69"/>
      <c r="E101" s="67" t="str">
        <f>IFERROR(VLOOKUP($D101,Interventions!E:F,2,0),IFERROR(VLOOKUP($D101,Interventions!I:L,4,0),IFERROR(VLOOKUP($D101,Interventions!J:L,3,0),"")))</f>
        <v/>
      </c>
      <c r="F101" s="95"/>
      <c r="G101" s="96" t="str">
        <f>IF(IF(Modules!$D$4="EUR",F101*(Modules!$B$5),$F101)=0,"",IF(Modules!$D$4="EUR",F101*(Modules!$B$5),$F101))</f>
        <v/>
      </c>
      <c r="H101" s="31"/>
      <c r="I101" s="31"/>
      <c r="J101" s="30"/>
      <c r="K101" s="30"/>
      <c r="L101" s="97"/>
      <c r="M101" s="30"/>
      <c r="N101" s="30" t="str">
        <f>CLEAN(IFERROR(VLOOKUP($D101,Interventions!$E$1:$K$371,7,0),""))</f>
        <v/>
      </c>
      <c r="O101" s="30" t="str">
        <f>CLEAN(IF(D101="","",CONCATENATE(Modules!$B$8,PAAR!N101,R101)))</f>
        <v/>
      </c>
      <c r="P101" s="71">
        <f>IFERROR(INDEX('Dropdown Data'!$D$33:$D$35,MATCH(A101,'Dropdown Data'!$B$33:$B$35,0)),IFERROR(INDEX('Dropdown Data'!$D$33:$D$35,MATCH(A101,'Dropdown Data'!$C$33:$C$35,0)),A101))</f>
        <v>0</v>
      </c>
      <c r="Q101" s="71">
        <f>IFERROR(INDEX('Dropdown Data'!$D$33:$D$36,MATCH(J101,'Dropdown Data'!$B$33:$B$36,0)),IFERROR(INDEX('Dropdown Data'!$D$33:$D$36,MATCH(J101,'Dropdown Data'!$C$33:$C$36,0)),J101))</f>
        <v>0</v>
      </c>
      <c r="R101" s="10">
        <v>73</v>
      </c>
      <c r="S101" s="10" t="b">
        <f t="shared" si="2"/>
        <v>1</v>
      </c>
      <c r="T101" s="10">
        <f t="shared" si="3"/>
        <v>13</v>
      </c>
      <c r="U101" s="10" t="e">
        <f>IFERROR(VLOOKUP(B101,Modules!$E$11:$K$29,7,0),IFERROR(VLOOKUP(B101,Modules!$F$11:$K$29,6,0),VLOOKUP(B101,Modules!$G$11:$K$29,5,0)))</f>
        <v>#N/A</v>
      </c>
      <c r="V101" s="10" t="e">
        <f>MATCH(U101,Interventions!C:C,0)</f>
        <v>#N/A</v>
      </c>
      <c r="W101" s="10" t="e">
        <f>MATCH(U101,Interventions!C:C,1)</f>
        <v>#N/A</v>
      </c>
    </row>
    <row r="102" spans="1:23" ht="40" customHeight="1" x14ac:dyDescent="0.35">
      <c r="A102" s="30"/>
      <c r="B102" s="69"/>
      <c r="C102" s="70" t="str">
        <f>IFERROR(VLOOKUP(B102,Modules!C:D,2,0),"")</f>
        <v/>
      </c>
      <c r="D102" s="69"/>
      <c r="E102" s="67" t="str">
        <f>IFERROR(VLOOKUP($D102,Interventions!E:F,2,0),IFERROR(VLOOKUP($D102,Interventions!I:L,4,0),IFERROR(VLOOKUP($D102,Interventions!J:L,3,0),"")))</f>
        <v/>
      </c>
      <c r="F102" s="95"/>
      <c r="G102" s="96" t="str">
        <f>IF(IF(Modules!$D$4="EUR",F102*(Modules!$B$5),$F102)=0,"",IF(Modules!$D$4="EUR",F102*(Modules!$B$5),$F102))</f>
        <v/>
      </c>
      <c r="H102" s="31"/>
      <c r="I102" s="31"/>
      <c r="J102" s="30"/>
      <c r="K102" s="30"/>
      <c r="L102" s="97"/>
      <c r="M102" s="30"/>
      <c r="N102" s="30" t="str">
        <f>CLEAN(IFERROR(VLOOKUP($D102,Interventions!$E$1:$K$371,7,0),""))</f>
        <v/>
      </c>
      <c r="O102" s="30" t="str">
        <f>CLEAN(IF(D102="","",CONCATENATE(Modules!$B$8,PAAR!N102,R102)))</f>
        <v/>
      </c>
      <c r="P102" s="71">
        <f>IFERROR(INDEX('Dropdown Data'!$D$33:$D$35,MATCH(A102,'Dropdown Data'!$B$33:$B$35,0)),IFERROR(INDEX('Dropdown Data'!$D$33:$D$35,MATCH(A102,'Dropdown Data'!$C$33:$C$35,0)),A102))</f>
        <v>0</v>
      </c>
      <c r="Q102" s="71">
        <f>IFERROR(INDEX('Dropdown Data'!$D$33:$D$36,MATCH(J102,'Dropdown Data'!$B$33:$B$36,0)),IFERROR(INDEX('Dropdown Data'!$D$33:$D$36,MATCH(J102,'Dropdown Data'!$C$33:$C$36,0)),J102))</f>
        <v>0</v>
      </c>
      <c r="R102" s="10">
        <v>74</v>
      </c>
      <c r="S102" s="10" t="b">
        <f t="shared" si="2"/>
        <v>1</v>
      </c>
      <c r="T102" s="10">
        <f t="shared" si="3"/>
        <v>13</v>
      </c>
      <c r="U102" s="10" t="e">
        <f>IFERROR(VLOOKUP(B102,Modules!$E$11:$K$29,7,0),IFERROR(VLOOKUP(B102,Modules!$F$11:$K$29,6,0),VLOOKUP(B102,Modules!$G$11:$K$29,5,0)))</f>
        <v>#N/A</v>
      </c>
      <c r="V102" s="10" t="e">
        <f>MATCH(U102,Interventions!C:C,0)</f>
        <v>#N/A</v>
      </c>
      <c r="W102" s="10" t="e">
        <f>MATCH(U102,Interventions!C:C,1)</f>
        <v>#N/A</v>
      </c>
    </row>
    <row r="103" spans="1:23" ht="40" customHeight="1" x14ac:dyDescent="0.35">
      <c r="A103" s="30"/>
      <c r="B103" s="69"/>
      <c r="C103" s="70" t="str">
        <f>IFERROR(VLOOKUP(B103,Modules!C:D,2,0),"")</f>
        <v/>
      </c>
      <c r="D103" s="69"/>
      <c r="E103" s="67" t="str">
        <f>IFERROR(VLOOKUP($D103,Interventions!E:F,2,0),IFERROR(VLOOKUP($D103,Interventions!I:L,4,0),IFERROR(VLOOKUP($D103,Interventions!J:L,3,0),"")))</f>
        <v/>
      </c>
      <c r="F103" s="95"/>
      <c r="G103" s="96" t="str">
        <f>IF(IF(Modules!$D$4="EUR",F103*(Modules!$B$5),$F103)=0,"",IF(Modules!$D$4="EUR",F103*(Modules!$B$5),$F103))</f>
        <v/>
      </c>
      <c r="H103" s="31"/>
      <c r="I103" s="31"/>
      <c r="J103" s="30"/>
      <c r="K103" s="30"/>
      <c r="L103" s="97"/>
      <c r="M103" s="30"/>
      <c r="N103" s="30" t="str">
        <f>CLEAN(IFERROR(VLOOKUP($D103,Interventions!$E$1:$K$371,7,0),""))</f>
        <v/>
      </c>
      <c r="O103" s="30" t="str">
        <f>CLEAN(IF(D103="","",CONCATENATE(Modules!$B$8,PAAR!N103,R103)))</f>
        <v/>
      </c>
      <c r="P103" s="71">
        <f>IFERROR(INDEX('Dropdown Data'!$D$33:$D$35,MATCH(A103,'Dropdown Data'!$B$33:$B$35,0)),IFERROR(INDEX('Dropdown Data'!$D$33:$D$35,MATCH(A103,'Dropdown Data'!$C$33:$C$35,0)),A103))</f>
        <v>0</v>
      </c>
      <c r="Q103" s="71">
        <f>IFERROR(INDEX('Dropdown Data'!$D$33:$D$36,MATCH(J103,'Dropdown Data'!$B$33:$B$36,0)),IFERROR(INDEX('Dropdown Data'!$D$33:$D$36,MATCH(J103,'Dropdown Data'!$C$33:$C$36,0)),J103))</f>
        <v>0</v>
      </c>
      <c r="R103" s="10">
        <v>75</v>
      </c>
      <c r="S103" s="10" t="b">
        <f t="shared" si="2"/>
        <v>1</v>
      </c>
      <c r="T103" s="10">
        <f t="shared" si="3"/>
        <v>13</v>
      </c>
      <c r="U103" s="10" t="e">
        <f>IFERROR(VLOOKUP(B103,Modules!$E$11:$K$29,7,0),IFERROR(VLOOKUP(B103,Modules!$F$11:$K$29,6,0),VLOOKUP(B103,Modules!$G$11:$K$29,5,0)))</f>
        <v>#N/A</v>
      </c>
      <c r="V103" s="10" t="e">
        <f>MATCH(U103,Interventions!C:C,0)</f>
        <v>#N/A</v>
      </c>
      <c r="W103" s="10" t="e">
        <f>MATCH(U103,Interventions!C:C,1)</f>
        <v>#N/A</v>
      </c>
    </row>
    <row r="104" spans="1:23" ht="40" customHeight="1" x14ac:dyDescent="0.35">
      <c r="A104" s="30"/>
      <c r="B104" s="69"/>
      <c r="C104" s="70" t="str">
        <f>IFERROR(VLOOKUP(B104,Modules!C:D,2,0),"")</f>
        <v/>
      </c>
      <c r="D104" s="69"/>
      <c r="E104" s="67" t="str">
        <f>IFERROR(VLOOKUP($D104,Interventions!E:F,2,0),IFERROR(VLOOKUP($D104,Interventions!I:L,4,0),IFERROR(VLOOKUP($D104,Interventions!J:L,3,0),"")))</f>
        <v/>
      </c>
      <c r="F104" s="95"/>
      <c r="G104" s="96" t="str">
        <f>IF(IF(Modules!$D$4="EUR",F104*(Modules!$B$5),$F104)=0,"",IF(Modules!$D$4="EUR",F104*(Modules!$B$5),$F104))</f>
        <v/>
      </c>
      <c r="H104" s="31"/>
      <c r="I104" s="31"/>
      <c r="J104" s="30"/>
      <c r="K104" s="30"/>
      <c r="L104" s="97"/>
      <c r="M104" s="30"/>
      <c r="N104" s="30" t="str">
        <f>CLEAN(IFERROR(VLOOKUP($D104,Interventions!$E$1:$K$371,7,0),""))</f>
        <v/>
      </c>
      <c r="O104" s="30" t="str">
        <f>CLEAN(IF(D104="","",CONCATENATE(Modules!$B$8,PAAR!N104,R104)))</f>
        <v/>
      </c>
      <c r="P104" s="71">
        <f>IFERROR(INDEX('Dropdown Data'!$D$33:$D$35,MATCH(A104,'Dropdown Data'!$B$33:$B$35,0)),IFERROR(INDEX('Dropdown Data'!$D$33:$D$35,MATCH(A104,'Dropdown Data'!$C$33:$C$35,0)),A104))</f>
        <v>0</v>
      </c>
      <c r="Q104" s="71">
        <f>IFERROR(INDEX('Dropdown Data'!$D$33:$D$36,MATCH(J104,'Dropdown Data'!$B$33:$B$36,0)),IFERROR(INDEX('Dropdown Data'!$D$33:$D$36,MATCH(J104,'Dropdown Data'!$C$33:$C$36,0)),J104))</f>
        <v>0</v>
      </c>
      <c r="R104" s="10">
        <v>76</v>
      </c>
      <c r="S104" s="10" t="b">
        <f t="shared" si="2"/>
        <v>1</v>
      </c>
      <c r="T104" s="10">
        <f t="shared" si="3"/>
        <v>13</v>
      </c>
      <c r="U104" s="10" t="e">
        <f>IFERROR(VLOOKUP(B104,Modules!$E$11:$K$29,7,0),IFERROR(VLOOKUP(B104,Modules!$F$11:$K$29,6,0),VLOOKUP(B104,Modules!$G$11:$K$29,5,0)))</f>
        <v>#N/A</v>
      </c>
      <c r="V104" s="10" t="e">
        <f>MATCH(U104,Interventions!C:C,0)</f>
        <v>#N/A</v>
      </c>
      <c r="W104" s="10" t="e">
        <f>MATCH(U104,Interventions!C:C,1)</f>
        <v>#N/A</v>
      </c>
    </row>
    <row r="105" spans="1:23" ht="40" customHeight="1" x14ac:dyDescent="0.35">
      <c r="A105" s="30"/>
      <c r="B105" s="69"/>
      <c r="C105" s="70" t="str">
        <f>IFERROR(VLOOKUP(B105,Modules!C:D,2,0),"")</f>
        <v/>
      </c>
      <c r="D105" s="69"/>
      <c r="E105" s="67" t="str">
        <f>IFERROR(VLOOKUP($D105,Interventions!E:F,2,0),IFERROR(VLOOKUP($D105,Interventions!I:L,4,0),IFERROR(VLOOKUP($D105,Interventions!J:L,3,0),"")))</f>
        <v/>
      </c>
      <c r="F105" s="95"/>
      <c r="G105" s="96" t="str">
        <f>IF(IF(Modules!$D$4="EUR",F105*(Modules!$B$5),$F105)=0,"",IF(Modules!$D$4="EUR",F105*(Modules!$B$5),$F105))</f>
        <v/>
      </c>
      <c r="H105" s="31"/>
      <c r="I105" s="31"/>
      <c r="J105" s="30"/>
      <c r="K105" s="30"/>
      <c r="L105" s="97"/>
      <c r="M105" s="30"/>
      <c r="N105" s="30" t="str">
        <f>CLEAN(IFERROR(VLOOKUP($D105,Interventions!$E$1:$K$371,7,0),""))</f>
        <v/>
      </c>
      <c r="O105" s="30" t="str">
        <f>CLEAN(IF(D105="","",CONCATENATE(Modules!$B$8,PAAR!N105,R105)))</f>
        <v/>
      </c>
      <c r="P105" s="71">
        <f>IFERROR(INDEX('Dropdown Data'!$D$33:$D$35,MATCH(A105,'Dropdown Data'!$B$33:$B$35,0)),IFERROR(INDEX('Dropdown Data'!$D$33:$D$35,MATCH(A105,'Dropdown Data'!$C$33:$C$35,0)),A105))</f>
        <v>0</v>
      </c>
      <c r="Q105" s="71">
        <f>IFERROR(INDEX('Dropdown Data'!$D$33:$D$36,MATCH(J105,'Dropdown Data'!$B$33:$B$36,0)),IFERROR(INDEX('Dropdown Data'!$D$33:$D$36,MATCH(J105,'Dropdown Data'!$C$33:$C$36,0)),J105))</f>
        <v>0</v>
      </c>
      <c r="R105" s="10">
        <v>77</v>
      </c>
      <c r="S105" s="10" t="b">
        <f t="shared" si="2"/>
        <v>1</v>
      </c>
      <c r="T105" s="10">
        <f t="shared" si="3"/>
        <v>13</v>
      </c>
      <c r="U105" s="10" t="e">
        <f>IFERROR(VLOOKUP(B105,Modules!$E$11:$K$29,7,0),IFERROR(VLOOKUP(B105,Modules!$F$11:$K$29,6,0),VLOOKUP(B105,Modules!$G$11:$K$29,5,0)))</f>
        <v>#N/A</v>
      </c>
      <c r="V105" s="10" t="e">
        <f>MATCH(U105,Interventions!C:C,0)</f>
        <v>#N/A</v>
      </c>
      <c r="W105" s="10" t="e">
        <f>MATCH(U105,Interventions!C:C,1)</f>
        <v>#N/A</v>
      </c>
    </row>
    <row r="106" spans="1:23" ht="40" customHeight="1" x14ac:dyDescent="0.35">
      <c r="A106" s="30"/>
      <c r="B106" s="69"/>
      <c r="C106" s="70" t="str">
        <f>IFERROR(VLOOKUP(B106,Modules!C:D,2,0),"")</f>
        <v/>
      </c>
      <c r="D106" s="69"/>
      <c r="E106" s="67" t="str">
        <f>IFERROR(VLOOKUP($D106,Interventions!E:F,2,0),IFERROR(VLOOKUP($D106,Interventions!I:L,4,0),IFERROR(VLOOKUP($D106,Interventions!J:L,3,0),"")))</f>
        <v/>
      </c>
      <c r="F106" s="95"/>
      <c r="G106" s="96" t="str">
        <f>IF(IF(Modules!$D$4="EUR",F106*(Modules!$B$5),$F106)=0,"",IF(Modules!$D$4="EUR",F106*(Modules!$B$5),$F106))</f>
        <v/>
      </c>
      <c r="H106" s="31"/>
      <c r="I106" s="31"/>
      <c r="J106" s="30"/>
      <c r="K106" s="30"/>
      <c r="L106" s="97"/>
      <c r="M106" s="30"/>
      <c r="N106" s="30" t="str">
        <f>CLEAN(IFERROR(VLOOKUP($D106,Interventions!$E$1:$K$371,7,0),""))</f>
        <v/>
      </c>
      <c r="O106" s="30" t="str">
        <f>CLEAN(IF(D106="","",CONCATENATE(Modules!$B$8,PAAR!N106,R106)))</f>
        <v/>
      </c>
      <c r="P106" s="71">
        <f>IFERROR(INDEX('Dropdown Data'!$D$33:$D$35,MATCH(A106,'Dropdown Data'!$B$33:$B$35,0)),IFERROR(INDEX('Dropdown Data'!$D$33:$D$35,MATCH(A106,'Dropdown Data'!$C$33:$C$35,0)),A106))</f>
        <v>0</v>
      </c>
      <c r="Q106" s="71">
        <f>IFERROR(INDEX('Dropdown Data'!$D$33:$D$36,MATCH(J106,'Dropdown Data'!$B$33:$B$36,0)),IFERROR(INDEX('Dropdown Data'!$D$33:$D$36,MATCH(J106,'Dropdown Data'!$C$33:$C$36,0)),J106))</f>
        <v>0</v>
      </c>
      <c r="R106" s="10">
        <v>78</v>
      </c>
      <c r="S106" s="10" t="b">
        <f t="shared" si="2"/>
        <v>1</v>
      </c>
      <c r="T106" s="10">
        <f t="shared" si="3"/>
        <v>13</v>
      </c>
      <c r="U106" s="10" t="e">
        <f>IFERROR(VLOOKUP(B106,Modules!$E$11:$K$29,7,0),IFERROR(VLOOKUP(B106,Modules!$F$11:$K$29,6,0),VLOOKUP(B106,Modules!$G$11:$K$29,5,0)))</f>
        <v>#N/A</v>
      </c>
      <c r="V106" s="10" t="e">
        <f>MATCH(U106,Interventions!C:C,0)</f>
        <v>#N/A</v>
      </c>
      <c r="W106" s="10" t="e">
        <f>MATCH(U106,Interventions!C:C,1)</f>
        <v>#N/A</v>
      </c>
    </row>
    <row r="107" spans="1:23" ht="40" customHeight="1" x14ac:dyDescent="0.35">
      <c r="A107" s="30"/>
      <c r="B107" s="69"/>
      <c r="C107" s="70" t="str">
        <f>IFERROR(VLOOKUP(B107,Modules!C:D,2,0),"")</f>
        <v/>
      </c>
      <c r="D107" s="69"/>
      <c r="E107" s="67" t="str">
        <f>IFERROR(VLOOKUP($D107,Interventions!E:F,2,0),IFERROR(VLOOKUP($D107,Interventions!I:L,4,0),IFERROR(VLOOKUP($D107,Interventions!J:L,3,0),"")))</f>
        <v/>
      </c>
      <c r="F107" s="95"/>
      <c r="G107" s="96" t="str">
        <f>IF(IF(Modules!$D$4="EUR",F107*(Modules!$B$5),$F107)=0,"",IF(Modules!$D$4="EUR",F107*(Modules!$B$5),$F107))</f>
        <v/>
      </c>
      <c r="H107" s="31"/>
      <c r="I107" s="31"/>
      <c r="J107" s="30"/>
      <c r="K107" s="30"/>
      <c r="L107" s="97"/>
      <c r="M107" s="30"/>
      <c r="N107" s="30" t="str">
        <f>CLEAN(IFERROR(VLOOKUP($D107,Interventions!$E$1:$K$371,7,0),""))</f>
        <v/>
      </c>
      <c r="O107" s="30" t="str">
        <f>CLEAN(IF(D107="","",CONCATENATE(Modules!$B$8,PAAR!N107,R107)))</f>
        <v/>
      </c>
      <c r="P107" s="71">
        <f>IFERROR(INDEX('Dropdown Data'!$D$33:$D$35,MATCH(A107,'Dropdown Data'!$B$33:$B$35,0)),IFERROR(INDEX('Dropdown Data'!$D$33:$D$35,MATCH(A107,'Dropdown Data'!$C$33:$C$35,0)),A107))</f>
        <v>0</v>
      </c>
      <c r="Q107" s="71">
        <f>IFERROR(INDEX('Dropdown Data'!$D$33:$D$36,MATCH(J107,'Dropdown Data'!$B$33:$B$36,0)),IFERROR(INDEX('Dropdown Data'!$D$33:$D$36,MATCH(J107,'Dropdown Data'!$C$33:$C$36,0)),J107))</f>
        <v>0</v>
      </c>
      <c r="R107" s="10">
        <v>79</v>
      </c>
      <c r="S107" s="10" t="b">
        <f t="shared" si="2"/>
        <v>1</v>
      </c>
      <c r="T107" s="10">
        <f t="shared" si="3"/>
        <v>13</v>
      </c>
      <c r="U107" s="10" t="e">
        <f>IFERROR(VLOOKUP(B107,Modules!$E$11:$K$29,7,0),IFERROR(VLOOKUP(B107,Modules!$F$11:$K$29,6,0),VLOOKUP(B107,Modules!$G$11:$K$29,5,0)))</f>
        <v>#N/A</v>
      </c>
      <c r="V107" s="10" t="e">
        <f>MATCH(U107,Interventions!C:C,0)</f>
        <v>#N/A</v>
      </c>
      <c r="W107" s="10" t="e">
        <f>MATCH(U107,Interventions!C:C,1)</f>
        <v>#N/A</v>
      </c>
    </row>
    <row r="108" spans="1:23" ht="40" customHeight="1" x14ac:dyDescent="0.35">
      <c r="A108" s="30"/>
      <c r="B108" s="69"/>
      <c r="C108" s="70" t="str">
        <f>IFERROR(VLOOKUP(B108,Modules!C:D,2,0),"")</f>
        <v/>
      </c>
      <c r="D108" s="69"/>
      <c r="E108" s="67" t="str">
        <f>IFERROR(VLOOKUP($D108,Interventions!E:F,2,0),IFERROR(VLOOKUP($D108,Interventions!I:L,4,0),IFERROR(VLOOKUP($D108,Interventions!J:L,3,0),"")))</f>
        <v/>
      </c>
      <c r="F108" s="95"/>
      <c r="G108" s="96" t="str">
        <f>IF(IF(Modules!$D$4="EUR",F108*(Modules!$B$5),$F108)=0,"",IF(Modules!$D$4="EUR",F108*(Modules!$B$5),$F108))</f>
        <v/>
      </c>
      <c r="H108" s="31"/>
      <c r="I108" s="31"/>
      <c r="J108" s="30"/>
      <c r="K108" s="30"/>
      <c r="L108" s="97"/>
      <c r="M108" s="30"/>
      <c r="N108" s="30" t="str">
        <f>CLEAN(IFERROR(VLOOKUP($D108,Interventions!$E$1:$K$371,7,0),""))</f>
        <v/>
      </c>
      <c r="O108" s="30" t="str">
        <f>CLEAN(IF(D108="","",CONCATENATE(Modules!$B$8,PAAR!N108,R108)))</f>
        <v/>
      </c>
      <c r="P108" s="71">
        <f>IFERROR(INDEX('Dropdown Data'!$D$33:$D$35,MATCH(A108,'Dropdown Data'!$B$33:$B$35,0)),IFERROR(INDEX('Dropdown Data'!$D$33:$D$35,MATCH(A108,'Dropdown Data'!$C$33:$C$35,0)),A108))</f>
        <v>0</v>
      </c>
      <c r="Q108" s="71">
        <f>IFERROR(INDEX('Dropdown Data'!$D$33:$D$36,MATCH(J108,'Dropdown Data'!$B$33:$B$36,0)),IFERROR(INDEX('Dropdown Data'!$D$33:$D$36,MATCH(J108,'Dropdown Data'!$C$33:$C$36,0)),J108))</f>
        <v>0</v>
      </c>
      <c r="R108" s="10">
        <v>80</v>
      </c>
      <c r="S108" s="10" t="b">
        <f t="shared" si="2"/>
        <v>1</v>
      </c>
      <c r="T108" s="10">
        <f t="shared" si="3"/>
        <v>13</v>
      </c>
      <c r="U108" s="10" t="e">
        <f>IFERROR(VLOOKUP(B108,Modules!$E$11:$K$29,7,0),IFERROR(VLOOKUP(B108,Modules!$F$11:$K$29,6,0),VLOOKUP(B108,Modules!$G$11:$K$29,5,0)))</f>
        <v>#N/A</v>
      </c>
      <c r="V108" s="10" t="e">
        <f>MATCH(U108,Interventions!C:C,0)</f>
        <v>#N/A</v>
      </c>
      <c r="W108" s="10" t="e">
        <f>MATCH(U108,Interventions!C:C,1)</f>
        <v>#N/A</v>
      </c>
    </row>
    <row r="109" spans="1:23" ht="40" customHeight="1" x14ac:dyDescent="0.35">
      <c r="A109" s="30"/>
      <c r="B109" s="69"/>
      <c r="C109" s="70" t="str">
        <f>IFERROR(VLOOKUP(B109,Modules!C:D,2,0),"")</f>
        <v/>
      </c>
      <c r="D109" s="69"/>
      <c r="E109" s="67" t="str">
        <f>IFERROR(VLOOKUP($D109,Interventions!E:F,2,0),IFERROR(VLOOKUP($D109,Interventions!I:L,4,0),IFERROR(VLOOKUP($D109,Interventions!J:L,3,0),"")))</f>
        <v/>
      </c>
      <c r="F109" s="95"/>
      <c r="G109" s="96" t="str">
        <f>IF(IF(Modules!$D$4="EUR",F109*(Modules!$B$5),$F109)=0,"",IF(Modules!$D$4="EUR",F109*(Modules!$B$5),$F109))</f>
        <v/>
      </c>
      <c r="H109" s="31"/>
      <c r="I109" s="31"/>
      <c r="J109" s="30"/>
      <c r="K109" s="30"/>
      <c r="L109" s="97"/>
      <c r="M109" s="30"/>
      <c r="N109" s="30" t="str">
        <f>CLEAN(IFERROR(VLOOKUP($D109,Interventions!$E$1:$K$371,7,0),""))</f>
        <v/>
      </c>
      <c r="O109" s="30" t="str">
        <f>CLEAN(IF(D109="","",CONCATENATE(Modules!$B$8,PAAR!N109,R109)))</f>
        <v/>
      </c>
      <c r="P109" s="71">
        <f>IFERROR(INDEX('Dropdown Data'!$D$33:$D$35,MATCH(A109,'Dropdown Data'!$B$33:$B$35,0)),IFERROR(INDEX('Dropdown Data'!$D$33:$D$35,MATCH(A109,'Dropdown Data'!$C$33:$C$35,0)),A109))</f>
        <v>0</v>
      </c>
      <c r="Q109" s="71">
        <f>IFERROR(INDEX('Dropdown Data'!$D$33:$D$36,MATCH(J109,'Dropdown Data'!$B$33:$B$36,0)),IFERROR(INDEX('Dropdown Data'!$D$33:$D$36,MATCH(J109,'Dropdown Data'!$C$33:$C$36,0)),J109))</f>
        <v>0</v>
      </c>
      <c r="R109" s="10">
        <v>81</v>
      </c>
      <c r="S109" s="10" t="b">
        <f t="shared" si="2"/>
        <v>1</v>
      </c>
      <c r="T109" s="10">
        <f t="shared" si="3"/>
        <v>13</v>
      </c>
      <c r="U109" s="10" t="e">
        <f>IFERROR(VLOOKUP(B109,Modules!$E$11:$K$29,7,0),IFERROR(VLOOKUP(B109,Modules!$F$11:$K$29,6,0),VLOOKUP(B109,Modules!$G$11:$K$29,5,0)))</f>
        <v>#N/A</v>
      </c>
      <c r="V109" s="10" t="e">
        <f>MATCH(U109,Interventions!C:C,0)</f>
        <v>#N/A</v>
      </c>
      <c r="W109" s="10" t="e">
        <f>MATCH(U109,Interventions!C:C,1)</f>
        <v>#N/A</v>
      </c>
    </row>
    <row r="110" spans="1:23" ht="40" customHeight="1" x14ac:dyDescent="0.35">
      <c r="A110" s="30"/>
      <c r="B110" s="69"/>
      <c r="C110" s="70" t="str">
        <f>IFERROR(VLOOKUP(B110,Modules!C:D,2,0),"")</f>
        <v/>
      </c>
      <c r="D110" s="69"/>
      <c r="E110" s="67" t="str">
        <f>IFERROR(VLOOKUP($D110,Interventions!E:F,2,0),IFERROR(VLOOKUP($D110,Interventions!I:L,4,0),IFERROR(VLOOKUP($D110,Interventions!J:L,3,0),"")))</f>
        <v/>
      </c>
      <c r="F110" s="95"/>
      <c r="G110" s="96" t="str">
        <f>IF(IF(Modules!$D$4="EUR",F110*(Modules!$B$5),$F110)=0,"",IF(Modules!$D$4="EUR",F110*(Modules!$B$5),$F110))</f>
        <v/>
      </c>
      <c r="H110" s="31"/>
      <c r="I110" s="31"/>
      <c r="J110" s="30"/>
      <c r="K110" s="30"/>
      <c r="L110" s="97"/>
      <c r="M110" s="30"/>
      <c r="N110" s="30" t="str">
        <f>CLEAN(IFERROR(VLOOKUP($D110,Interventions!$E$1:$K$371,7,0),""))</f>
        <v/>
      </c>
      <c r="O110" s="30" t="str">
        <f>CLEAN(IF(D110="","",CONCATENATE(Modules!$B$8,PAAR!N110,R110)))</f>
        <v/>
      </c>
      <c r="P110" s="71">
        <f>IFERROR(INDEX('Dropdown Data'!$D$33:$D$35,MATCH(A110,'Dropdown Data'!$B$33:$B$35,0)),IFERROR(INDEX('Dropdown Data'!$D$33:$D$35,MATCH(A110,'Dropdown Data'!$C$33:$C$35,0)),A110))</f>
        <v>0</v>
      </c>
      <c r="Q110" s="71">
        <f>IFERROR(INDEX('Dropdown Data'!$D$33:$D$36,MATCH(J110,'Dropdown Data'!$B$33:$B$36,0)),IFERROR(INDEX('Dropdown Data'!$D$33:$D$36,MATCH(J110,'Dropdown Data'!$C$33:$C$36,0)),J110))</f>
        <v>0</v>
      </c>
      <c r="R110" s="10">
        <v>82</v>
      </c>
      <c r="S110" s="10" t="b">
        <f t="shared" si="2"/>
        <v>1</v>
      </c>
      <c r="T110" s="10">
        <f t="shared" si="3"/>
        <v>13</v>
      </c>
      <c r="U110" s="10" t="e">
        <f>IFERROR(VLOOKUP(B110,Modules!$E$11:$K$29,7,0),IFERROR(VLOOKUP(B110,Modules!$F$11:$K$29,6,0),VLOOKUP(B110,Modules!$G$11:$K$29,5,0)))</f>
        <v>#N/A</v>
      </c>
      <c r="V110" s="10" t="e">
        <f>MATCH(U110,Interventions!C:C,0)</f>
        <v>#N/A</v>
      </c>
      <c r="W110" s="10" t="e">
        <f>MATCH(U110,Interventions!C:C,1)</f>
        <v>#N/A</v>
      </c>
    </row>
    <row r="111" spans="1:23" ht="40" customHeight="1" x14ac:dyDescent="0.35">
      <c r="A111" s="30"/>
      <c r="B111" s="69"/>
      <c r="C111" s="70" t="str">
        <f>IFERROR(VLOOKUP(B111,Modules!C:D,2,0),"")</f>
        <v/>
      </c>
      <c r="D111" s="69"/>
      <c r="E111" s="67" t="str">
        <f>IFERROR(VLOOKUP($D111,Interventions!E:F,2,0),IFERROR(VLOOKUP($D111,Interventions!I:L,4,0),IFERROR(VLOOKUP($D111,Interventions!J:L,3,0),"")))</f>
        <v/>
      </c>
      <c r="F111" s="95"/>
      <c r="G111" s="96" t="str">
        <f>IF(IF(Modules!$D$4="EUR",F111*(Modules!$B$5),$F111)=0,"",IF(Modules!$D$4="EUR",F111*(Modules!$B$5),$F111))</f>
        <v/>
      </c>
      <c r="H111" s="31"/>
      <c r="I111" s="31"/>
      <c r="J111" s="30"/>
      <c r="K111" s="30"/>
      <c r="L111" s="97"/>
      <c r="M111" s="30"/>
      <c r="N111" s="30" t="str">
        <f>CLEAN(IFERROR(VLOOKUP($D111,Interventions!$E$1:$K$371,7,0),""))</f>
        <v/>
      </c>
      <c r="O111" s="30" t="str">
        <f>CLEAN(IF(D111="","",CONCATENATE(Modules!$B$8,PAAR!N111,R111)))</f>
        <v/>
      </c>
      <c r="P111" s="71">
        <f>IFERROR(INDEX('Dropdown Data'!$D$33:$D$35,MATCH(A111,'Dropdown Data'!$B$33:$B$35,0)),IFERROR(INDEX('Dropdown Data'!$D$33:$D$35,MATCH(A111,'Dropdown Data'!$C$33:$C$35,0)),A111))</f>
        <v>0</v>
      </c>
      <c r="Q111" s="71">
        <f>IFERROR(INDEX('Dropdown Data'!$D$33:$D$36,MATCH(J111,'Dropdown Data'!$B$33:$B$36,0)),IFERROR(INDEX('Dropdown Data'!$D$33:$D$36,MATCH(J111,'Dropdown Data'!$C$33:$C$36,0)),J111))</f>
        <v>0</v>
      </c>
      <c r="R111" s="10">
        <v>83</v>
      </c>
      <c r="S111" s="10" t="b">
        <f t="shared" si="2"/>
        <v>1</v>
      </c>
      <c r="T111" s="10">
        <f t="shared" si="3"/>
        <v>13</v>
      </c>
      <c r="U111" s="10" t="e">
        <f>IFERROR(VLOOKUP(B111,Modules!$E$11:$K$29,7,0),IFERROR(VLOOKUP(B111,Modules!$F$11:$K$29,6,0),VLOOKUP(B111,Modules!$G$11:$K$29,5,0)))</f>
        <v>#N/A</v>
      </c>
      <c r="V111" s="10" t="e">
        <f>MATCH(U111,Interventions!C:C,0)</f>
        <v>#N/A</v>
      </c>
      <c r="W111" s="10" t="e">
        <f>MATCH(U111,Interventions!C:C,1)</f>
        <v>#N/A</v>
      </c>
    </row>
    <row r="112" spans="1:23" ht="40" customHeight="1" x14ac:dyDescent="0.35">
      <c r="A112" s="30"/>
      <c r="B112" s="69"/>
      <c r="C112" s="70" t="str">
        <f>IFERROR(VLOOKUP(B112,Modules!C:D,2,0),"")</f>
        <v/>
      </c>
      <c r="D112" s="69"/>
      <c r="E112" s="67" t="str">
        <f>IFERROR(VLOOKUP($D112,Interventions!E:F,2,0),IFERROR(VLOOKUP($D112,Interventions!I:L,4,0),IFERROR(VLOOKUP($D112,Interventions!J:L,3,0),"")))</f>
        <v/>
      </c>
      <c r="F112" s="95"/>
      <c r="G112" s="96" t="str">
        <f>IF(IF(Modules!$D$4="EUR",F112*(Modules!$B$5),$F112)=0,"",IF(Modules!$D$4="EUR",F112*(Modules!$B$5),$F112))</f>
        <v/>
      </c>
      <c r="H112" s="31"/>
      <c r="I112" s="31"/>
      <c r="J112" s="30"/>
      <c r="K112" s="30"/>
      <c r="L112" s="97"/>
      <c r="M112" s="30"/>
      <c r="N112" s="30" t="str">
        <f>CLEAN(IFERROR(VLOOKUP($D112,Interventions!$E$1:$K$371,7,0),""))</f>
        <v/>
      </c>
      <c r="O112" s="30" t="str">
        <f>CLEAN(IF(D112="","",CONCATENATE(Modules!$B$8,PAAR!N112,R112)))</f>
        <v/>
      </c>
      <c r="P112" s="71">
        <f>IFERROR(INDEX('Dropdown Data'!$D$33:$D$35,MATCH(A112,'Dropdown Data'!$B$33:$B$35,0)),IFERROR(INDEX('Dropdown Data'!$D$33:$D$35,MATCH(A112,'Dropdown Data'!$C$33:$C$35,0)),A112))</f>
        <v>0</v>
      </c>
      <c r="Q112" s="71">
        <f>IFERROR(INDEX('Dropdown Data'!$D$33:$D$36,MATCH(J112,'Dropdown Data'!$B$33:$B$36,0)),IFERROR(INDEX('Dropdown Data'!$D$33:$D$36,MATCH(J112,'Dropdown Data'!$C$33:$C$36,0)),J112))</f>
        <v>0</v>
      </c>
      <c r="R112" s="10">
        <v>84</v>
      </c>
      <c r="S112" s="10" t="b">
        <f t="shared" si="2"/>
        <v>1</v>
      </c>
      <c r="T112" s="10">
        <f t="shared" si="3"/>
        <v>13</v>
      </c>
      <c r="U112" s="10" t="e">
        <f>IFERROR(VLOOKUP(B112,Modules!$E$11:$K$29,7,0),IFERROR(VLOOKUP(B112,Modules!$F$11:$K$29,6,0),VLOOKUP(B112,Modules!$G$11:$K$29,5,0)))</f>
        <v>#N/A</v>
      </c>
      <c r="V112" s="10" t="e">
        <f>MATCH(U112,Interventions!C:C,0)</f>
        <v>#N/A</v>
      </c>
      <c r="W112" s="10" t="e">
        <f>MATCH(U112,Interventions!C:C,1)</f>
        <v>#N/A</v>
      </c>
    </row>
    <row r="113" spans="1:23" ht="40" customHeight="1" x14ac:dyDescent="0.35">
      <c r="A113" s="30"/>
      <c r="B113" s="69"/>
      <c r="C113" s="70" t="str">
        <f>IFERROR(VLOOKUP(B113,Modules!C:D,2,0),"")</f>
        <v/>
      </c>
      <c r="D113" s="69"/>
      <c r="E113" s="67" t="str">
        <f>IFERROR(VLOOKUP($D113,Interventions!E:F,2,0),IFERROR(VLOOKUP($D113,Interventions!I:L,4,0),IFERROR(VLOOKUP($D113,Interventions!J:L,3,0),"")))</f>
        <v/>
      </c>
      <c r="F113" s="95"/>
      <c r="G113" s="96" t="str">
        <f>IF(IF(Modules!$D$4="EUR",F113*(Modules!$B$5),$F113)=0,"",IF(Modules!$D$4="EUR",F113*(Modules!$B$5),$F113))</f>
        <v/>
      </c>
      <c r="H113" s="31"/>
      <c r="I113" s="31"/>
      <c r="J113" s="30"/>
      <c r="K113" s="30"/>
      <c r="L113" s="97"/>
      <c r="M113" s="30"/>
      <c r="N113" s="30" t="str">
        <f>CLEAN(IFERROR(VLOOKUP($D113,Interventions!$E$1:$K$371,7,0),""))</f>
        <v/>
      </c>
      <c r="O113" s="30" t="str">
        <f>CLEAN(IF(D113="","",CONCATENATE(Modules!$B$8,PAAR!N113,R113)))</f>
        <v/>
      </c>
      <c r="P113" s="71">
        <f>IFERROR(INDEX('Dropdown Data'!$D$33:$D$35,MATCH(A113,'Dropdown Data'!$B$33:$B$35,0)),IFERROR(INDEX('Dropdown Data'!$D$33:$D$35,MATCH(A113,'Dropdown Data'!$C$33:$C$35,0)),A113))</f>
        <v>0</v>
      </c>
      <c r="Q113" s="71">
        <f>IFERROR(INDEX('Dropdown Data'!$D$33:$D$36,MATCH(J113,'Dropdown Data'!$B$33:$B$36,0)),IFERROR(INDEX('Dropdown Data'!$D$33:$D$36,MATCH(J113,'Dropdown Data'!$C$33:$C$36,0)),J113))</f>
        <v>0</v>
      </c>
      <c r="R113" s="10">
        <v>85</v>
      </c>
      <c r="S113" s="10" t="b">
        <f t="shared" si="2"/>
        <v>1</v>
      </c>
      <c r="T113" s="10">
        <f t="shared" si="3"/>
        <v>13</v>
      </c>
      <c r="U113" s="10" t="e">
        <f>IFERROR(VLOOKUP(B113,Modules!$E$11:$K$29,7,0),IFERROR(VLOOKUP(B113,Modules!$F$11:$K$29,6,0),VLOOKUP(B113,Modules!$G$11:$K$29,5,0)))</f>
        <v>#N/A</v>
      </c>
      <c r="V113" s="10" t="e">
        <f>MATCH(U113,Interventions!C:C,0)</f>
        <v>#N/A</v>
      </c>
      <c r="W113" s="10" t="e">
        <f>MATCH(U113,Interventions!C:C,1)</f>
        <v>#N/A</v>
      </c>
    </row>
    <row r="114" spans="1:23" ht="40" customHeight="1" x14ac:dyDescent="0.35">
      <c r="A114" s="30"/>
      <c r="B114" s="69"/>
      <c r="C114" s="70" t="str">
        <f>IFERROR(VLOOKUP(B114,Modules!C:D,2,0),"")</f>
        <v/>
      </c>
      <c r="D114" s="69"/>
      <c r="E114" s="67" t="str">
        <f>IFERROR(VLOOKUP($D114,Interventions!E:F,2,0),IFERROR(VLOOKUP($D114,Interventions!I:L,4,0),IFERROR(VLOOKUP($D114,Interventions!J:L,3,0),"")))</f>
        <v/>
      </c>
      <c r="F114" s="95"/>
      <c r="G114" s="96" t="str">
        <f>IF(IF(Modules!$D$4="EUR",F114*(Modules!$B$5),$F114)=0,"",IF(Modules!$D$4="EUR",F114*(Modules!$B$5),$F114))</f>
        <v/>
      </c>
      <c r="H114" s="31"/>
      <c r="I114" s="31"/>
      <c r="J114" s="30"/>
      <c r="K114" s="30"/>
      <c r="L114" s="97"/>
      <c r="M114" s="30"/>
      <c r="N114" s="30" t="str">
        <f>CLEAN(IFERROR(VLOOKUP($D114,Interventions!$E$1:$K$371,7,0),""))</f>
        <v/>
      </c>
      <c r="O114" s="30" t="str">
        <f>CLEAN(IF(D114="","",CONCATENATE(Modules!$B$8,PAAR!N114,R114)))</f>
        <v/>
      </c>
      <c r="P114" s="71">
        <f>IFERROR(INDEX('Dropdown Data'!$D$33:$D$35,MATCH(A114,'Dropdown Data'!$B$33:$B$35,0)),IFERROR(INDEX('Dropdown Data'!$D$33:$D$35,MATCH(A114,'Dropdown Data'!$C$33:$C$35,0)),A114))</f>
        <v>0</v>
      </c>
      <c r="Q114" s="71">
        <f>IFERROR(INDEX('Dropdown Data'!$D$33:$D$36,MATCH(J114,'Dropdown Data'!$B$33:$B$36,0)),IFERROR(INDEX('Dropdown Data'!$D$33:$D$36,MATCH(J114,'Dropdown Data'!$C$33:$C$36,0)),J114))</f>
        <v>0</v>
      </c>
      <c r="R114" s="10">
        <v>86</v>
      </c>
      <c r="S114" s="10" t="b">
        <f t="shared" si="2"/>
        <v>1</v>
      </c>
      <c r="T114" s="10">
        <f t="shared" si="3"/>
        <v>13</v>
      </c>
      <c r="U114" s="10" t="e">
        <f>IFERROR(VLOOKUP(B114,Modules!$E$11:$K$29,7,0),IFERROR(VLOOKUP(B114,Modules!$F$11:$K$29,6,0),VLOOKUP(B114,Modules!$G$11:$K$29,5,0)))</f>
        <v>#N/A</v>
      </c>
      <c r="V114" s="10" t="e">
        <f>MATCH(U114,Interventions!C:C,0)</f>
        <v>#N/A</v>
      </c>
      <c r="W114" s="10" t="e">
        <f>MATCH(U114,Interventions!C:C,1)</f>
        <v>#N/A</v>
      </c>
    </row>
    <row r="115" spans="1:23" ht="40" customHeight="1" x14ac:dyDescent="0.35">
      <c r="A115" s="30"/>
      <c r="B115" s="69"/>
      <c r="C115" s="70" t="str">
        <f>IFERROR(VLOOKUP(B115,Modules!C:D,2,0),"")</f>
        <v/>
      </c>
      <c r="D115" s="69"/>
      <c r="E115" s="67" t="str">
        <f>IFERROR(VLOOKUP($D115,Interventions!E:F,2,0),IFERROR(VLOOKUP($D115,Interventions!I:L,4,0),IFERROR(VLOOKUP($D115,Interventions!J:L,3,0),"")))</f>
        <v/>
      </c>
      <c r="F115" s="95"/>
      <c r="G115" s="96" t="str">
        <f>IF(IF(Modules!$D$4="EUR",F115*(Modules!$B$5),$F115)=0,"",IF(Modules!$D$4="EUR",F115*(Modules!$B$5),$F115))</f>
        <v/>
      </c>
      <c r="H115" s="31"/>
      <c r="I115" s="31"/>
      <c r="J115" s="30"/>
      <c r="K115" s="30"/>
      <c r="L115" s="97"/>
      <c r="M115" s="30"/>
      <c r="N115" s="30" t="str">
        <f>CLEAN(IFERROR(VLOOKUP($D115,Interventions!$E$1:$K$371,7,0),""))</f>
        <v/>
      </c>
      <c r="O115" s="30" t="str">
        <f>CLEAN(IF(D115="","",CONCATENATE(Modules!$B$8,PAAR!N115,R115)))</f>
        <v/>
      </c>
      <c r="P115" s="71">
        <f>IFERROR(INDEX('Dropdown Data'!$D$33:$D$35,MATCH(A115,'Dropdown Data'!$B$33:$B$35,0)),IFERROR(INDEX('Dropdown Data'!$D$33:$D$35,MATCH(A115,'Dropdown Data'!$C$33:$C$35,0)),A115))</f>
        <v>0</v>
      </c>
      <c r="Q115" s="71">
        <f>IFERROR(INDEX('Dropdown Data'!$D$33:$D$36,MATCH(J115,'Dropdown Data'!$B$33:$B$36,0)),IFERROR(INDEX('Dropdown Data'!$D$33:$D$36,MATCH(J115,'Dropdown Data'!$C$33:$C$36,0)),J115))</f>
        <v>0</v>
      </c>
      <c r="R115" s="10">
        <v>87</v>
      </c>
      <c r="S115" s="10" t="b">
        <f t="shared" si="2"/>
        <v>1</v>
      </c>
      <c r="T115" s="10">
        <f t="shared" si="3"/>
        <v>13</v>
      </c>
      <c r="U115" s="10" t="e">
        <f>IFERROR(VLOOKUP(B115,Modules!$E$11:$K$29,7,0),IFERROR(VLOOKUP(B115,Modules!$F$11:$K$29,6,0),VLOOKUP(B115,Modules!$G$11:$K$29,5,0)))</f>
        <v>#N/A</v>
      </c>
      <c r="V115" s="10" t="e">
        <f>MATCH(U115,Interventions!C:C,0)</f>
        <v>#N/A</v>
      </c>
      <c r="W115" s="10" t="e">
        <f>MATCH(U115,Interventions!C:C,1)</f>
        <v>#N/A</v>
      </c>
    </row>
    <row r="116" spans="1:23" ht="40" customHeight="1" x14ac:dyDescent="0.35">
      <c r="A116" s="30"/>
      <c r="B116" s="69"/>
      <c r="C116" s="70" t="str">
        <f>IFERROR(VLOOKUP(B116,Modules!C:D,2,0),"")</f>
        <v/>
      </c>
      <c r="D116" s="69"/>
      <c r="E116" s="67" t="str">
        <f>IFERROR(VLOOKUP($D116,Interventions!E:F,2,0),IFERROR(VLOOKUP($D116,Interventions!I:L,4,0),IFERROR(VLOOKUP($D116,Interventions!J:L,3,0),"")))</f>
        <v/>
      </c>
      <c r="F116" s="95"/>
      <c r="G116" s="96" t="str">
        <f>IF(IF(Modules!$D$4="EUR",F116*(Modules!$B$5),$F116)=0,"",IF(Modules!$D$4="EUR",F116*(Modules!$B$5),$F116))</f>
        <v/>
      </c>
      <c r="H116" s="31"/>
      <c r="I116" s="31"/>
      <c r="J116" s="30"/>
      <c r="K116" s="30"/>
      <c r="L116" s="97"/>
      <c r="M116" s="30"/>
      <c r="N116" s="30" t="str">
        <f>CLEAN(IFERROR(VLOOKUP($D116,Interventions!$E$1:$K$371,7,0),""))</f>
        <v/>
      </c>
      <c r="O116" s="30" t="str">
        <f>CLEAN(IF(D116="","",CONCATENATE(Modules!$B$8,PAAR!N116,R116)))</f>
        <v/>
      </c>
      <c r="P116" s="71">
        <f>IFERROR(INDEX('Dropdown Data'!$D$33:$D$35,MATCH(A116,'Dropdown Data'!$B$33:$B$35,0)),IFERROR(INDEX('Dropdown Data'!$D$33:$D$35,MATCH(A116,'Dropdown Data'!$C$33:$C$35,0)),A116))</f>
        <v>0</v>
      </c>
      <c r="Q116" s="71">
        <f>IFERROR(INDEX('Dropdown Data'!$D$33:$D$36,MATCH(J116,'Dropdown Data'!$B$33:$B$36,0)),IFERROR(INDEX('Dropdown Data'!$D$33:$D$36,MATCH(J116,'Dropdown Data'!$C$33:$C$36,0)),J116))</f>
        <v>0</v>
      </c>
      <c r="R116" s="10">
        <v>88</v>
      </c>
      <c r="S116" s="10" t="b">
        <f t="shared" si="2"/>
        <v>1</v>
      </c>
      <c r="T116" s="10">
        <f t="shared" si="3"/>
        <v>13</v>
      </c>
      <c r="U116" s="10" t="e">
        <f>IFERROR(VLOOKUP(B116,Modules!$E$11:$K$29,7,0),IFERROR(VLOOKUP(B116,Modules!$F$11:$K$29,6,0),VLOOKUP(B116,Modules!$G$11:$K$29,5,0)))</f>
        <v>#N/A</v>
      </c>
      <c r="V116" s="10" t="e">
        <f>MATCH(U116,Interventions!C:C,0)</f>
        <v>#N/A</v>
      </c>
      <c r="W116" s="10" t="e">
        <f>MATCH(U116,Interventions!C:C,1)</f>
        <v>#N/A</v>
      </c>
    </row>
    <row r="117" spans="1:23" ht="17.5" hidden="1" customHeight="1" x14ac:dyDescent="0.35">
      <c r="A117" s="20" t="str">
        <f>IFERROR(VLOOKUP($B$10,Translation[],25,0),"")</f>
        <v>MONTO TOTAL</v>
      </c>
      <c r="B117" s="20"/>
      <c r="C117" s="20"/>
      <c r="D117" s="20"/>
      <c r="E117" s="20"/>
      <c r="F117" s="21">
        <f>SUM($F29:$F116)</f>
        <v>2831941</v>
      </c>
      <c r="G117" s="21">
        <f>SUM($G29:$G116)</f>
        <v>2831941</v>
      </c>
      <c r="H117" s="22"/>
      <c r="I117" s="44"/>
      <c r="J117" s="44"/>
      <c r="K117" s="44"/>
      <c r="L117" s="21">
        <f>SUM($L29:$L116)</f>
        <v>0</v>
      </c>
      <c r="M117" s="44"/>
      <c r="N117" s="44"/>
      <c r="O117" s="44"/>
    </row>
  </sheetData>
  <sheetProtection password="FB8C" sheet="1" formatCells="0" formatRows="0" selectLockedCells="1"/>
  <protectedRanges>
    <protectedRange algorithmName="SHA-1" hashValue="DKnNE0XwXjrrqMjLNdRzz4IkN1s=" saltValue="ubYIog4ZPFK1I3OMc5C0+g==" spinCount="100000" sqref="B13:F16" name="Protected Data"/>
  </protectedRanges>
  <mergeCells count="17">
    <mergeCell ref="A26:M26"/>
    <mergeCell ref="A20:M20"/>
    <mergeCell ref="A21:M21"/>
    <mergeCell ref="A22:M22"/>
    <mergeCell ref="A27:M27"/>
    <mergeCell ref="B18:F18"/>
    <mergeCell ref="A5:H5"/>
    <mergeCell ref="A4:H4"/>
    <mergeCell ref="A7:B7"/>
    <mergeCell ref="A6:B6"/>
    <mergeCell ref="B17:F17"/>
    <mergeCell ref="A8:B8"/>
    <mergeCell ref="A12:F12"/>
    <mergeCell ref="B16:F16"/>
    <mergeCell ref="B15:F15"/>
    <mergeCell ref="B14:F14"/>
    <mergeCell ref="B13:F13"/>
  </mergeCells>
  <conditionalFormatting sqref="J29:J116">
    <cfRule type="expression" dxfId="61" priority="2">
      <formula>AND($S29=TRUE,$T29 &lt;&gt;13)</formula>
    </cfRule>
  </conditionalFormatting>
  <conditionalFormatting sqref="L29:L116">
    <cfRule type="expression" dxfId="60" priority="1">
      <formula>AND($S29=TRUE,$T29 &lt;&gt;13)</formula>
    </cfRule>
  </conditionalFormatting>
  <dataValidations xWindow="798" yWindow="801" count="4">
    <dataValidation operator="greaterThanOrEqual" allowBlank="1" showInputMessage="1" showErrorMessage="1" error="Please input numbers only" sqref="H30:I117 J117:K117 M117:O117" xr:uid="{00000000-0002-0000-0000-000000000000}"/>
    <dataValidation type="list" allowBlank="1" showInputMessage="1" showErrorMessage="1" sqref="B29:B116" xr:uid="{00000000-0002-0000-0000-000001000000}">
      <formula1>ModuleNameList</formula1>
    </dataValidation>
    <dataValidation type="list" allowBlank="1" showInputMessage="1" showErrorMessage="1" sqref="D29:D116" xr:uid="{00000000-0002-0000-0000-000002000000}">
      <formula1>InterventionsDependentList</formula1>
    </dataValidation>
    <dataValidation type="whole" operator="greaterThanOrEqual" allowBlank="1" showInputMessage="1" showErrorMessage="1" errorTitle="Error" error="Enter only whole numbers" sqref="L29:L116 F29:F116" xr:uid="{00000000-0002-0000-0000-000005000000}">
      <formula1>0</formula1>
    </dataValidation>
  </dataValidations>
  <pageMargins left="0.25" right="0.25" top="0.75" bottom="0.75" header="0.3" footer="0.3"/>
  <pageSetup paperSize="8" scale="66" fitToHeight="0" orientation="landscape" r:id="rId1"/>
  <drawing r:id="rId2"/>
  <extLst>
    <ext xmlns:x14="http://schemas.microsoft.com/office/spreadsheetml/2009/9/main" uri="{CCE6A557-97BC-4b89-ADB6-D9C93CAAB3DF}">
      <x14:dataValidations xmlns:xm="http://schemas.microsoft.com/office/excel/2006/main" xWindow="798" yWindow="801" count="3">
        <x14:dataValidation type="list" allowBlank="1" showInputMessage="1" showErrorMessage="1" xr:uid="{00000000-0002-0000-0000-000006000000}">
          <x14:formula1>
            <xm:f>'Dropdown Data'!$A$2:$A$4</xm:f>
          </x14:formula1>
          <xm:sqref>B10:C10</xm:sqref>
        </x14:dataValidation>
        <x14:dataValidation type="list" allowBlank="1" showInputMessage="1" showErrorMessage="1" xr:uid="{00000000-0002-0000-0000-000007000000}">
          <x14:formula1>
            <xm:f>OFFSET('Dropdown Data'!$G$6,MATCH($B$10,'Dropdown Data'!$F$7:$F$15,0),0,COUNTIFS('Dropdown Data'!$F$7:$F$15,$B$10),1)</xm:f>
          </x14:formula1>
          <xm:sqref>A29:A116</xm:sqref>
        </x14:dataValidation>
        <x14:dataValidation type="list" allowBlank="1" showInputMessage="1" showErrorMessage="1" xr:uid="{E7AD5513-06FE-4F8F-8451-DD43FED950DF}">
          <x14:formula1>
            <xm:f>OFFSET('Dropdown Data'!$I$6,MATCH($B$10,'Dropdown Data'!$H$7:$H$18,0),0,COUNTIFS('Dropdown Data'!$H$7:$H$18,$B$10),1)</xm:f>
          </x14:formula1>
          <xm:sqref>J29:J116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6CF6-DA71-463C-94A2-297CD1861075}">
  <dimension ref="A1:W52"/>
  <sheetViews>
    <sheetView zoomScale="35" zoomScaleNormal="35" workbookViewId="0">
      <selection activeCell="H42" sqref="H42"/>
    </sheetView>
  </sheetViews>
  <sheetFormatPr baseColWidth="10" defaultColWidth="11.453125" defaultRowHeight="14.5" x14ac:dyDescent="0.35"/>
  <cols>
    <col min="1" max="1" width="7.54296875" style="123" customWidth="1"/>
    <col min="2" max="2" width="23.453125" style="123" customWidth="1"/>
    <col min="3" max="3" width="21.54296875" style="123" customWidth="1"/>
    <col min="4" max="4" width="33.7265625" style="123" customWidth="1"/>
    <col min="5" max="5" width="62.26953125" style="135" customWidth="1"/>
    <col min="6" max="6" width="16.26953125" style="123" customWidth="1"/>
    <col min="7" max="7" width="11.453125" style="123"/>
    <col min="8" max="8" width="20.1796875" style="123" customWidth="1"/>
    <col min="9" max="9" width="14.1796875" style="123" customWidth="1"/>
    <col min="10" max="10" width="12.81640625" style="123" bestFit="1" customWidth="1"/>
    <col min="11" max="11" width="16.453125" style="123" customWidth="1"/>
    <col min="12" max="12" width="2" style="123" customWidth="1"/>
    <col min="13" max="13" width="17.54296875" style="123" customWidth="1"/>
    <col min="14" max="14" width="16.1796875" style="123" bestFit="1" customWidth="1"/>
    <col min="15" max="15" width="11.453125" style="123"/>
    <col min="16" max="16" width="15.1796875" style="123" customWidth="1"/>
    <col min="17" max="17" width="1.90625" style="123" customWidth="1"/>
    <col min="18" max="18" width="21" style="123" customWidth="1"/>
    <col min="19" max="19" width="16.1796875" style="137" bestFit="1" customWidth="1"/>
    <col min="20" max="20" width="13.453125" style="123" bestFit="1" customWidth="1"/>
    <col min="21" max="21" width="16.54296875" style="123" customWidth="1"/>
    <col min="22" max="22" width="21.26953125" style="123" customWidth="1"/>
    <col min="23" max="23" width="106.81640625" style="123" bestFit="1" customWidth="1"/>
    <col min="24" max="16384" width="11.453125" style="123"/>
  </cols>
  <sheetData>
    <row r="1" spans="1:23" ht="60.65" customHeight="1" x14ac:dyDescent="0.35">
      <c r="A1" s="111"/>
      <c r="B1" s="111" t="s">
        <v>99</v>
      </c>
      <c r="C1" s="111" t="s">
        <v>105</v>
      </c>
      <c r="D1" s="111" t="s">
        <v>1573</v>
      </c>
      <c r="E1" s="120" t="s">
        <v>1574</v>
      </c>
      <c r="F1" s="111" t="s">
        <v>1575</v>
      </c>
      <c r="G1" s="111" t="s">
        <v>1576</v>
      </c>
      <c r="H1" s="111" t="s">
        <v>1577</v>
      </c>
      <c r="I1" s="105" t="s">
        <v>1578</v>
      </c>
      <c r="J1" s="106" t="s">
        <v>1579</v>
      </c>
      <c r="K1" s="105" t="s">
        <v>1580</v>
      </c>
      <c r="L1" s="111"/>
      <c r="M1" s="111" t="s">
        <v>1577</v>
      </c>
      <c r="N1" s="105" t="s">
        <v>1581</v>
      </c>
      <c r="O1" s="112" t="s">
        <v>1582</v>
      </c>
      <c r="P1" s="105" t="s">
        <v>1580</v>
      </c>
      <c r="Q1" s="111" t="s">
        <v>1583</v>
      </c>
      <c r="R1" s="111" t="s">
        <v>1577</v>
      </c>
      <c r="S1" s="118" t="s">
        <v>1584</v>
      </c>
      <c r="T1" s="112" t="s">
        <v>1579</v>
      </c>
      <c r="U1" s="105" t="s">
        <v>1585</v>
      </c>
      <c r="V1" s="105" t="s">
        <v>1586</v>
      </c>
      <c r="W1" s="122" t="s">
        <v>1587</v>
      </c>
    </row>
    <row r="2" spans="1:23" ht="96.65" customHeight="1" x14ac:dyDescent="0.35">
      <c r="A2" s="124"/>
      <c r="B2" s="114" t="s">
        <v>603</v>
      </c>
      <c r="C2" s="114" t="s">
        <v>1138</v>
      </c>
      <c r="D2" s="114" t="s">
        <v>1588</v>
      </c>
      <c r="E2" s="125" t="s">
        <v>1589</v>
      </c>
      <c r="F2" s="114" t="s">
        <v>1590</v>
      </c>
      <c r="G2" s="114" t="s">
        <v>1591</v>
      </c>
      <c r="H2" s="114" t="s">
        <v>1592</v>
      </c>
      <c r="I2" s="107">
        <v>1.03</v>
      </c>
      <c r="J2" s="108">
        <f>(((1202*2))*1.1)*100%</f>
        <v>2644.4</v>
      </c>
      <c r="K2" s="107">
        <f>+I2*J2</f>
        <v>2723.732</v>
      </c>
      <c r="L2" s="124"/>
      <c r="M2" s="114" t="s">
        <v>1592</v>
      </c>
      <c r="N2" s="107">
        <v>1.03</v>
      </c>
      <c r="O2" s="108">
        <f>(((2590*2))*1.1)*100%</f>
        <v>5698.0000000000009</v>
      </c>
      <c r="P2" s="107">
        <f>+N2*O2</f>
        <v>5868.9400000000014</v>
      </c>
      <c r="Q2" s="124"/>
      <c r="R2" s="114" t="s">
        <v>1592</v>
      </c>
      <c r="S2" s="119">
        <v>1.03</v>
      </c>
      <c r="T2" s="108">
        <f>(((4166*2))*1.1)*100%</f>
        <v>9165.2000000000007</v>
      </c>
      <c r="U2" s="107">
        <f>+S2*T2</f>
        <v>9440.1560000000009</v>
      </c>
      <c r="V2" s="107">
        <f>+K2+P2+U2</f>
        <v>18032.828000000001</v>
      </c>
      <c r="W2" s="113" t="s">
        <v>1696</v>
      </c>
    </row>
    <row r="3" spans="1:23" ht="96.65" customHeight="1" x14ac:dyDescent="0.35">
      <c r="A3" s="124"/>
      <c r="B3" s="114" t="s">
        <v>603</v>
      </c>
      <c r="C3" s="114" t="s">
        <v>1138</v>
      </c>
      <c r="D3" s="114" t="s">
        <v>1588</v>
      </c>
      <c r="E3" s="125" t="s">
        <v>1589</v>
      </c>
      <c r="F3" s="114" t="s">
        <v>1590</v>
      </c>
      <c r="G3" s="114" t="s">
        <v>1591</v>
      </c>
      <c r="H3" s="114" t="s">
        <v>1593</v>
      </c>
      <c r="I3" s="107">
        <v>0.47</v>
      </c>
      <c r="J3" s="108">
        <f>(((1202*2))*1.1)*100%</f>
        <v>2644.4</v>
      </c>
      <c r="K3" s="107">
        <f t="shared" ref="K3:K39" si="0">+I3*J3</f>
        <v>1242.8679999999999</v>
      </c>
      <c r="L3" s="124"/>
      <c r="M3" s="114" t="s">
        <v>1593</v>
      </c>
      <c r="N3" s="107">
        <v>0.47</v>
      </c>
      <c r="O3" s="108">
        <f t="shared" ref="O3:O5" si="1">(((2590*2))*1.1)*100%</f>
        <v>5698.0000000000009</v>
      </c>
      <c r="P3" s="107">
        <f t="shared" ref="P3:P20" si="2">+N3*O3</f>
        <v>2678.0600000000004</v>
      </c>
      <c r="Q3" s="124"/>
      <c r="R3" s="114" t="s">
        <v>1593</v>
      </c>
      <c r="S3" s="119">
        <v>0.47</v>
      </c>
      <c r="T3" s="108">
        <f t="shared" ref="T3:T5" si="3">(((4166*2))*1.1)*100%</f>
        <v>9165.2000000000007</v>
      </c>
      <c r="U3" s="107">
        <f t="shared" ref="U3:U21" si="4">+S3*T3</f>
        <v>4307.6440000000002</v>
      </c>
      <c r="V3" s="107">
        <f t="shared" ref="V3:V21" si="5">+K3+P3+U3</f>
        <v>8228.5720000000001</v>
      </c>
      <c r="W3" s="113" t="s">
        <v>1696</v>
      </c>
    </row>
    <row r="4" spans="1:23" ht="96.65" customHeight="1" x14ac:dyDescent="0.35">
      <c r="A4" s="124"/>
      <c r="B4" s="114" t="s">
        <v>603</v>
      </c>
      <c r="C4" s="114" t="s">
        <v>1138</v>
      </c>
      <c r="D4" s="114" t="s">
        <v>1588</v>
      </c>
      <c r="E4" s="125" t="s">
        <v>1589</v>
      </c>
      <c r="F4" s="114" t="s">
        <v>1590</v>
      </c>
      <c r="G4" s="114" t="s">
        <v>1591</v>
      </c>
      <c r="H4" s="114" t="s">
        <v>1594</v>
      </c>
      <c r="I4" s="107">
        <v>0.8</v>
      </c>
      <c r="J4" s="108">
        <f>(((1202*2))*1.1)*100%</f>
        <v>2644.4</v>
      </c>
      <c r="K4" s="107">
        <f t="shared" si="0"/>
        <v>2115.52</v>
      </c>
      <c r="L4" s="124"/>
      <c r="M4" s="114" t="s">
        <v>1594</v>
      </c>
      <c r="N4" s="107">
        <v>0.8</v>
      </c>
      <c r="O4" s="108">
        <f t="shared" si="1"/>
        <v>5698.0000000000009</v>
      </c>
      <c r="P4" s="107">
        <f t="shared" si="2"/>
        <v>4558.4000000000005</v>
      </c>
      <c r="Q4" s="124"/>
      <c r="R4" s="114" t="s">
        <v>1594</v>
      </c>
      <c r="S4" s="119">
        <v>0.8</v>
      </c>
      <c r="T4" s="108">
        <f t="shared" si="3"/>
        <v>9165.2000000000007</v>
      </c>
      <c r="U4" s="107">
        <f t="shared" si="4"/>
        <v>7332.1600000000008</v>
      </c>
      <c r="V4" s="107">
        <f t="shared" si="5"/>
        <v>14006.080000000002</v>
      </c>
      <c r="W4" s="113" t="s">
        <v>1696</v>
      </c>
    </row>
    <row r="5" spans="1:23" ht="96.65" customHeight="1" x14ac:dyDescent="0.35">
      <c r="A5" s="124"/>
      <c r="B5" s="114" t="s">
        <v>603</v>
      </c>
      <c r="C5" s="114" t="s">
        <v>1138</v>
      </c>
      <c r="D5" s="114" t="s">
        <v>1588</v>
      </c>
      <c r="E5" s="125" t="s">
        <v>1589</v>
      </c>
      <c r="F5" s="114" t="s">
        <v>1590</v>
      </c>
      <c r="G5" s="114" t="s">
        <v>1591</v>
      </c>
      <c r="H5" s="114" t="s">
        <v>1595</v>
      </c>
      <c r="I5" s="107">
        <v>1</v>
      </c>
      <c r="J5" s="108">
        <f>(((1202*2))*1.1)*100%</f>
        <v>2644.4</v>
      </c>
      <c r="K5" s="107">
        <f t="shared" si="0"/>
        <v>2644.4</v>
      </c>
      <c r="L5" s="124"/>
      <c r="M5" s="114" t="s">
        <v>1595</v>
      </c>
      <c r="N5" s="107">
        <v>1</v>
      </c>
      <c r="O5" s="108">
        <f t="shared" si="1"/>
        <v>5698.0000000000009</v>
      </c>
      <c r="P5" s="107">
        <f t="shared" si="2"/>
        <v>5698.0000000000009</v>
      </c>
      <c r="Q5" s="124"/>
      <c r="R5" s="114" t="s">
        <v>1595</v>
      </c>
      <c r="S5" s="119">
        <v>1</v>
      </c>
      <c r="T5" s="108">
        <f t="shared" si="3"/>
        <v>9165.2000000000007</v>
      </c>
      <c r="U5" s="107">
        <f t="shared" si="4"/>
        <v>9165.2000000000007</v>
      </c>
      <c r="V5" s="107">
        <f t="shared" si="5"/>
        <v>17507.600000000002</v>
      </c>
      <c r="W5" s="113" t="s">
        <v>1696</v>
      </c>
    </row>
    <row r="6" spans="1:23" ht="96.65" customHeight="1" x14ac:dyDescent="0.35">
      <c r="A6" s="124"/>
      <c r="B6" s="114" t="s">
        <v>603</v>
      </c>
      <c r="C6" s="114" t="s">
        <v>1138</v>
      </c>
      <c r="D6" s="114" t="s">
        <v>1588</v>
      </c>
      <c r="E6" s="125" t="s">
        <v>1589</v>
      </c>
      <c r="F6" s="114" t="s">
        <v>1590</v>
      </c>
      <c r="G6" s="114" t="s">
        <v>1591</v>
      </c>
      <c r="H6" s="114" t="s">
        <v>1596</v>
      </c>
      <c r="I6" s="107">
        <v>29</v>
      </c>
      <c r="J6" s="108">
        <f>(((1202*1))*1.1)*100%</f>
        <v>1322.2</v>
      </c>
      <c r="K6" s="107">
        <f t="shared" si="0"/>
        <v>38343.800000000003</v>
      </c>
      <c r="L6" s="124"/>
      <c r="M6" s="114" t="s">
        <v>1596</v>
      </c>
      <c r="N6" s="107">
        <v>29</v>
      </c>
      <c r="O6" s="108">
        <f>(((2590*1))*1.1)*100%</f>
        <v>2849.0000000000005</v>
      </c>
      <c r="P6" s="107">
        <f t="shared" si="2"/>
        <v>82621.000000000015</v>
      </c>
      <c r="Q6" s="124"/>
      <c r="R6" s="114" t="s">
        <v>1596</v>
      </c>
      <c r="S6" s="119">
        <v>29</v>
      </c>
      <c r="T6" s="108">
        <f>(((4166*1))*1.1)*100%</f>
        <v>4582.6000000000004</v>
      </c>
      <c r="U6" s="107">
        <f t="shared" si="4"/>
        <v>132895.40000000002</v>
      </c>
      <c r="V6" s="107">
        <f t="shared" si="5"/>
        <v>253860.20000000004</v>
      </c>
      <c r="W6" s="113" t="s">
        <v>1696</v>
      </c>
    </row>
    <row r="7" spans="1:23" ht="96.65" customHeight="1" x14ac:dyDescent="0.35">
      <c r="A7" s="124"/>
      <c r="B7" s="114" t="s">
        <v>603</v>
      </c>
      <c r="C7" s="114" t="s">
        <v>1138</v>
      </c>
      <c r="D7" s="114" t="s">
        <v>1588</v>
      </c>
      <c r="E7" s="125" t="s">
        <v>1589</v>
      </c>
      <c r="F7" s="114" t="s">
        <v>1590</v>
      </c>
      <c r="G7" s="114" t="s">
        <v>1591</v>
      </c>
      <c r="H7" s="114" t="s">
        <v>1597</v>
      </c>
      <c r="I7" s="107">
        <v>29</v>
      </c>
      <c r="J7" s="108">
        <f>(((1202*1))*1.1)*100%</f>
        <v>1322.2</v>
      </c>
      <c r="K7" s="107">
        <f t="shared" si="0"/>
        <v>38343.800000000003</v>
      </c>
      <c r="L7" s="124"/>
      <c r="M7" s="114" t="s">
        <v>1597</v>
      </c>
      <c r="N7" s="107">
        <v>29</v>
      </c>
      <c r="O7" s="108">
        <f>(((2590*1))*1.1)*100%</f>
        <v>2849.0000000000005</v>
      </c>
      <c r="P7" s="107">
        <f t="shared" si="2"/>
        <v>82621.000000000015</v>
      </c>
      <c r="Q7" s="124"/>
      <c r="R7" s="114" t="s">
        <v>1597</v>
      </c>
      <c r="S7" s="119">
        <v>29</v>
      </c>
      <c r="T7" s="108">
        <f>(((4166*1))*1.1)*100%</f>
        <v>4582.6000000000004</v>
      </c>
      <c r="U7" s="107">
        <f t="shared" si="4"/>
        <v>132895.40000000002</v>
      </c>
      <c r="V7" s="107">
        <f t="shared" si="5"/>
        <v>253860.20000000004</v>
      </c>
      <c r="W7" s="113" t="s">
        <v>1696</v>
      </c>
    </row>
    <row r="8" spans="1:23" ht="96.65" customHeight="1" x14ac:dyDescent="0.35">
      <c r="A8" s="124"/>
      <c r="B8" s="114" t="s">
        <v>603</v>
      </c>
      <c r="C8" s="114" t="s">
        <v>1138</v>
      </c>
      <c r="D8" s="114" t="s">
        <v>1588</v>
      </c>
      <c r="E8" s="125" t="s">
        <v>1589</v>
      </c>
      <c r="F8" s="114" t="s">
        <v>1590</v>
      </c>
      <c r="G8" s="114" t="s">
        <v>1591</v>
      </c>
      <c r="H8" s="114" t="s">
        <v>1598</v>
      </c>
      <c r="I8" s="107">
        <v>29</v>
      </c>
      <c r="J8" s="108">
        <f>(((1202*1))*1.1)*100%</f>
        <v>1322.2</v>
      </c>
      <c r="K8" s="107">
        <f t="shared" si="0"/>
        <v>38343.800000000003</v>
      </c>
      <c r="L8" s="124"/>
      <c r="M8" s="114" t="s">
        <v>1598</v>
      </c>
      <c r="N8" s="107">
        <v>29</v>
      </c>
      <c r="O8" s="108">
        <f t="shared" ref="O8:O9" si="6">(((2590*1))*1.1)*100%</f>
        <v>2849.0000000000005</v>
      </c>
      <c r="P8" s="107">
        <f t="shared" si="2"/>
        <v>82621.000000000015</v>
      </c>
      <c r="Q8" s="124"/>
      <c r="R8" s="114" t="s">
        <v>1598</v>
      </c>
      <c r="S8" s="119">
        <v>29</v>
      </c>
      <c r="T8" s="108">
        <f>(((4166*1))*1.1)*100%</f>
        <v>4582.6000000000004</v>
      </c>
      <c r="U8" s="107">
        <f t="shared" si="4"/>
        <v>132895.40000000002</v>
      </c>
      <c r="V8" s="107">
        <f t="shared" si="5"/>
        <v>253860.20000000004</v>
      </c>
      <c r="W8" s="113" t="s">
        <v>1696</v>
      </c>
    </row>
    <row r="9" spans="1:23" ht="96.65" customHeight="1" x14ac:dyDescent="0.35">
      <c r="A9" s="124"/>
      <c r="B9" s="114" t="s">
        <v>603</v>
      </c>
      <c r="C9" s="114" t="s">
        <v>1138</v>
      </c>
      <c r="D9" s="114" t="s">
        <v>1588</v>
      </c>
      <c r="E9" s="125" t="s">
        <v>1589</v>
      </c>
      <c r="F9" s="114" t="s">
        <v>1590</v>
      </c>
      <c r="G9" s="114" t="s">
        <v>1591</v>
      </c>
      <c r="H9" s="114" t="s">
        <v>1599</v>
      </c>
      <c r="I9" s="107">
        <v>29</v>
      </c>
      <c r="J9" s="108">
        <f>(((1202*1))*1.1)*100%</f>
        <v>1322.2</v>
      </c>
      <c r="K9" s="107">
        <f t="shared" si="0"/>
        <v>38343.800000000003</v>
      </c>
      <c r="L9" s="124"/>
      <c r="M9" s="114" t="s">
        <v>1599</v>
      </c>
      <c r="N9" s="107">
        <v>29</v>
      </c>
      <c r="O9" s="108">
        <f t="shared" si="6"/>
        <v>2849.0000000000005</v>
      </c>
      <c r="P9" s="107">
        <f t="shared" si="2"/>
        <v>82621.000000000015</v>
      </c>
      <c r="Q9" s="124"/>
      <c r="R9" s="114" t="s">
        <v>1599</v>
      </c>
      <c r="S9" s="119">
        <v>29</v>
      </c>
      <c r="T9" s="108">
        <f>(((4166*1))*1.1)*100%</f>
        <v>4582.6000000000004</v>
      </c>
      <c r="U9" s="107">
        <f t="shared" si="4"/>
        <v>132895.40000000002</v>
      </c>
      <c r="V9" s="107">
        <f>+K9+P9+U9</f>
        <v>253860.20000000004</v>
      </c>
      <c r="W9" s="113" t="s">
        <v>1696</v>
      </c>
    </row>
    <row r="10" spans="1:23" ht="96.65" customHeight="1" x14ac:dyDescent="0.35">
      <c r="A10" s="124"/>
      <c r="B10" s="114" t="s">
        <v>603</v>
      </c>
      <c r="C10" s="114" t="s">
        <v>1138</v>
      </c>
      <c r="D10" s="114" t="s">
        <v>1588</v>
      </c>
      <c r="E10" s="125" t="s">
        <v>1589</v>
      </c>
      <c r="F10" s="114" t="s">
        <v>1590</v>
      </c>
      <c r="G10" s="114" t="s">
        <v>1591</v>
      </c>
      <c r="H10" s="114" t="s">
        <v>1600</v>
      </c>
      <c r="I10" s="107">
        <v>1.03</v>
      </c>
      <c r="J10" s="110">
        <f>+J2</f>
        <v>2644.4</v>
      </c>
      <c r="K10" s="107">
        <f t="shared" si="0"/>
        <v>2723.732</v>
      </c>
      <c r="L10" s="124"/>
      <c r="M10" s="114" t="s">
        <v>1600</v>
      </c>
      <c r="N10" s="107">
        <v>1.03</v>
      </c>
      <c r="O10" s="110">
        <f>+O2</f>
        <v>5698.0000000000009</v>
      </c>
      <c r="P10" s="107">
        <f t="shared" si="2"/>
        <v>5868.9400000000014</v>
      </c>
      <c r="Q10" s="124"/>
      <c r="R10" s="114" t="s">
        <v>1600</v>
      </c>
      <c r="S10" s="119">
        <v>1.03</v>
      </c>
      <c r="T10" s="110">
        <f>+T2</f>
        <v>9165.2000000000007</v>
      </c>
      <c r="U10" s="107">
        <f>+S10*T10</f>
        <v>9440.1560000000009</v>
      </c>
      <c r="V10" s="107">
        <f t="shared" si="5"/>
        <v>18032.828000000001</v>
      </c>
      <c r="W10" s="113" t="s">
        <v>1656</v>
      </c>
    </row>
    <row r="11" spans="1:23" ht="96.65" customHeight="1" x14ac:dyDescent="0.35">
      <c r="A11" s="124"/>
      <c r="B11" s="114" t="s">
        <v>1111</v>
      </c>
      <c r="C11" s="114" t="s">
        <v>1426</v>
      </c>
      <c r="D11" s="114" t="s">
        <v>1667</v>
      </c>
      <c r="E11" s="125" t="s">
        <v>1601</v>
      </c>
      <c r="F11" s="114" t="s">
        <v>1607</v>
      </c>
      <c r="G11" s="114" t="s">
        <v>1628</v>
      </c>
      <c r="H11" s="114" t="s">
        <v>1603</v>
      </c>
      <c r="I11" s="107">
        <v>90</v>
      </c>
      <c r="J11" s="109">
        <v>1</v>
      </c>
      <c r="K11" s="107">
        <f t="shared" si="0"/>
        <v>90</v>
      </c>
      <c r="L11" s="124"/>
      <c r="M11" s="114" t="s">
        <v>1603</v>
      </c>
      <c r="N11" s="107">
        <v>90</v>
      </c>
      <c r="O11" s="109">
        <v>200</v>
      </c>
      <c r="P11" s="107">
        <f t="shared" si="2"/>
        <v>18000</v>
      </c>
      <c r="Q11" s="124"/>
      <c r="R11" s="114" t="s">
        <v>1603</v>
      </c>
      <c r="S11" s="119">
        <v>90</v>
      </c>
      <c r="T11" s="109">
        <v>200</v>
      </c>
      <c r="U11" s="107">
        <f t="shared" si="4"/>
        <v>18000</v>
      </c>
      <c r="V11" s="107">
        <f t="shared" si="5"/>
        <v>36090</v>
      </c>
      <c r="W11" s="126" t="s">
        <v>1670</v>
      </c>
    </row>
    <row r="12" spans="1:23" ht="96.65" customHeight="1" x14ac:dyDescent="0.35">
      <c r="A12" s="124"/>
      <c r="B12" s="114" t="s">
        <v>1111</v>
      </c>
      <c r="C12" s="114" t="s">
        <v>1426</v>
      </c>
      <c r="D12" s="114" t="s">
        <v>1665</v>
      </c>
      <c r="E12" s="125" t="s">
        <v>1601</v>
      </c>
      <c r="F12" s="114" t="s">
        <v>1607</v>
      </c>
      <c r="G12" s="114" t="s">
        <v>1628</v>
      </c>
      <c r="H12" s="114" t="s">
        <v>1608</v>
      </c>
      <c r="I12" s="107">
        <v>25</v>
      </c>
      <c r="J12" s="109">
        <f>100*2</f>
        <v>200</v>
      </c>
      <c r="K12" s="107">
        <f t="shared" si="0"/>
        <v>5000</v>
      </c>
      <c r="L12" s="124"/>
      <c r="M12" s="114" t="s">
        <v>1608</v>
      </c>
      <c r="N12" s="107">
        <v>25</v>
      </c>
      <c r="O12" s="109">
        <f>100*2</f>
        <v>200</v>
      </c>
      <c r="P12" s="107">
        <f t="shared" si="2"/>
        <v>5000</v>
      </c>
      <c r="Q12" s="124"/>
      <c r="R12" s="114" t="s">
        <v>1608</v>
      </c>
      <c r="S12" s="119">
        <v>25</v>
      </c>
      <c r="T12" s="109">
        <f>100*2</f>
        <v>200</v>
      </c>
      <c r="U12" s="107">
        <f t="shared" si="4"/>
        <v>5000</v>
      </c>
      <c r="V12" s="107">
        <f t="shared" si="5"/>
        <v>15000</v>
      </c>
      <c r="W12" s="126" t="s">
        <v>1671</v>
      </c>
    </row>
    <row r="13" spans="1:23" ht="96.65" customHeight="1" x14ac:dyDescent="0.35">
      <c r="A13" s="124"/>
      <c r="B13" s="114" t="s">
        <v>1111</v>
      </c>
      <c r="C13" s="114" t="s">
        <v>1426</v>
      </c>
      <c r="D13" s="114" t="s">
        <v>1666</v>
      </c>
      <c r="E13" s="125" t="s">
        <v>1601</v>
      </c>
      <c r="F13" s="114" t="s">
        <v>1607</v>
      </c>
      <c r="G13" s="114" t="s">
        <v>1628</v>
      </c>
      <c r="H13" s="114" t="s">
        <v>1604</v>
      </c>
      <c r="I13" s="107">
        <v>30</v>
      </c>
      <c r="J13" s="109">
        <v>400</v>
      </c>
      <c r="K13" s="107">
        <f t="shared" si="0"/>
        <v>12000</v>
      </c>
      <c r="L13" s="124"/>
      <c r="M13" s="114" t="s">
        <v>1604</v>
      </c>
      <c r="N13" s="107">
        <v>30</v>
      </c>
      <c r="O13" s="109">
        <v>400</v>
      </c>
      <c r="P13" s="107">
        <f t="shared" si="2"/>
        <v>12000</v>
      </c>
      <c r="Q13" s="124"/>
      <c r="R13" s="114" t="s">
        <v>1604</v>
      </c>
      <c r="S13" s="119">
        <v>30</v>
      </c>
      <c r="T13" s="109">
        <v>400</v>
      </c>
      <c r="U13" s="107">
        <f t="shared" si="4"/>
        <v>12000</v>
      </c>
      <c r="V13" s="107">
        <f t="shared" si="5"/>
        <v>36000</v>
      </c>
      <c r="W13" s="126" t="s">
        <v>1672</v>
      </c>
    </row>
    <row r="14" spans="1:23" ht="96.65" customHeight="1" x14ac:dyDescent="0.35">
      <c r="A14" s="124"/>
      <c r="B14" s="114" t="s">
        <v>1111</v>
      </c>
      <c r="C14" s="114" t="s">
        <v>1426</v>
      </c>
      <c r="D14" s="114" t="s">
        <v>1668</v>
      </c>
      <c r="E14" s="125" t="s">
        <v>1602</v>
      </c>
      <c r="F14" s="114" t="s">
        <v>1607</v>
      </c>
      <c r="G14" s="114" t="s">
        <v>1628</v>
      </c>
      <c r="H14" s="114" t="s">
        <v>1605</v>
      </c>
      <c r="I14" s="107">
        <f>1+2+2+18+4+3</f>
        <v>30</v>
      </c>
      <c r="J14" s="109">
        <v>200</v>
      </c>
      <c r="K14" s="107">
        <f t="shared" si="0"/>
        <v>6000</v>
      </c>
      <c r="L14" s="124"/>
      <c r="M14" s="114" t="s">
        <v>1605</v>
      </c>
      <c r="N14" s="107">
        <f>1+2+2+18+4+3</f>
        <v>30</v>
      </c>
      <c r="O14" s="109">
        <v>200</v>
      </c>
      <c r="P14" s="107">
        <f t="shared" si="2"/>
        <v>6000</v>
      </c>
      <c r="Q14" s="124"/>
      <c r="R14" s="114" t="s">
        <v>1605</v>
      </c>
      <c r="S14" s="119">
        <f>1+2+2+18+4+3</f>
        <v>30</v>
      </c>
      <c r="T14" s="109">
        <v>200</v>
      </c>
      <c r="U14" s="107">
        <f t="shared" si="4"/>
        <v>6000</v>
      </c>
      <c r="V14" s="107">
        <f t="shared" si="5"/>
        <v>18000</v>
      </c>
      <c r="W14" s="126" t="s">
        <v>1673</v>
      </c>
    </row>
    <row r="15" spans="1:23" ht="96.65" customHeight="1" x14ac:dyDescent="0.35">
      <c r="A15" s="124"/>
      <c r="B15" s="114" t="s">
        <v>1111</v>
      </c>
      <c r="C15" s="114" t="s">
        <v>1426</v>
      </c>
      <c r="D15" s="114" t="s">
        <v>1669</v>
      </c>
      <c r="E15" s="125" t="s">
        <v>1602</v>
      </c>
      <c r="F15" s="114" t="s">
        <v>1607</v>
      </c>
      <c r="G15" s="114" t="s">
        <v>1628</v>
      </c>
      <c r="H15" s="114" t="s">
        <v>1606</v>
      </c>
      <c r="I15" s="107">
        <v>10000</v>
      </c>
      <c r="J15" s="109">
        <v>1</v>
      </c>
      <c r="K15" s="107">
        <f t="shared" si="0"/>
        <v>10000</v>
      </c>
      <c r="L15" s="124"/>
      <c r="M15" s="114" t="s">
        <v>1606</v>
      </c>
      <c r="N15" s="107">
        <v>10000</v>
      </c>
      <c r="O15" s="109">
        <v>1</v>
      </c>
      <c r="P15" s="107">
        <f t="shared" si="2"/>
        <v>10000</v>
      </c>
      <c r="Q15" s="124"/>
      <c r="R15" s="114" t="s">
        <v>1606</v>
      </c>
      <c r="S15" s="119">
        <v>10000</v>
      </c>
      <c r="T15" s="109">
        <v>1</v>
      </c>
      <c r="U15" s="107">
        <f t="shared" si="4"/>
        <v>10000</v>
      </c>
      <c r="V15" s="107">
        <f t="shared" si="5"/>
        <v>30000</v>
      </c>
      <c r="W15" s="126" t="s">
        <v>1674</v>
      </c>
    </row>
    <row r="16" spans="1:23" ht="126.75" customHeight="1" x14ac:dyDescent="0.35">
      <c r="A16" s="124"/>
      <c r="B16" s="114" t="s">
        <v>1111</v>
      </c>
      <c r="C16" s="114" t="s">
        <v>1426</v>
      </c>
      <c r="D16" s="114" t="s">
        <v>1705</v>
      </c>
      <c r="E16" s="125" t="s">
        <v>1601</v>
      </c>
      <c r="F16" s="114" t="s">
        <v>1607</v>
      </c>
      <c r="G16" s="114" t="s">
        <v>1628</v>
      </c>
      <c r="H16" s="114" t="s">
        <v>1609</v>
      </c>
      <c r="I16" s="107">
        <v>25</v>
      </c>
      <c r="J16" s="109">
        <v>100</v>
      </c>
      <c r="K16" s="107">
        <f t="shared" si="0"/>
        <v>2500</v>
      </c>
      <c r="L16" s="124"/>
      <c r="M16" s="114" t="s">
        <v>1609</v>
      </c>
      <c r="N16" s="107">
        <v>25</v>
      </c>
      <c r="O16" s="109">
        <v>100</v>
      </c>
      <c r="P16" s="107">
        <f t="shared" si="2"/>
        <v>2500</v>
      </c>
      <c r="Q16" s="124" t="s">
        <v>872</v>
      </c>
      <c r="R16" s="114" t="s">
        <v>1609</v>
      </c>
      <c r="S16" s="119">
        <v>25</v>
      </c>
      <c r="T16" s="109">
        <v>100</v>
      </c>
      <c r="U16" s="107">
        <f t="shared" si="4"/>
        <v>2500</v>
      </c>
      <c r="V16" s="107">
        <f t="shared" ref="V16" si="7">+K16+P16+U16</f>
        <v>7500</v>
      </c>
      <c r="W16" s="115" t="s">
        <v>1675</v>
      </c>
    </row>
    <row r="17" spans="1:23" ht="87.5" x14ac:dyDescent="0.35">
      <c r="A17" s="124"/>
      <c r="B17" s="114" t="s">
        <v>1111</v>
      </c>
      <c r="C17" s="114" t="s">
        <v>1426</v>
      </c>
      <c r="D17" s="114" t="s">
        <v>1630</v>
      </c>
      <c r="E17" s="125" t="s">
        <v>1627</v>
      </c>
      <c r="F17" s="114" t="s">
        <v>1607</v>
      </c>
      <c r="G17" s="114" t="s">
        <v>1628</v>
      </c>
      <c r="H17" s="114" t="s">
        <v>1629</v>
      </c>
      <c r="I17" s="107">
        <v>150000</v>
      </c>
      <c r="J17" s="109">
        <v>1</v>
      </c>
      <c r="K17" s="107">
        <f>I17*J17</f>
        <v>150000</v>
      </c>
      <c r="L17" s="127"/>
      <c r="M17" s="114" t="s">
        <v>1629</v>
      </c>
      <c r="N17" s="127">
        <f>J17</f>
        <v>1</v>
      </c>
      <c r="O17" s="128"/>
      <c r="P17" s="127">
        <f>N17*O17</f>
        <v>0</v>
      </c>
      <c r="Q17" s="128"/>
      <c r="R17" s="128"/>
      <c r="S17" s="129">
        <v>50000</v>
      </c>
      <c r="T17" s="130"/>
      <c r="U17" s="107">
        <f>+S17*T17</f>
        <v>0</v>
      </c>
      <c r="V17" s="107">
        <f>+K17+P17+U17</f>
        <v>150000</v>
      </c>
      <c r="W17" s="115" t="s">
        <v>1664</v>
      </c>
    </row>
    <row r="18" spans="1:23" ht="102" customHeight="1" x14ac:dyDescent="0.35">
      <c r="A18" s="124"/>
      <c r="B18" s="114" t="s">
        <v>1090</v>
      </c>
      <c r="C18" s="114" t="s">
        <v>1319</v>
      </c>
      <c r="D18" s="114"/>
      <c r="E18" s="125" t="s">
        <v>1601</v>
      </c>
      <c r="F18" s="114" t="s">
        <v>1607</v>
      </c>
      <c r="G18" s="114" t="s">
        <v>1628</v>
      </c>
      <c r="H18" s="114" t="s">
        <v>1610</v>
      </c>
      <c r="I18" s="107">
        <v>300</v>
      </c>
      <c r="J18" s="109">
        <v>60</v>
      </c>
      <c r="K18" s="107">
        <f t="shared" si="0"/>
        <v>18000</v>
      </c>
      <c r="L18" s="124"/>
      <c r="M18" s="114" t="s">
        <v>1610</v>
      </c>
      <c r="N18" s="107">
        <v>300</v>
      </c>
      <c r="O18" s="109">
        <v>60</v>
      </c>
      <c r="P18" s="107">
        <f t="shared" si="2"/>
        <v>18000</v>
      </c>
      <c r="Q18" s="124"/>
      <c r="R18" s="114" t="s">
        <v>1610</v>
      </c>
      <c r="S18" s="119"/>
      <c r="T18" s="110"/>
      <c r="U18" s="107"/>
      <c r="V18" s="107">
        <f t="shared" si="5"/>
        <v>36000</v>
      </c>
      <c r="W18" s="115" t="s">
        <v>1676</v>
      </c>
    </row>
    <row r="19" spans="1:23" ht="62.5" x14ac:dyDescent="0.35">
      <c r="A19" s="124"/>
      <c r="B19" s="114" t="s">
        <v>1090</v>
      </c>
      <c r="C19" s="114" t="s">
        <v>1319</v>
      </c>
      <c r="D19" s="114"/>
      <c r="E19" s="125" t="s">
        <v>1601</v>
      </c>
      <c r="F19" s="114" t="s">
        <v>1607</v>
      </c>
      <c r="G19" s="114" t="s">
        <v>1628</v>
      </c>
      <c r="H19" s="114" t="s">
        <v>1611</v>
      </c>
      <c r="I19" s="107">
        <v>300</v>
      </c>
      <c r="J19" s="109">
        <v>20</v>
      </c>
      <c r="K19" s="107">
        <f t="shared" si="0"/>
        <v>6000</v>
      </c>
      <c r="L19" s="124"/>
      <c r="M19" s="114" t="s">
        <v>1611</v>
      </c>
      <c r="N19" s="107">
        <v>300</v>
      </c>
      <c r="O19" s="109">
        <v>30</v>
      </c>
      <c r="P19" s="107">
        <f t="shared" si="2"/>
        <v>9000</v>
      </c>
      <c r="Q19" s="124"/>
      <c r="R19" s="114" t="s">
        <v>1611</v>
      </c>
      <c r="S19" s="119">
        <v>300</v>
      </c>
      <c r="T19" s="110">
        <v>20</v>
      </c>
      <c r="U19" s="107">
        <f t="shared" si="4"/>
        <v>6000</v>
      </c>
      <c r="V19" s="107">
        <f t="shared" si="5"/>
        <v>21000</v>
      </c>
      <c r="W19" s="126" t="s">
        <v>1677</v>
      </c>
    </row>
    <row r="20" spans="1:23" ht="62.5" x14ac:dyDescent="0.35">
      <c r="A20" s="124"/>
      <c r="B20" s="114" t="s">
        <v>1090</v>
      </c>
      <c r="C20" s="114" t="s">
        <v>1319</v>
      </c>
      <c r="D20" s="114"/>
      <c r="E20" s="125" t="s">
        <v>1601</v>
      </c>
      <c r="F20" s="114" t="s">
        <v>1607</v>
      </c>
      <c r="G20" s="114" t="s">
        <v>1628</v>
      </c>
      <c r="H20" s="114" t="s">
        <v>1612</v>
      </c>
      <c r="I20" s="107">
        <v>300</v>
      </c>
      <c r="J20" s="109">
        <v>30</v>
      </c>
      <c r="K20" s="107">
        <f t="shared" si="0"/>
        <v>9000</v>
      </c>
      <c r="L20" s="124"/>
      <c r="M20" s="114" t="s">
        <v>1612</v>
      </c>
      <c r="N20" s="107">
        <v>300</v>
      </c>
      <c r="O20" s="109">
        <v>15</v>
      </c>
      <c r="P20" s="107">
        <f t="shared" si="2"/>
        <v>4500</v>
      </c>
      <c r="Q20" s="124"/>
      <c r="R20" s="114" t="s">
        <v>1612</v>
      </c>
      <c r="S20" s="119"/>
      <c r="T20" s="110"/>
      <c r="U20" s="107"/>
      <c r="V20" s="107">
        <f t="shared" si="5"/>
        <v>13500</v>
      </c>
      <c r="W20" s="126" t="s">
        <v>1678</v>
      </c>
    </row>
    <row r="21" spans="1:23" ht="77.5" x14ac:dyDescent="0.35">
      <c r="A21" s="124"/>
      <c r="B21" s="114" t="s">
        <v>1090</v>
      </c>
      <c r="C21" s="114" t="s">
        <v>1319</v>
      </c>
      <c r="D21" s="114"/>
      <c r="E21" s="125" t="s">
        <v>1601</v>
      </c>
      <c r="F21" s="114" t="s">
        <v>1607</v>
      </c>
      <c r="G21" s="114" t="s">
        <v>1628</v>
      </c>
      <c r="H21" s="114" t="s">
        <v>1613</v>
      </c>
      <c r="I21" s="107"/>
      <c r="J21" s="109"/>
      <c r="K21" s="107"/>
      <c r="L21" s="124"/>
      <c r="M21" s="114" t="s">
        <v>1613</v>
      </c>
      <c r="N21" s="107"/>
      <c r="O21" s="109"/>
      <c r="P21" s="107"/>
      <c r="Q21" s="124"/>
      <c r="R21" s="114" t="s">
        <v>1613</v>
      </c>
      <c r="S21" s="119">
        <v>300</v>
      </c>
      <c r="T21" s="110">
        <v>80</v>
      </c>
      <c r="U21" s="107">
        <f t="shared" si="4"/>
        <v>24000</v>
      </c>
      <c r="V21" s="107">
        <f t="shared" si="5"/>
        <v>24000</v>
      </c>
      <c r="W21" s="126" t="s">
        <v>1679</v>
      </c>
    </row>
    <row r="22" spans="1:23" ht="72.5" x14ac:dyDescent="0.35">
      <c r="A22" s="128"/>
      <c r="B22" s="116" t="s">
        <v>603</v>
      </c>
      <c r="C22" s="116" t="s">
        <v>1181</v>
      </c>
      <c r="D22" s="116" t="s">
        <v>1614</v>
      </c>
      <c r="E22" s="131" t="s">
        <v>1602</v>
      </c>
      <c r="F22" s="114" t="s">
        <v>1607</v>
      </c>
      <c r="G22" s="116" t="s">
        <v>1615</v>
      </c>
      <c r="H22" s="116" t="s">
        <v>1616</v>
      </c>
      <c r="I22" s="127">
        <v>373.33333333333337</v>
      </c>
      <c r="J22" s="117">
        <v>30</v>
      </c>
      <c r="K22" s="127">
        <f>I22*J22</f>
        <v>11200.000000000002</v>
      </c>
      <c r="L22" s="127"/>
      <c r="M22" s="116" t="s">
        <v>1616</v>
      </c>
      <c r="N22" s="127">
        <v>373.33333333333337</v>
      </c>
      <c r="O22" s="128">
        <v>30</v>
      </c>
      <c r="P22" s="127">
        <f>N22*O22</f>
        <v>11200.000000000002</v>
      </c>
      <c r="Q22" s="128"/>
      <c r="R22" s="116" t="s">
        <v>1616</v>
      </c>
      <c r="S22" s="129">
        <v>373.33333333333337</v>
      </c>
      <c r="T22" s="130">
        <v>30</v>
      </c>
      <c r="U22" s="107">
        <f t="shared" ref="U22:U39" si="8">+S22*T22</f>
        <v>11200.000000000002</v>
      </c>
      <c r="V22" s="107">
        <f>+K22+P22+U22</f>
        <v>33600.000000000007</v>
      </c>
      <c r="W22" s="132" t="s">
        <v>1617</v>
      </c>
    </row>
    <row r="23" spans="1:23" ht="111.75" customHeight="1" x14ac:dyDescent="0.35">
      <c r="A23" s="128"/>
      <c r="B23" s="116" t="s">
        <v>603</v>
      </c>
      <c r="C23" s="116" t="s">
        <v>1181</v>
      </c>
      <c r="D23" s="116" t="s">
        <v>1614</v>
      </c>
      <c r="E23" s="131" t="s">
        <v>1618</v>
      </c>
      <c r="F23" s="114" t="s">
        <v>1607</v>
      </c>
      <c r="G23" s="116" t="s">
        <v>1615</v>
      </c>
      <c r="H23" s="116" t="s">
        <v>1619</v>
      </c>
      <c r="I23" s="127">
        <v>17000</v>
      </c>
      <c r="J23" s="117">
        <v>4</v>
      </c>
      <c r="K23" s="127">
        <f t="shared" ref="K23:K26" si="9">I23*J23</f>
        <v>68000</v>
      </c>
      <c r="L23" s="127"/>
      <c r="M23" s="116" t="s">
        <v>1619</v>
      </c>
      <c r="N23" s="127">
        <v>17000</v>
      </c>
      <c r="O23" s="128">
        <v>4</v>
      </c>
      <c r="P23" s="127">
        <f t="shared" ref="P23:P39" si="10">N23*O23</f>
        <v>68000</v>
      </c>
      <c r="Q23" s="128"/>
      <c r="R23" s="116" t="s">
        <v>1619</v>
      </c>
      <c r="S23" s="129">
        <v>17000</v>
      </c>
      <c r="T23" s="130">
        <v>4</v>
      </c>
      <c r="U23" s="107">
        <f t="shared" si="8"/>
        <v>68000</v>
      </c>
      <c r="V23" s="107">
        <f t="shared" ref="V23:V39" si="11">+K23+P23+U23</f>
        <v>204000</v>
      </c>
      <c r="W23" s="132" t="s">
        <v>1620</v>
      </c>
    </row>
    <row r="24" spans="1:23" ht="72" customHeight="1" x14ac:dyDescent="0.35">
      <c r="A24" s="128"/>
      <c r="B24" s="116" t="s">
        <v>603</v>
      </c>
      <c r="C24" s="116" t="s">
        <v>1181</v>
      </c>
      <c r="D24" s="116" t="s">
        <v>1704</v>
      </c>
      <c r="E24" s="131" t="s">
        <v>1602</v>
      </c>
      <c r="F24" s="114" t="s">
        <v>1607</v>
      </c>
      <c r="G24" s="116" t="s">
        <v>1615</v>
      </c>
      <c r="H24" s="116" t="s">
        <v>1621</v>
      </c>
      <c r="I24" s="127">
        <v>6250</v>
      </c>
      <c r="J24" s="117">
        <v>1</v>
      </c>
      <c r="K24" s="127">
        <f t="shared" si="9"/>
        <v>6250</v>
      </c>
      <c r="L24" s="127"/>
      <c r="M24" s="116" t="s">
        <v>1621</v>
      </c>
      <c r="N24" s="127">
        <v>6250</v>
      </c>
      <c r="O24" s="128">
        <v>1</v>
      </c>
      <c r="P24" s="127">
        <f t="shared" si="10"/>
        <v>6250</v>
      </c>
      <c r="Q24" s="128"/>
      <c r="R24" s="116" t="s">
        <v>1621</v>
      </c>
      <c r="S24" s="129">
        <v>6250</v>
      </c>
      <c r="T24" s="130">
        <v>1</v>
      </c>
      <c r="U24" s="107">
        <f t="shared" si="8"/>
        <v>6250</v>
      </c>
      <c r="V24" s="107">
        <f t="shared" si="11"/>
        <v>18750</v>
      </c>
      <c r="W24" s="132" t="s">
        <v>1622</v>
      </c>
    </row>
    <row r="25" spans="1:23" ht="183" customHeight="1" x14ac:dyDescent="0.35">
      <c r="A25" s="128"/>
      <c r="B25" s="116" t="s">
        <v>603</v>
      </c>
      <c r="C25" s="116" t="s">
        <v>1181</v>
      </c>
      <c r="D25" s="116" t="s">
        <v>1702</v>
      </c>
      <c r="E25" s="125" t="s">
        <v>1703</v>
      </c>
      <c r="F25" s="114" t="s">
        <v>1607</v>
      </c>
      <c r="G25" s="116" t="s">
        <v>1615</v>
      </c>
      <c r="H25" s="116" t="s">
        <v>1623</v>
      </c>
      <c r="I25" s="127">
        <v>23140</v>
      </c>
      <c r="J25" s="117">
        <v>1</v>
      </c>
      <c r="K25" s="127">
        <f t="shared" si="9"/>
        <v>23140</v>
      </c>
      <c r="L25" s="127"/>
      <c r="M25" s="116" t="s">
        <v>1623</v>
      </c>
      <c r="N25" s="127">
        <v>23140</v>
      </c>
      <c r="O25" s="128">
        <v>1</v>
      </c>
      <c r="P25" s="127">
        <f t="shared" si="10"/>
        <v>23140</v>
      </c>
      <c r="Q25" s="128"/>
      <c r="R25" s="116" t="s">
        <v>1623</v>
      </c>
      <c r="S25" s="129">
        <v>23140</v>
      </c>
      <c r="T25" s="130">
        <v>1</v>
      </c>
      <c r="U25" s="107">
        <f t="shared" si="8"/>
        <v>23140</v>
      </c>
      <c r="V25" s="107">
        <f t="shared" si="11"/>
        <v>69420</v>
      </c>
      <c r="W25" s="132" t="s">
        <v>1624</v>
      </c>
    </row>
    <row r="26" spans="1:23" ht="170.5" x14ac:dyDescent="0.35">
      <c r="A26" s="128"/>
      <c r="B26" s="116" t="s">
        <v>603</v>
      </c>
      <c r="C26" s="116" t="s">
        <v>1181</v>
      </c>
      <c r="D26" s="116" t="s">
        <v>1701</v>
      </c>
      <c r="E26" s="125" t="s">
        <v>1601</v>
      </c>
      <c r="F26" s="114" t="s">
        <v>1607</v>
      </c>
      <c r="G26" s="116" t="s">
        <v>1615</v>
      </c>
      <c r="H26" s="116" t="s">
        <v>1625</v>
      </c>
      <c r="I26" s="127">
        <v>800</v>
      </c>
      <c r="J26" s="117">
        <v>3</v>
      </c>
      <c r="K26" s="127">
        <f t="shared" si="9"/>
        <v>2400</v>
      </c>
      <c r="L26" s="127"/>
      <c r="M26" s="116" t="s">
        <v>1625</v>
      </c>
      <c r="N26" s="127">
        <v>800</v>
      </c>
      <c r="O26" s="128">
        <v>3</v>
      </c>
      <c r="P26" s="127">
        <f t="shared" si="10"/>
        <v>2400</v>
      </c>
      <c r="Q26" s="128"/>
      <c r="R26" s="116" t="s">
        <v>1625</v>
      </c>
      <c r="S26" s="129">
        <v>800</v>
      </c>
      <c r="T26" s="130">
        <v>3</v>
      </c>
      <c r="U26" s="107">
        <f t="shared" si="8"/>
        <v>2400</v>
      </c>
      <c r="V26" s="107">
        <f t="shared" si="11"/>
        <v>7200</v>
      </c>
      <c r="W26" s="132" t="s">
        <v>1626</v>
      </c>
    </row>
    <row r="27" spans="1:23" ht="133.5" customHeight="1" x14ac:dyDescent="0.35">
      <c r="A27" s="124"/>
      <c r="B27" s="121" t="s">
        <v>221</v>
      </c>
      <c r="C27" s="114" t="s">
        <v>1259</v>
      </c>
      <c r="D27" s="114" t="s">
        <v>1680</v>
      </c>
      <c r="E27" s="125" t="s">
        <v>1627</v>
      </c>
      <c r="F27" s="114" t="s">
        <v>1607</v>
      </c>
      <c r="G27" s="114"/>
      <c r="H27" s="114" t="s">
        <v>1572</v>
      </c>
      <c r="I27" s="107">
        <v>50000</v>
      </c>
      <c r="J27" s="109">
        <v>2</v>
      </c>
      <c r="K27" s="107">
        <f t="shared" si="0"/>
        <v>100000</v>
      </c>
      <c r="L27" s="124"/>
      <c r="M27" s="114" t="s">
        <v>1572</v>
      </c>
      <c r="N27" s="107">
        <v>60000</v>
      </c>
      <c r="O27" s="109">
        <v>2</v>
      </c>
      <c r="P27" s="127">
        <f t="shared" si="10"/>
        <v>120000</v>
      </c>
      <c r="Q27" s="124"/>
      <c r="R27" s="114" t="s">
        <v>1572</v>
      </c>
      <c r="S27" s="119">
        <v>70000</v>
      </c>
      <c r="T27" s="109">
        <v>2</v>
      </c>
      <c r="U27" s="107">
        <f t="shared" si="8"/>
        <v>140000</v>
      </c>
      <c r="V27" s="107">
        <f t="shared" si="11"/>
        <v>360000</v>
      </c>
      <c r="W27" s="126" t="s">
        <v>1681</v>
      </c>
    </row>
    <row r="28" spans="1:23" ht="133.5" customHeight="1" x14ac:dyDescent="0.35">
      <c r="A28" s="124"/>
      <c r="B28" s="121" t="s">
        <v>603</v>
      </c>
      <c r="C28" s="114" t="s">
        <v>1682</v>
      </c>
      <c r="D28" s="114" t="s">
        <v>1686</v>
      </c>
      <c r="E28" s="125" t="s">
        <v>1601</v>
      </c>
      <c r="F28" s="114" t="s">
        <v>1590</v>
      </c>
      <c r="G28" s="114" t="s">
        <v>1684</v>
      </c>
      <c r="H28" s="114" t="s">
        <v>1687</v>
      </c>
      <c r="I28" s="107">
        <v>200</v>
      </c>
      <c r="J28" s="109">
        <v>31</v>
      </c>
      <c r="K28" s="107">
        <f>+I28*J28</f>
        <v>6200</v>
      </c>
      <c r="L28" s="124"/>
      <c r="M28" s="114" t="s">
        <v>1687</v>
      </c>
      <c r="N28" s="107">
        <v>200</v>
      </c>
      <c r="O28" s="109">
        <v>31</v>
      </c>
      <c r="P28" s="107">
        <f>+N28*O28</f>
        <v>6200</v>
      </c>
      <c r="Q28" s="124"/>
      <c r="R28" s="114" t="s">
        <v>1687</v>
      </c>
      <c r="S28" s="119">
        <v>200</v>
      </c>
      <c r="T28" s="109">
        <v>31</v>
      </c>
      <c r="U28" s="107">
        <f>+S28*T28</f>
        <v>6200</v>
      </c>
      <c r="V28" s="107">
        <f t="shared" si="11"/>
        <v>18600</v>
      </c>
      <c r="W28" s="126" t="s">
        <v>1693</v>
      </c>
    </row>
    <row r="29" spans="1:23" ht="133.5" customHeight="1" x14ac:dyDescent="0.35">
      <c r="A29" s="124"/>
      <c r="B29" s="121" t="s">
        <v>603</v>
      </c>
      <c r="C29" s="114" t="s">
        <v>1682</v>
      </c>
      <c r="D29" s="114" t="s">
        <v>1683</v>
      </c>
      <c r="E29" s="125" t="s">
        <v>1601</v>
      </c>
      <c r="F29" s="114" t="s">
        <v>1590</v>
      </c>
      <c r="G29" s="114" t="s">
        <v>1684</v>
      </c>
      <c r="H29" s="114" t="s">
        <v>1689</v>
      </c>
      <c r="I29" s="107">
        <v>10</v>
      </c>
      <c r="J29" s="133">
        <v>500</v>
      </c>
      <c r="K29" s="127">
        <f>+I29*J29</f>
        <v>5000</v>
      </c>
      <c r="L29" s="124"/>
      <c r="M29" s="114" t="s">
        <v>1689</v>
      </c>
      <c r="N29" s="107">
        <v>12</v>
      </c>
      <c r="O29" s="133">
        <v>500</v>
      </c>
      <c r="P29" s="127">
        <f>+N29*O29</f>
        <v>6000</v>
      </c>
      <c r="Q29" s="124"/>
      <c r="R29" s="114" t="s">
        <v>1689</v>
      </c>
      <c r="S29" s="134">
        <v>14</v>
      </c>
      <c r="T29" s="133">
        <v>500</v>
      </c>
      <c r="U29" s="127">
        <f>+S29*T29</f>
        <v>7000</v>
      </c>
      <c r="V29" s="107">
        <f t="shared" si="11"/>
        <v>18000</v>
      </c>
      <c r="W29" s="126" t="s">
        <v>1690</v>
      </c>
    </row>
    <row r="30" spans="1:23" ht="106.5" customHeight="1" x14ac:dyDescent="0.35">
      <c r="A30" s="124"/>
      <c r="B30" s="121" t="s">
        <v>603</v>
      </c>
      <c r="C30" s="114" t="s">
        <v>1682</v>
      </c>
      <c r="D30" s="114" t="s">
        <v>1683</v>
      </c>
      <c r="E30" s="125" t="s">
        <v>1601</v>
      </c>
      <c r="F30" s="114" t="s">
        <v>1590</v>
      </c>
      <c r="G30" s="114" t="s">
        <v>1684</v>
      </c>
      <c r="H30" s="114" t="s">
        <v>1685</v>
      </c>
      <c r="I30" s="107">
        <v>10</v>
      </c>
      <c r="J30" s="109">
        <v>2500</v>
      </c>
      <c r="K30" s="127">
        <f>+I30*J30</f>
        <v>25000</v>
      </c>
      <c r="L30" s="124"/>
      <c r="M30" s="114" t="s">
        <v>1685</v>
      </c>
      <c r="N30" s="107">
        <v>10</v>
      </c>
      <c r="O30" s="109">
        <v>2500</v>
      </c>
      <c r="P30" s="127">
        <f>+N30*O30</f>
        <v>25000</v>
      </c>
      <c r="Q30" s="124"/>
      <c r="R30" s="114" t="s">
        <v>1685</v>
      </c>
      <c r="S30" s="119">
        <v>10</v>
      </c>
      <c r="T30" s="109">
        <v>2500</v>
      </c>
      <c r="U30" s="127">
        <f>+S30*T30</f>
        <v>25000</v>
      </c>
      <c r="V30" s="107">
        <f t="shared" si="11"/>
        <v>75000</v>
      </c>
      <c r="W30" s="126" t="s">
        <v>1688</v>
      </c>
    </row>
    <row r="31" spans="1:23" ht="46.5" x14ac:dyDescent="0.35">
      <c r="A31" s="124"/>
      <c r="B31" s="121" t="s">
        <v>1100</v>
      </c>
      <c r="C31" s="114" t="s">
        <v>1488</v>
      </c>
      <c r="D31" s="114" t="s">
        <v>1631</v>
      </c>
      <c r="E31" s="125" t="s">
        <v>1632</v>
      </c>
      <c r="F31" s="114" t="s">
        <v>1590</v>
      </c>
      <c r="G31" s="114" t="s">
        <v>1615</v>
      </c>
      <c r="H31" s="114" t="s">
        <v>1633</v>
      </c>
      <c r="I31" s="107">
        <v>148.80000000000001</v>
      </c>
      <c r="J31" s="109">
        <v>4</v>
      </c>
      <c r="K31" s="107">
        <f t="shared" si="0"/>
        <v>595.20000000000005</v>
      </c>
      <c r="L31" s="124"/>
      <c r="M31" s="114" t="s">
        <v>1633</v>
      </c>
      <c r="N31" s="107">
        <v>148.80000000000001</v>
      </c>
      <c r="O31" s="109">
        <v>7</v>
      </c>
      <c r="P31" s="127">
        <f t="shared" si="10"/>
        <v>1041.6000000000001</v>
      </c>
      <c r="Q31" s="124"/>
      <c r="R31" s="114" t="s">
        <v>1633</v>
      </c>
      <c r="S31" s="119">
        <v>148.80000000000001</v>
      </c>
      <c r="T31" s="110">
        <v>6</v>
      </c>
      <c r="U31" s="107">
        <f t="shared" si="8"/>
        <v>892.80000000000007</v>
      </c>
      <c r="V31" s="107">
        <f t="shared" si="11"/>
        <v>2529.6000000000004</v>
      </c>
      <c r="W31" s="126" t="s">
        <v>1642</v>
      </c>
    </row>
    <row r="32" spans="1:23" ht="46.5" x14ac:dyDescent="0.35">
      <c r="A32" s="124"/>
      <c r="B32" s="121" t="s">
        <v>1100</v>
      </c>
      <c r="C32" s="114" t="s">
        <v>1488</v>
      </c>
      <c r="D32" s="114" t="s">
        <v>1631</v>
      </c>
      <c r="E32" s="125" t="s">
        <v>1632</v>
      </c>
      <c r="F32" s="114" t="s">
        <v>1590</v>
      </c>
      <c r="G32" s="114" t="s">
        <v>1615</v>
      </c>
      <c r="H32" s="114" t="s">
        <v>1649</v>
      </c>
      <c r="I32" s="107">
        <v>199</v>
      </c>
      <c r="J32" s="109">
        <v>4</v>
      </c>
      <c r="K32" s="107">
        <f t="shared" si="0"/>
        <v>796</v>
      </c>
      <c r="L32" s="124"/>
      <c r="M32" s="114" t="s">
        <v>1634</v>
      </c>
      <c r="N32" s="107">
        <v>199</v>
      </c>
      <c r="O32" s="109">
        <v>7</v>
      </c>
      <c r="P32" s="127">
        <f t="shared" si="10"/>
        <v>1393</v>
      </c>
      <c r="Q32" s="124"/>
      <c r="R32" s="114" t="s">
        <v>1634</v>
      </c>
      <c r="S32" s="119">
        <v>199</v>
      </c>
      <c r="T32" s="110">
        <v>6</v>
      </c>
      <c r="U32" s="107">
        <f t="shared" si="8"/>
        <v>1194</v>
      </c>
      <c r="V32" s="107">
        <f t="shared" si="11"/>
        <v>3383</v>
      </c>
      <c r="W32" s="126" t="s">
        <v>1643</v>
      </c>
    </row>
    <row r="33" spans="1:23" ht="46.5" x14ac:dyDescent="0.35">
      <c r="A33" s="124"/>
      <c r="B33" s="121" t="s">
        <v>1100</v>
      </c>
      <c r="C33" s="114" t="s">
        <v>1488</v>
      </c>
      <c r="D33" s="114" t="s">
        <v>1631</v>
      </c>
      <c r="E33" s="125" t="s">
        <v>1632</v>
      </c>
      <c r="F33" s="114" t="s">
        <v>1590</v>
      </c>
      <c r="G33" s="114" t="s">
        <v>1615</v>
      </c>
      <c r="H33" s="114" t="s">
        <v>1650</v>
      </c>
      <c r="I33" s="107">
        <v>50</v>
      </c>
      <c r="J33" s="109">
        <f>10*4</f>
        <v>40</v>
      </c>
      <c r="K33" s="107">
        <f t="shared" si="0"/>
        <v>2000</v>
      </c>
      <c r="L33" s="124"/>
      <c r="M33" s="114" t="s">
        <v>1635</v>
      </c>
      <c r="N33" s="107">
        <v>50</v>
      </c>
      <c r="O33" s="109">
        <f>10*7</f>
        <v>70</v>
      </c>
      <c r="P33" s="127">
        <f t="shared" si="10"/>
        <v>3500</v>
      </c>
      <c r="Q33" s="124"/>
      <c r="R33" s="114" t="s">
        <v>1635</v>
      </c>
      <c r="S33" s="119">
        <v>50</v>
      </c>
      <c r="T33" s="110">
        <f>6*10</f>
        <v>60</v>
      </c>
      <c r="U33" s="107">
        <f t="shared" si="8"/>
        <v>3000</v>
      </c>
      <c r="V33" s="107">
        <f t="shared" si="11"/>
        <v>8500</v>
      </c>
      <c r="W33" s="126" t="s">
        <v>1644</v>
      </c>
    </row>
    <row r="34" spans="1:23" ht="46.5" x14ac:dyDescent="0.35">
      <c r="A34" s="124"/>
      <c r="B34" s="121" t="s">
        <v>1100</v>
      </c>
      <c r="C34" s="114" t="s">
        <v>1488</v>
      </c>
      <c r="D34" s="114" t="s">
        <v>1631</v>
      </c>
      <c r="E34" s="125" t="s">
        <v>1632</v>
      </c>
      <c r="F34" s="114" t="s">
        <v>1590</v>
      </c>
      <c r="G34" s="114" t="s">
        <v>1615</v>
      </c>
      <c r="H34" s="114" t="s">
        <v>1636</v>
      </c>
      <c r="I34" s="107">
        <v>141</v>
      </c>
      <c r="J34" s="109">
        <v>4</v>
      </c>
      <c r="K34" s="107">
        <f t="shared" si="0"/>
        <v>564</v>
      </c>
      <c r="L34" s="124"/>
      <c r="M34" s="114" t="s">
        <v>1636</v>
      </c>
      <c r="N34" s="107">
        <v>141</v>
      </c>
      <c r="O34" s="109">
        <v>7</v>
      </c>
      <c r="P34" s="127">
        <f t="shared" si="10"/>
        <v>987</v>
      </c>
      <c r="Q34" s="124"/>
      <c r="R34" s="114" t="s">
        <v>1636</v>
      </c>
      <c r="S34" s="119">
        <v>141</v>
      </c>
      <c r="T34" s="110">
        <v>6</v>
      </c>
      <c r="U34" s="107">
        <f t="shared" si="8"/>
        <v>846</v>
      </c>
      <c r="V34" s="107">
        <f t="shared" si="11"/>
        <v>2397</v>
      </c>
      <c r="W34" s="126" t="s">
        <v>1645</v>
      </c>
    </row>
    <row r="35" spans="1:23" ht="46.5" x14ac:dyDescent="0.35">
      <c r="A35" s="124"/>
      <c r="B35" s="121" t="s">
        <v>1100</v>
      </c>
      <c r="C35" s="114" t="s">
        <v>1488</v>
      </c>
      <c r="D35" s="114" t="s">
        <v>1631</v>
      </c>
      <c r="E35" s="125" t="s">
        <v>1632</v>
      </c>
      <c r="F35" s="114" t="s">
        <v>1590</v>
      </c>
      <c r="G35" s="114" t="s">
        <v>1615</v>
      </c>
      <c r="H35" s="114" t="s">
        <v>1637</v>
      </c>
      <c r="I35" s="107">
        <v>37.29</v>
      </c>
      <c r="J35" s="109">
        <v>4</v>
      </c>
      <c r="K35" s="107">
        <f t="shared" si="0"/>
        <v>149.16</v>
      </c>
      <c r="L35" s="124"/>
      <c r="M35" s="114" t="s">
        <v>1637</v>
      </c>
      <c r="N35" s="107">
        <v>37.29</v>
      </c>
      <c r="O35" s="109">
        <v>7</v>
      </c>
      <c r="P35" s="127">
        <f t="shared" si="10"/>
        <v>261.02999999999997</v>
      </c>
      <c r="Q35" s="124"/>
      <c r="R35" s="114" t="s">
        <v>1637</v>
      </c>
      <c r="S35" s="119">
        <v>37.29</v>
      </c>
      <c r="T35" s="110">
        <v>6</v>
      </c>
      <c r="U35" s="107">
        <f t="shared" si="8"/>
        <v>223.74</v>
      </c>
      <c r="V35" s="107">
        <f t="shared" si="11"/>
        <v>633.92999999999995</v>
      </c>
      <c r="W35" s="126" t="s">
        <v>1646</v>
      </c>
    </row>
    <row r="36" spans="1:23" ht="62.5" x14ac:dyDescent="0.35">
      <c r="A36" s="124"/>
      <c r="B36" s="121" t="s">
        <v>1100</v>
      </c>
      <c r="C36" s="114" t="s">
        <v>1488</v>
      </c>
      <c r="D36" s="114" t="s">
        <v>1631</v>
      </c>
      <c r="E36" s="125" t="s">
        <v>1632</v>
      </c>
      <c r="F36" s="114" t="s">
        <v>1590</v>
      </c>
      <c r="G36" s="114" t="s">
        <v>1615</v>
      </c>
      <c r="H36" s="114" t="s">
        <v>1638</v>
      </c>
      <c r="I36" s="107">
        <v>82</v>
      </c>
      <c r="J36" s="109">
        <v>4</v>
      </c>
      <c r="K36" s="107">
        <f t="shared" si="0"/>
        <v>328</v>
      </c>
      <c r="L36" s="124"/>
      <c r="M36" s="114" t="s">
        <v>1638</v>
      </c>
      <c r="N36" s="107">
        <v>82</v>
      </c>
      <c r="O36" s="109">
        <v>7</v>
      </c>
      <c r="P36" s="127">
        <f t="shared" si="10"/>
        <v>574</v>
      </c>
      <c r="Q36" s="124"/>
      <c r="R36" s="114" t="s">
        <v>1638</v>
      </c>
      <c r="S36" s="119">
        <v>82</v>
      </c>
      <c r="T36" s="110">
        <v>6</v>
      </c>
      <c r="U36" s="107">
        <f t="shared" si="8"/>
        <v>492</v>
      </c>
      <c r="V36" s="107">
        <f t="shared" si="11"/>
        <v>1394</v>
      </c>
      <c r="W36" s="126" t="s">
        <v>1647</v>
      </c>
    </row>
    <row r="37" spans="1:23" ht="77.5" x14ac:dyDescent="0.35">
      <c r="A37" s="124"/>
      <c r="B37" s="121" t="s">
        <v>1100</v>
      </c>
      <c r="C37" s="114" t="s">
        <v>1488</v>
      </c>
      <c r="D37" s="114" t="s">
        <v>1631</v>
      </c>
      <c r="E37" s="125" t="s">
        <v>1632</v>
      </c>
      <c r="F37" s="114" t="s">
        <v>1590</v>
      </c>
      <c r="G37" s="114" t="s">
        <v>1615</v>
      </c>
      <c r="H37" s="114" t="s">
        <v>1639</v>
      </c>
      <c r="I37" s="107">
        <v>700</v>
      </c>
      <c r="J37" s="109">
        <f>4*2</f>
        <v>8</v>
      </c>
      <c r="K37" s="107">
        <f t="shared" si="0"/>
        <v>5600</v>
      </c>
      <c r="L37" s="124"/>
      <c r="M37" s="114" t="s">
        <v>1639</v>
      </c>
      <c r="N37" s="107">
        <v>700</v>
      </c>
      <c r="O37" s="109">
        <f>7*2</f>
        <v>14</v>
      </c>
      <c r="P37" s="127">
        <f t="shared" si="10"/>
        <v>9800</v>
      </c>
      <c r="Q37" s="124"/>
      <c r="R37" s="114" t="s">
        <v>1639</v>
      </c>
      <c r="S37" s="119">
        <v>700</v>
      </c>
      <c r="T37" s="110">
        <f>6*2</f>
        <v>12</v>
      </c>
      <c r="U37" s="107">
        <f t="shared" si="8"/>
        <v>8400</v>
      </c>
      <c r="V37" s="107">
        <f t="shared" si="11"/>
        <v>23800</v>
      </c>
      <c r="W37" s="126" t="s">
        <v>1651</v>
      </c>
    </row>
    <row r="38" spans="1:23" ht="62" x14ac:dyDescent="0.35">
      <c r="A38" s="124"/>
      <c r="B38" s="121" t="s">
        <v>1100</v>
      </c>
      <c r="C38" s="114" t="s">
        <v>1488</v>
      </c>
      <c r="D38" s="114" t="s">
        <v>1631</v>
      </c>
      <c r="E38" s="125" t="s">
        <v>1632</v>
      </c>
      <c r="F38" s="114" t="s">
        <v>1590</v>
      </c>
      <c r="G38" s="114" t="s">
        <v>1615</v>
      </c>
      <c r="H38" s="114" t="s">
        <v>1640</v>
      </c>
      <c r="I38" s="107">
        <v>41</v>
      </c>
      <c r="J38" s="109">
        <f>4*2</f>
        <v>8</v>
      </c>
      <c r="K38" s="107">
        <f t="shared" si="0"/>
        <v>328</v>
      </c>
      <c r="L38" s="124"/>
      <c r="M38" s="114" t="s">
        <v>1640</v>
      </c>
      <c r="N38" s="107">
        <v>41</v>
      </c>
      <c r="O38" s="109">
        <f>7*2</f>
        <v>14</v>
      </c>
      <c r="P38" s="127">
        <f t="shared" si="10"/>
        <v>574</v>
      </c>
      <c r="Q38" s="124"/>
      <c r="R38" s="114" t="s">
        <v>1640</v>
      </c>
      <c r="S38" s="119">
        <v>41</v>
      </c>
      <c r="T38" s="110">
        <f>6*2</f>
        <v>12</v>
      </c>
      <c r="U38" s="107">
        <f t="shared" si="8"/>
        <v>492</v>
      </c>
      <c r="V38" s="107">
        <f t="shared" si="11"/>
        <v>1394</v>
      </c>
      <c r="W38" s="126" t="s">
        <v>1648</v>
      </c>
    </row>
    <row r="39" spans="1:23" ht="77.5" x14ac:dyDescent="0.35">
      <c r="A39" s="124"/>
      <c r="B39" s="121" t="s">
        <v>1100</v>
      </c>
      <c r="C39" s="114" t="s">
        <v>1488</v>
      </c>
      <c r="D39" s="114" t="s">
        <v>1631</v>
      </c>
      <c r="E39" s="125" t="s">
        <v>1632</v>
      </c>
      <c r="F39" s="114" t="s">
        <v>1590</v>
      </c>
      <c r="G39" s="114" t="s">
        <v>1615</v>
      </c>
      <c r="H39" s="114" t="s">
        <v>1652</v>
      </c>
      <c r="I39" s="107">
        <v>1200</v>
      </c>
      <c r="J39" s="109">
        <f>4*10</f>
        <v>40</v>
      </c>
      <c r="K39" s="107">
        <f t="shared" si="0"/>
        <v>48000</v>
      </c>
      <c r="L39" s="124"/>
      <c r="M39" s="114" t="s">
        <v>1641</v>
      </c>
      <c r="N39" s="107">
        <v>1200</v>
      </c>
      <c r="O39" s="109">
        <f>7*10</f>
        <v>70</v>
      </c>
      <c r="P39" s="127">
        <f t="shared" si="10"/>
        <v>84000</v>
      </c>
      <c r="Q39" s="124"/>
      <c r="R39" s="114" t="s">
        <v>1641</v>
      </c>
      <c r="S39" s="119">
        <v>1200</v>
      </c>
      <c r="T39" s="110">
        <f>6*10</f>
        <v>60</v>
      </c>
      <c r="U39" s="107">
        <f t="shared" si="8"/>
        <v>72000</v>
      </c>
      <c r="V39" s="107">
        <f t="shared" si="11"/>
        <v>204000</v>
      </c>
      <c r="W39" s="126" t="s">
        <v>1653</v>
      </c>
    </row>
    <row r="40" spans="1:23" ht="167.25" customHeight="1" x14ac:dyDescent="0.35">
      <c r="A40" s="124"/>
      <c r="B40" s="121" t="s">
        <v>1100</v>
      </c>
      <c r="C40" s="114" t="s">
        <v>1488</v>
      </c>
      <c r="D40" s="114" t="s">
        <v>1631</v>
      </c>
      <c r="E40" s="125" t="s">
        <v>1618</v>
      </c>
      <c r="F40" s="114" t="s">
        <v>1590</v>
      </c>
      <c r="G40" s="114" t="s">
        <v>1615</v>
      </c>
      <c r="H40" s="114" t="s">
        <v>1654</v>
      </c>
      <c r="I40" s="107">
        <v>150000</v>
      </c>
      <c r="J40" s="109">
        <v>1</v>
      </c>
      <c r="K40" s="107">
        <f t="shared" ref="K40" si="12">+I40*J40</f>
        <v>150000</v>
      </c>
      <c r="L40" s="124"/>
      <c r="M40" s="114"/>
      <c r="N40" s="107"/>
      <c r="O40" s="109"/>
      <c r="P40" s="127"/>
      <c r="Q40" s="124"/>
      <c r="R40" s="114"/>
      <c r="S40" s="119"/>
      <c r="T40" s="110"/>
      <c r="U40" s="107"/>
      <c r="V40" s="107">
        <f t="shared" ref="V40" si="13">+K40+P40+U40</f>
        <v>150000</v>
      </c>
      <c r="W40" s="126" t="s">
        <v>1694</v>
      </c>
    </row>
    <row r="41" spans="1:23" ht="111.75" customHeight="1" x14ac:dyDescent="0.35">
      <c r="A41" s="124"/>
      <c r="B41" s="121" t="s">
        <v>1100</v>
      </c>
      <c r="C41" s="114" t="s">
        <v>1488</v>
      </c>
      <c r="D41" s="114" t="s">
        <v>1631</v>
      </c>
      <c r="E41" s="125" t="s">
        <v>1632</v>
      </c>
      <c r="F41" s="114" t="s">
        <v>1590</v>
      </c>
      <c r="G41" s="114" t="s">
        <v>1615</v>
      </c>
      <c r="H41" s="114" t="s">
        <v>1655</v>
      </c>
      <c r="I41" s="107">
        <v>566.66999999999996</v>
      </c>
      <c r="J41" s="109">
        <v>30</v>
      </c>
      <c r="K41" s="107">
        <f>+J41*I41</f>
        <v>17000.099999999999</v>
      </c>
      <c r="L41" s="124"/>
      <c r="M41" s="114" t="s">
        <v>1655</v>
      </c>
      <c r="N41" s="107">
        <v>566.66999999999996</v>
      </c>
      <c r="O41" s="109">
        <v>30</v>
      </c>
      <c r="P41" s="107">
        <f>+O41*N41</f>
        <v>17000.099999999999</v>
      </c>
      <c r="Q41" s="124"/>
      <c r="R41" s="114" t="s">
        <v>1655</v>
      </c>
      <c r="S41" s="119">
        <v>566.66999999999996</v>
      </c>
      <c r="T41" s="109">
        <v>30</v>
      </c>
      <c r="U41" s="107">
        <f>+T41*S41</f>
        <v>17000.099999999999</v>
      </c>
      <c r="V41" s="107">
        <f t="shared" ref="V41" si="14">+K41+P41+U41</f>
        <v>51000.299999999996</v>
      </c>
      <c r="W41" s="126" t="s">
        <v>1663</v>
      </c>
    </row>
    <row r="42" spans="1:23" ht="192.75" customHeight="1" x14ac:dyDescent="0.35">
      <c r="A42" s="124"/>
      <c r="B42" s="121" t="s">
        <v>1090</v>
      </c>
      <c r="C42" s="114" t="s">
        <v>1657</v>
      </c>
      <c r="D42" s="114" t="s">
        <v>1658</v>
      </c>
      <c r="E42" s="125" t="s">
        <v>1627</v>
      </c>
      <c r="F42" s="114" t="s">
        <v>1607</v>
      </c>
      <c r="G42" s="114" t="s">
        <v>1659</v>
      </c>
      <c r="H42" s="114"/>
      <c r="I42" s="107"/>
      <c r="J42" s="109"/>
      <c r="K42" s="107"/>
      <c r="L42" s="124"/>
      <c r="M42" s="114" t="s">
        <v>1660</v>
      </c>
      <c r="N42" s="107">
        <v>100000</v>
      </c>
      <c r="O42" s="109">
        <v>1</v>
      </c>
      <c r="P42" s="107"/>
      <c r="Q42" s="124"/>
      <c r="R42" s="114"/>
      <c r="S42" s="119"/>
      <c r="T42" s="109"/>
      <c r="U42" s="107"/>
      <c r="V42" s="107">
        <v>100000</v>
      </c>
      <c r="W42" s="126" t="s">
        <v>1662</v>
      </c>
    </row>
    <row r="43" spans="1:23" ht="15.5" x14ac:dyDescent="0.35">
      <c r="A43" s="124"/>
      <c r="B43" s="121"/>
      <c r="C43" s="114"/>
      <c r="D43" s="114"/>
      <c r="E43" s="121"/>
      <c r="F43" s="114"/>
      <c r="G43" s="114"/>
      <c r="H43" s="114"/>
      <c r="I43" s="107"/>
      <c r="J43" s="109"/>
      <c r="K43" s="107"/>
      <c r="L43" s="124"/>
      <c r="M43" s="114"/>
      <c r="N43" s="107"/>
      <c r="O43" s="109"/>
      <c r="P43" s="107"/>
      <c r="Q43" s="124"/>
      <c r="R43" s="114"/>
      <c r="S43" s="119"/>
      <c r="T43" s="110"/>
      <c r="U43" s="107"/>
      <c r="V43" s="107"/>
      <c r="W43" s="126"/>
    </row>
    <row r="44" spans="1:23" x14ac:dyDescent="0.35">
      <c r="K44" s="136">
        <f>SUM(K2:K43)</f>
        <v>855965.91200000001</v>
      </c>
      <c r="P44" s="136">
        <f>SUM(P2:P43)</f>
        <v>827477.07000000007</v>
      </c>
      <c r="U44" s="136">
        <f>SUM(U2:U43)</f>
        <v>1048497.5560000001</v>
      </c>
      <c r="V44" s="136">
        <f>SUM(V2:V43)</f>
        <v>2831940.5380000002</v>
      </c>
    </row>
    <row r="52" spans="21:21" x14ac:dyDescent="0.35">
      <c r="U52" s="123" t="s">
        <v>1661</v>
      </c>
    </row>
  </sheetData>
  <autoFilter ref="A1:W42" xr:uid="{044B990E-307A-4FDB-8A60-A73A16BE75B1}"/>
  <conditionalFormatting sqref="B17 B22:B28 B43 B30:B39">
    <cfRule type="expression" dxfId="59" priority="37">
      <formula>$CS17=TRUE</formula>
    </cfRule>
  </conditionalFormatting>
  <conditionalFormatting sqref="B17 B22:B28 B43 B30:B39">
    <cfRule type="expression" dxfId="58" priority="36">
      <formula>$CW17=TRUE</formula>
    </cfRule>
  </conditionalFormatting>
  <conditionalFormatting sqref="E43">
    <cfRule type="expression" dxfId="57" priority="34">
      <formula>$CM43=TRUE</formula>
    </cfRule>
    <cfRule type="expression" dxfId="56" priority="35">
      <formula>$CX43=TRUE</formula>
    </cfRule>
  </conditionalFormatting>
  <conditionalFormatting sqref="B40">
    <cfRule type="expression" dxfId="55" priority="15">
      <formula>$CS40=TRUE</formula>
    </cfRule>
  </conditionalFormatting>
  <conditionalFormatting sqref="B40">
    <cfRule type="expression" dxfId="54" priority="14">
      <formula>$CW40=TRUE</formula>
    </cfRule>
  </conditionalFormatting>
  <conditionalFormatting sqref="B41">
    <cfRule type="expression" dxfId="53" priority="11">
      <formula>$CS41=TRUE</formula>
    </cfRule>
  </conditionalFormatting>
  <conditionalFormatting sqref="B41">
    <cfRule type="expression" dxfId="52" priority="10">
      <formula>$CW41=TRUE</formula>
    </cfRule>
  </conditionalFormatting>
  <conditionalFormatting sqref="B42">
    <cfRule type="expression" dxfId="51" priority="7">
      <formula>$CS42=TRUE</formula>
    </cfRule>
  </conditionalFormatting>
  <conditionalFormatting sqref="B42">
    <cfRule type="expression" dxfId="50" priority="6">
      <formula>$CW42=TRUE</formula>
    </cfRule>
  </conditionalFormatting>
  <conditionalFormatting sqref="B28">
    <cfRule type="expression" dxfId="49" priority="4">
      <formula>$CS29=TRUE</formula>
    </cfRule>
  </conditionalFormatting>
  <conditionalFormatting sqref="B28">
    <cfRule type="expression" dxfId="48" priority="3">
      <formula>$CW29=TRUE</formula>
    </cfRule>
  </conditionalFormatting>
  <conditionalFormatting sqref="B29">
    <cfRule type="expression" dxfId="47" priority="2">
      <formula>$CS29=TRUE</formula>
    </cfRule>
  </conditionalFormatting>
  <conditionalFormatting sqref="B29">
    <cfRule type="expression" dxfId="46" priority="1">
      <formula>$CW29=TRUE</formula>
    </cfRule>
  </conditionalFormatting>
  <dataValidations count="4">
    <dataValidation type="list" allowBlank="1" showInputMessage="1" showErrorMessage="1" sqref="E11:E21 E31:E43 E26:E28" xr:uid="{9F0519A1-D794-44F7-89CD-F07E1BF9AAD3}">
      <formula1>CostInput</formula1>
    </dataValidation>
    <dataValidation type="list" allowBlank="1" showInputMessage="1" showErrorMessage="1" sqref="B11:B21 B42" xr:uid="{ECA30DBA-D51B-4F1B-9DEE-5EC872EDC498}">
      <formula1>ModuleNameList</formula1>
    </dataValidation>
    <dataValidation type="list" allowBlank="1" showInputMessage="1" showErrorMessage="1" sqref="C11:C21" xr:uid="{2B2F1D43-CF58-4D3A-8F77-7D15B4CCDA48}">
      <formula1>InterventionsDependentList</formula1>
    </dataValidation>
    <dataValidation operator="greaterThanOrEqual" allowBlank="1" showInputMessage="1" showErrorMessage="1" error="Please input numbers only" sqref="H30 M30 H27:H28 R30 M27:M28 R27:R28" xr:uid="{B97FD06D-29C4-4350-AFD8-74B4F15A3DD5}"/>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D27"/>
  <sheetViews>
    <sheetView topLeftCell="T1" workbookViewId="0">
      <selection activeCell="X2" sqref="X2"/>
    </sheetView>
  </sheetViews>
  <sheetFormatPr baseColWidth="10" defaultColWidth="8.7265625" defaultRowHeight="14.5" x14ac:dyDescent="0.35"/>
  <cols>
    <col min="1" max="1" width="28.1796875" customWidth="1"/>
    <col min="2" max="2" width="15.1796875" customWidth="1"/>
    <col min="3" max="3" width="28" customWidth="1"/>
    <col min="4" max="4" width="15.81640625" customWidth="1"/>
    <col min="5" max="5" width="48.1796875" customWidth="1"/>
    <col min="6" max="6" width="16.453125" customWidth="1"/>
    <col min="7" max="7" width="18.54296875" customWidth="1"/>
    <col min="8" max="8" width="17.81640625" customWidth="1"/>
    <col min="14" max="14" width="21.1796875" customWidth="1"/>
    <col min="18" max="18" width="19.453125" customWidth="1"/>
  </cols>
  <sheetData>
    <row r="1" spans="1:30" x14ac:dyDescent="0.35">
      <c r="A1" t="s">
        <v>108</v>
      </c>
      <c r="B1" t="s">
        <v>799</v>
      </c>
      <c r="C1" t="s">
        <v>794</v>
      </c>
      <c r="D1" t="s">
        <v>820</v>
      </c>
      <c r="E1" t="s">
        <v>804</v>
      </c>
      <c r="F1" t="s">
        <v>770</v>
      </c>
      <c r="G1" t="s">
        <v>770</v>
      </c>
      <c r="H1" t="s">
        <v>836</v>
      </c>
      <c r="J1" t="s">
        <v>837</v>
      </c>
      <c r="L1" t="s">
        <v>142</v>
      </c>
      <c r="N1" t="s">
        <v>777</v>
      </c>
      <c r="O1" t="s">
        <v>770</v>
      </c>
      <c r="P1" t="s">
        <v>851</v>
      </c>
      <c r="R1" t="s">
        <v>839</v>
      </c>
      <c r="T1" t="s">
        <v>840</v>
      </c>
      <c r="V1" t="s">
        <v>770</v>
      </c>
      <c r="X1">
        <f>COUNTA(PAAR!$B$29:$B$116)</f>
        <v>8</v>
      </c>
      <c r="Y1">
        <f>COUNTA(G:G)-1-COUNTA(F:F)</f>
        <v>0</v>
      </c>
      <c r="Z1">
        <f>X1-Y1-COUNTA(F2:F3)</f>
        <v>8</v>
      </c>
      <c r="AB1" t="s">
        <v>883</v>
      </c>
      <c r="AD1" t="s">
        <v>856</v>
      </c>
    </row>
    <row r="2" spans="1:30" hidden="1" x14ac:dyDescent="0.35">
      <c r="A2" t="str">
        <f ca="1">IF(OFFSET(PAAR!$P29,-COUNTA('Existing PAARLIne'!$B$1:B121),)=0,"",OFFSET(PAAR!$P29,-COUNTA('Existing PAARLIne'!$B$1:B121),))</f>
        <v>Applicant Priority Rating(re-translated)</v>
      </c>
      <c r="B2" t="str">
        <f ca="1">IF(OFFSET(PAAR!$H29,-COUNTA('Existing PAARLIne'!$B$1:B121),)=0,"",OFFSET(PAAR!$H29,-COUNTA('Existing PAARLIne'!$B$1:B121),))</f>
        <v>Breve justificación, incluidos resultados e impacto previstos (explique cómo se basa la solicitud en la asignación)
Indique, para los módulos VIH, la población objetivo relevante.</v>
      </c>
      <c r="C2" t="str">
        <f ca="1">IF(OR(OFFSET(PAAR!$I29,-COUNTA('Existing PAARLIne'!$B$1:B121),)=0,OFFSET(PAAR!$I29,-COUNTA('Existing PAARLIne'!$B$1:B121),)=""),B2,OFFSET(PAAR!$I29,-COUNTA('Existing PAARLIne'!$B$1:B121),))</f>
        <v>Breve justificación (traducida)</v>
      </c>
      <c r="D2" t="str">
        <f ca="1">IF(OFFSET(PAAR!$M29,-COUNTA('Existing PAARLIne'!$B$1:B121),)=0,"",OFFSET(PAAR!$M29,-COUNTA('Existing PAARLIne'!$B$1:B121),))</f>
        <v>Notas PRT</v>
      </c>
      <c r="E2" t="e">
        <f ca="1">IF(OFFSET(PAAR!$O29,-COUNTA('Existing PAARLIne'!$B$1:B121),)=0,"",_xlfn.CONCAT(OFFSET(PAAR!$O29,-COUNTA('Existing PAARLIne'!$B$1:B121),),COUNTA('Existing PAARLIne'!$B$1:B121),))</f>
        <v>#NAME?</v>
      </c>
      <c r="F2" s="54"/>
      <c r="G2" t="str">
        <f>IF(Modules!$D$8=0,"",Modules!$D$8)</f>
        <v>a6R3p000000g3KDEAY</v>
      </c>
      <c r="H2" t="str">
        <f ca="1">IF(OFFSET(PAAR!$E29,-COUNTA('Existing PAARLIne'!$B$1:B121),)=0,"",OFFSET(PAAR!$E29,-COUNTA('Existing PAARLIne'!$B$1:B121),))</f>
        <v>Intervention id</v>
      </c>
      <c r="J2" t="str">
        <f ca="1">IF(OFFSET(PAAR!$U29,-COUNTA('Existing PAARLIne'!$B$1:B121),)=0,"",OFFSET(PAAR!$U29,-COUNTA('Existing PAARLIne'!$B$1:B121),))</f>
        <v>Module name</v>
      </c>
      <c r="L2" t="str">
        <f ca="1">IF(OFFSET(PAAR!$Q29,-COUNTA('Existing PAARLIne'!$B$1:B121),)=0,"",OFFSET(PAAR!$Q29,-COUNTA('Existing PAARLIne'!$B$1:B121),))</f>
        <v>TRP priority rating(retranslated)</v>
      </c>
      <c r="N2" s="60" t="str">
        <f>Modules!$D$3</f>
        <v>HIV/AIDS</v>
      </c>
      <c r="O2" t="str">
        <f>Modules!$B$2</f>
        <v>a443p000000g7eXAAQ</v>
      </c>
      <c r="P2" s="81" t="str">
        <f ca="1">IF(OFFSET(PAAR!$L29,-COUNTA('Existing PAARLIne'!$B$1:B121),)=0,"",OFFSET(PAAR!$L29,-COUNTA('Existing PAARLIne'!$B$1:B121),))</f>
        <v>Cantidad aprobada por PRT (US$)</v>
      </c>
      <c r="R2" s="81" t="str">
        <f ca="1">IF(OFFSET(PAAR!$G29,-COUNTA('Existing PAARLIne'!$B$1:B121),)=0,"",OFFSET(PAAR!$G29,-COUNTA('Existing PAARLIne'!$B$1:B121),))</f>
        <v>Monto solicitado (USD)</v>
      </c>
      <c r="T2" t="str">
        <f ca="1">IF(AND(L2='Dropdown Data'!$I$10,P2=""),"Not Approved",Modules!$E$7)</f>
        <v>Active</v>
      </c>
      <c r="V2" t="str">
        <f>IF(Modules!$H11=0,"",Modules!$H11)</f>
        <v>[Record ID]</v>
      </c>
      <c r="AB2" t="b">
        <f>Modules!$H$7</f>
        <v>0</v>
      </c>
    </row>
    <row r="3" spans="1:30" x14ac:dyDescent="0.35">
      <c r="F3" s="54"/>
    </row>
    <row r="5" spans="1:30" x14ac:dyDescent="0.35">
      <c r="F5" s="54"/>
    </row>
    <row r="6" spans="1:30" x14ac:dyDescent="0.35">
      <c r="F6" s="54"/>
    </row>
    <row r="7" spans="1:30" x14ac:dyDescent="0.35">
      <c r="F7" s="54"/>
    </row>
    <row r="8" spans="1:30" x14ac:dyDescent="0.35">
      <c r="F8" s="54"/>
    </row>
    <row r="9" spans="1:30" x14ac:dyDescent="0.35">
      <c r="F9" s="54"/>
    </row>
    <row r="10" spans="1:30" x14ac:dyDescent="0.35">
      <c r="F10" s="54"/>
      <c r="G10" s="54"/>
    </row>
    <row r="11" spans="1:30" x14ac:dyDescent="0.35">
      <c r="F11" s="54"/>
    </row>
    <row r="12" spans="1:30" x14ac:dyDescent="0.35">
      <c r="F12" s="54"/>
    </row>
    <row r="13" spans="1:30" x14ac:dyDescent="0.35">
      <c r="F13" s="54"/>
    </row>
    <row r="14" spans="1:30" x14ac:dyDescent="0.35">
      <c r="F14" s="54"/>
    </row>
    <row r="15" spans="1:30" x14ac:dyDescent="0.35">
      <c r="F15" s="54"/>
    </row>
    <row r="16" spans="1:30" x14ac:dyDescent="0.35">
      <c r="F16" s="54"/>
    </row>
    <row r="17" spans="6:6" x14ac:dyDescent="0.35">
      <c r="F17" s="54"/>
    </row>
    <row r="18" spans="6:6" x14ac:dyDescent="0.35">
      <c r="F18" s="54"/>
    </row>
    <row r="19" spans="6:6" x14ac:dyDescent="0.35">
      <c r="F19" s="54"/>
    </row>
    <row r="20" spans="6:6" x14ac:dyDescent="0.35">
      <c r="F20" s="54"/>
    </row>
    <row r="21" spans="6:6" x14ac:dyDescent="0.35">
      <c r="F21" s="54"/>
    </row>
    <row r="22" spans="6:6" x14ac:dyDescent="0.35">
      <c r="F22" s="54"/>
    </row>
    <row r="23" spans="6:6" x14ac:dyDescent="0.35">
      <c r="F23" s="54"/>
    </row>
    <row r="24" spans="6:6" x14ac:dyDescent="0.35">
      <c r="F24" s="54"/>
    </row>
    <row r="25" spans="6:6" x14ac:dyDescent="0.35">
      <c r="F25" s="54"/>
    </row>
    <row r="26" spans="6:6" x14ac:dyDescent="0.35">
      <c r="F26" s="54"/>
    </row>
    <row r="27" spans="6:6" x14ac:dyDescent="0.35">
      <c r="F27" s="5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G2"/>
  <sheetViews>
    <sheetView workbookViewId="0"/>
  </sheetViews>
  <sheetFormatPr baseColWidth="10" defaultColWidth="8.7265625" defaultRowHeight="14.5" x14ac:dyDescent="0.35"/>
  <cols>
    <col min="3" max="3" width="15" customWidth="1"/>
  </cols>
  <sheetData>
    <row r="1" spans="1:7" x14ac:dyDescent="0.35">
      <c r="A1" t="s">
        <v>804</v>
      </c>
      <c r="B1" t="s">
        <v>770</v>
      </c>
      <c r="C1" t="s">
        <v>837</v>
      </c>
      <c r="F1" t="s">
        <v>770</v>
      </c>
      <c r="G1" t="s">
        <v>838</v>
      </c>
    </row>
    <row r="2" spans="1:7" hidden="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0000"/>
  </sheetPr>
  <dimension ref="A1:B14"/>
  <sheetViews>
    <sheetView workbookViewId="0">
      <selection activeCell="A13" sqref="A13"/>
    </sheetView>
  </sheetViews>
  <sheetFormatPr baseColWidth="10" defaultColWidth="8.7265625" defaultRowHeight="14.5" x14ac:dyDescent="0.35"/>
  <sheetData>
    <row r="1" spans="1:2" x14ac:dyDescent="0.35">
      <c r="A1" t="s">
        <v>777</v>
      </c>
      <c r="B1" t="str">
        <f>Modules!$D$3</f>
        <v>HIV/AIDS</v>
      </c>
    </row>
    <row r="3" spans="1:2" x14ac:dyDescent="0.35">
      <c r="A3" s="50" t="s">
        <v>114</v>
      </c>
    </row>
    <row r="12" spans="1:2" x14ac:dyDescent="0.35">
      <c r="A12" s="62" t="s">
        <v>846</v>
      </c>
    </row>
    <row r="13" spans="1:2" hidden="1" x14ac:dyDescent="0.35">
      <c r="A13" s="104" t="s">
        <v>845</v>
      </c>
    </row>
    <row r="14" spans="1:2" x14ac:dyDescent="0.35">
      <c r="A14" s="104">
        <v>1.1029614514972701</v>
      </c>
    </row>
  </sheetData>
  <dataValidations count="1">
    <dataValidation type="decimal" allowBlank="1" showInputMessage="1" showErrorMessage="1" errorTitle="X-Author for Excel" error="Please enter a valid numeric value. Valid range for EUR &gt; USD is -10 to 10." promptTitle="X-Author for Excel" sqref="A13:A14" xr:uid="{1DC237DD-B28F-4353-A74C-82B343583B02}">
      <formula1>-10</formula1>
      <formula2>10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5"/>
  <sheetViews>
    <sheetView zoomScaleNormal="100" zoomScaleSheetLayoutView="100" workbookViewId="0">
      <selection activeCell="A2" sqref="A2:V2"/>
    </sheetView>
  </sheetViews>
  <sheetFormatPr baseColWidth="10" defaultColWidth="9.1796875" defaultRowHeight="14" x14ac:dyDescent="0.35"/>
  <cols>
    <col min="1" max="3" width="25.81640625" style="10" customWidth="1" collapsed="1"/>
    <col min="4" max="4" width="23.453125" style="10" bestFit="1" customWidth="1" collapsed="1"/>
    <col min="5" max="16384" width="9.1796875" style="10" collapsed="1"/>
  </cols>
  <sheetData>
    <row r="1" spans="1:22" ht="18" x14ac:dyDescent="0.35">
      <c r="A1" s="147" t="str">
        <f>IFERROR(VLOOKUP(PAAR!$B$10,Translation[],26,0),"")</f>
        <v>Notas PRT</v>
      </c>
      <c r="B1" s="147"/>
      <c r="C1" s="147"/>
      <c r="D1" s="147"/>
      <c r="E1" s="147"/>
      <c r="F1" s="147"/>
      <c r="G1" s="147"/>
      <c r="H1" s="147"/>
      <c r="I1" s="147"/>
      <c r="J1" s="147"/>
      <c r="K1" s="147"/>
      <c r="L1" s="147"/>
      <c r="M1" s="147"/>
      <c r="N1" s="147"/>
      <c r="O1" s="147"/>
      <c r="P1" s="147"/>
      <c r="Q1" s="147"/>
      <c r="R1" s="147"/>
      <c r="S1" s="147"/>
      <c r="T1" s="147"/>
      <c r="U1" s="147"/>
      <c r="V1" s="147"/>
    </row>
    <row r="2" spans="1:22" ht="90" customHeight="1" x14ac:dyDescent="0.35">
      <c r="A2" s="160" t="str">
        <f>IFERROR(VLOOKUP(PAAR!$B$10,Translation[],27,0),"")</f>
        <v>Instrucciones para el solicitante:
• Escribe el módulo correspondiente
• Escribe la intervención correspondiente
• Escribe el monto solicitado correspondiente
• Escribe la información adicional que desea agregar a la justificación en la hoja principal "Applicant-Candidat-Solicitante"</v>
      </c>
      <c r="B2" s="160"/>
      <c r="C2" s="160"/>
      <c r="D2" s="160"/>
      <c r="E2" s="160"/>
      <c r="F2" s="160"/>
      <c r="G2" s="160"/>
      <c r="H2" s="160"/>
      <c r="I2" s="160"/>
      <c r="J2" s="160"/>
      <c r="K2" s="160"/>
      <c r="L2" s="160"/>
      <c r="M2" s="160"/>
      <c r="N2" s="160"/>
      <c r="O2" s="160"/>
      <c r="P2" s="160"/>
      <c r="Q2" s="160"/>
      <c r="R2" s="160"/>
      <c r="S2" s="160"/>
      <c r="T2" s="160"/>
      <c r="U2" s="160"/>
      <c r="V2" s="160"/>
    </row>
    <row r="3" spans="1:22" ht="15" customHeight="1" x14ac:dyDescent="0.35">
      <c r="A3" s="32" t="str">
        <f>IFERROR(VLOOKUP(PAAR!$B$10,Translation[],28,0),"")</f>
        <v>Módulo</v>
      </c>
      <c r="B3" s="32" t="str">
        <f>IFERROR(VLOOKUP(PAAR!$B$10,Translation[],29,0),"")</f>
        <v>Intervención</v>
      </c>
      <c r="C3" s="32" t="str">
        <f>IFERROR(VLOOKUP(PAAR!$B$10,Translation[],30,0),"")</f>
        <v>Monto solicitado</v>
      </c>
      <c r="D3" s="161" t="str">
        <f>IFERROR(VLOOKUP(PAAR!$B$10,Translation[],31,0),"")</f>
        <v>Justificación adicional</v>
      </c>
      <c r="E3" s="161"/>
      <c r="F3" s="161"/>
      <c r="G3" s="161"/>
      <c r="H3" s="161"/>
      <c r="I3" s="161"/>
      <c r="J3" s="161"/>
      <c r="K3" s="161"/>
      <c r="L3" s="161"/>
      <c r="M3" s="161"/>
      <c r="N3" s="161"/>
      <c r="O3" s="161"/>
      <c r="P3" s="161"/>
      <c r="Q3" s="161"/>
      <c r="R3" s="161"/>
      <c r="S3" s="161"/>
      <c r="T3" s="161"/>
      <c r="U3" s="161"/>
      <c r="V3" s="161"/>
    </row>
    <row r="4" spans="1:22" x14ac:dyDescent="0.35">
      <c r="A4" s="30"/>
      <c r="B4" s="30"/>
      <c r="C4" s="30"/>
      <c r="D4" s="162"/>
      <c r="E4" s="162"/>
      <c r="F4" s="162"/>
      <c r="G4" s="162"/>
      <c r="H4" s="162"/>
      <c r="I4" s="162"/>
      <c r="J4" s="162"/>
      <c r="K4" s="162"/>
      <c r="L4" s="162"/>
      <c r="M4" s="162"/>
      <c r="N4" s="162"/>
      <c r="O4" s="162"/>
      <c r="P4" s="162"/>
      <c r="Q4" s="162"/>
      <c r="R4" s="162"/>
      <c r="S4" s="162"/>
      <c r="T4" s="162"/>
      <c r="U4" s="162"/>
      <c r="V4" s="162"/>
    </row>
    <row r="5" spans="1:22" x14ac:dyDescent="0.35">
      <c r="A5" s="30"/>
      <c r="B5" s="30"/>
      <c r="C5" s="30"/>
      <c r="D5" s="162"/>
      <c r="E5" s="162"/>
      <c r="F5" s="162"/>
      <c r="G5" s="162"/>
      <c r="H5" s="162"/>
      <c r="I5" s="162"/>
      <c r="J5" s="162"/>
      <c r="K5" s="162"/>
      <c r="L5" s="162"/>
      <c r="M5" s="162"/>
      <c r="N5" s="162"/>
      <c r="O5" s="162"/>
      <c r="P5" s="162"/>
      <c r="Q5" s="162"/>
      <c r="R5" s="162"/>
      <c r="S5" s="162"/>
      <c r="T5" s="162"/>
      <c r="U5" s="162"/>
      <c r="V5" s="162"/>
    </row>
    <row r="6" spans="1:22" x14ac:dyDescent="0.35">
      <c r="A6" s="30"/>
      <c r="B6" s="30"/>
      <c r="C6" s="30"/>
      <c r="D6" s="162"/>
      <c r="E6" s="162"/>
      <c r="F6" s="162"/>
      <c r="G6" s="162"/>
      <c r="H6" s="162"/>
      <c r="I6" s="162"/>
      <c r="J6" s="162"/>
      <c r="K6" s="162"/>
      <c r="L6" s="162"/>
      <c r="M6" s="162"/>
      <c r="N6" s="162"/>
      <c r="O6" s="162"/>
      <c r="P6" s="162"/>
      <c r="Q6" s="162"/>
      <c r="R6" s="162"/>
      <c r="S6" s="162"/>
      <c r="T6" s="162"/>
      <c r="U6" s="162"/>
      <c r="V6" s="162"/>
    </row>
    <row r="7" spans="1:22" x14ac:dyDescent="0.35">
      <c r="A7" s="30"/>
      <c r="B7" s="30"/>
      <c r="C7" s="30"/>
      <c r="D7" s="162"/>
      <c r="E7" s="162"/>
      <c r="F7" s="162"/>
      <c r="G7" s="162"/>
      <c r="H7" s="162"/>
      <c r="I7" s="162"/>
      <c r="J7" s="162"/>
      <c r="K7" s="162"/>
      <c r="L7" s="162"/>
      <c r="M7" s="162"/>
      <c r="N7" s="162"/>
      <c r="O7" s="162"/>
      <c r="P7" s="162"/>
      <c r="Q7" s="162"/>
      <c r="R7" s="162"/>
      <c r="S7" s="162"/>
      <c r="T7" s="162"/>
      <c r="U7" s="162"/>
      <c r="V7" s="162"/>
    </row>
    <row r="8" spans="1:22" x14ac:dyDescent="0.35">
      <c r="A8" s="30"/>
      <c r="B8" s="30"/>
      <c r="C8" s="30"/>
      <c r="D8" s="162"/>
      <c r="E8" s="162"/>
      <c r="F8" s="162"/>
      <c r="G8" s="162"/>
      <c r="H8" s="162"/>
      <c r="I8" s="162"/>
      <c r="J8" s="162"/>
      <c r="K8" s="162"/>
      <c r="L8" s="162"/>
      <c r="M8" s="162"/>
      <c r="N8" s="162"/>
      <c r="O8" s="162"/>
      <c r="P8" s="162"/>
      <c r="Q8" s="162"/>
      <c r="R8" s="162"/>
      <c r="S8" s="162"/>
      <c r="T8" s="162"/>
      <c r="U8" s="162"/>
      <c r="V8" s="162"/>
    </row>
    <row r="9" spans="1:22" x14ac:dyDescent="0.35">
      <c r="A9" s="30"/>
      <c r="B9" s="30"/>
      <c r="C9" s="30"/>
      <c r="D9" s="162"/>
      <c r="E9" s="162"/>
      <c r="F9" s="162"/>
      <c r="G9" s="162"/>
      <c r="H9" s="162"/>
      <c r="I9" s="162"/>
      <c r="J9" s="162"/>
      <c r="K9" s="162"/>
      <c r="L9" s="162"/>
      <c r="M9" s="162"/>
      <c r="N9" s="162"/>
      <c r="O9" s="162"/>
      <c r="P9" s="162"/>
      <c r="Q9" s="162"/>
      <c r="R9" s="162"/>
      <c r="S9" s="162"/>
      <c r="T9" s="162"/>
      <c r="U9" s="162"/>
      <c r="V9" s="162"/>
    </row>
    <row r="10" spans="1:22" x14ac:dyDescent="0.35">
      <c r="A10" s="30"/>
      <c r="B10" s="30"/>
      <c r="C10" s="30"/>
      <c r="D10" s="162"/>
      <c r="E10" s="162"/>
      <c r="F10" s="162"/>
      <c r="G10" s="162"/>
      <c r="H10" s="162"/>
      <c r="I10" s="162"/>
      <c r="J10" s="162"/>
      <c r="K10" s="162"/>
      <c r="L10" s="162"/>
      <c r="M10" s="162"/>
      <c r="N10" s="162"/>
      <c r="O10" s="162"/>
      <c r="P10" s="162"/>
      <c r="Q10" s="162"/>
      <c r="R10" s="162"/>
      <c r="S10" s="162"/>
      <c r="T10" s="162"/>
      <c r="U10" s="162"/>
      <c r="V10" s="162"/>
    </row>
    <row r="11" spans="1:22" x14ac:dyDescent="0.35">
      <c r="A11" s="30"/>
      <c r="B11" s="30"/>
      <c r="C11" s="30"/>
      <c r="D11" s="162"/>
      <c r="E11" s="162"/>
      <c r="F11" s="162"/>
      <c r="G11" s="162"/>
      <c r="H11" s="162"/>
      <c r="I11" s="162"/>
      <c r="J11" s="162"/>
      <c r="K11" s="162"/>
      <c r="L11" s="162"/>
      <c r="M11" s="162"/>
      <c r="N11" s="162"/>
      <c r="O11" s="162"/>
      <c r="P11" s="162"/>
      <c r="Q11" s="162"/>
      <c r="R11" s="162"/>
      <c r="S11" s="162"/>
      <c r="T11" s="162"/>
      <c r="U11" s="162"/>
      <c r="V11" s="162"/>
    </row>
    <row r="12" spans="1:22" x14ac:dyDescent="0.35">
      <c r="A12" s="30"/>
      <c r="B12" s="30"/>
      <c r="C12" s="30"/>
      <c r="D12" s="162"/>
      <c r="E12" s="162"/>
      <c r="F12" s="162"/>
      <c r="G12" s="162"/>
      <c r="H12" s="162"/>
      <c r="I12" s="162"/>
      <c r="J12" s="162"/>
      <c r="K12" s="162"/>
      <c r="L12" s="162"/>
      <c r="M12" s="162"/>
      <c r="N12" s="162"/>
      <c r="O12" s="162"/>
      <c r="P12" s="162"/>
      <c r="Q12" s="162"/>
      <c r="R12" s="162"/>
      <c r="S12" s="162"/>
      <c r="T12" s="162"/>
      <c r="U12" s="162"/>
      <c r="V12" s="162"/>
    </row>
    <row r="13" spans="1:22" x14ac:dyDescent="0.35">
      <c r="A13" s="30"/>
      <c r="B13" s="30"/>
      <c r="C13" s="30"/>
      <c r="D13" s="162"/>
      <c r="E13" s="162"/>
      <c r="F13" s="162"/>
      <c r="G13" s="162"/>
      <c r="H13" s="162"/>
      <c r="I13" s="162"/>
      <c r="J13" s="162"/>
      <c r="K13" s="162"/>
      <c r="L13" s="162"/>
      <c r="M13" s="162"/>
      <c r="N13" s="162"/>
      <c r="O13" s="162"/>
      <c r="P13" s="162"/>
      <c r="Q13" s="162"/>
      <c r="R13" s="162"/>
      <c r="S13" s="162"/>
      <c r="T13" s="162"/>
      <c r="U13" s="162"/>
      <c r="V13" s="162"/>
    </row>
    <row r="14" spans="1:22" x14ac:dyDescent="0.35">
      <c r="A14" s="30"/>
      <c r="B14" s="30"/>
      <c r="C14" s="30"/>
      <c r="D14" s="162"/>
      <c r="E14" s="162"/>
      <c r="F14" s="162"/>
      <c r="G14" s="162"/>
      <c r="H14" s="162"/>
      <c r="I14" s="162"/>
      <c r="J14" s="162"/>
      <c r="K14" s="162"/>
      <c r="L14" s="162"/>
      <c r="M14" s="162"/>
      <c r="N14" s="162"/>
      <c r="O14" s="162"/>
      <c r="P14" s="162"/>
      <c r="Q14" s="162"/>
      <c r="R14" s="162"/>
      <c r="S14" s="162"/>
      <c r="T14" s="162"/>
      <c r="U14" s="162"/>
      <c r="V14" s="162"/>
    </row>
    <row r="15" spans="1:22" x14ac:dyDescent="0.35">
      <c r="A15" s="30"/>
      <c r="B15" s="30"/>
      <c r="C15" s="30"/>
      <c r="D15" s="162"/>
      <c r="E15" s="162"/>
      <c r="F15" s="162"/>
      <c r="G15" s="162"/>
      <c r="H15" s="162"/>
      <c r="I15" s="162"/>
      <c r="J15" s="162"/>
      <c r="K15" s="162"/>
      <c r="L15" s="162"/>
      <c r="M15" s="162"/>
      <c r="N15" s="162"/>
      <c r="O15" s="162"/>
      <c r="P15" s="162"/>
      <c r="Q15" s="162"/>
      <c r="R15" s="162"/>
      <c r="S15" s="162"/>
      <c r="T15" s="162"/>
      <c r="U15" s="162"/>
      <c r="V15" s="162"/>
    </row>
    <row r="16" spans="1:22" x14ac:dyDescent="0.35">
      <c r="A16" s="30"/>
      <c r="B16" s="30"/>
      <c r="C16" s="30"/>
      <c r="D16" s="162"/>
      <c r="E16" s="162"/>
      <c r="F16" s="162"/>
      <c r="G16" s="162"/>
      <c r="H16" s="162"/>
      <c r="I16" s="162"/>
      <c r="J16" s="162"/>
      <c r="K16" s="162"/>
      <c r="L16" s="162"/>
      <c r="M16" s="162"/>
      <c r="N16" s="162"/>
      <c r="O16" s="162"/>
      <c r="P16" s="162"/>
      <c r="Q16" s="162"/>
      <c r="R16" s="162"/>
      <c r="S16" s="162"/>
      <c r="T16" s="162"/>
      <c r="U16" s="162"/>
      <c r="V16" s="162"/>
    </row>
    <row r="17" spans="1:22" x14ac:dyDescent="0.35">
      <c r="A17" s="30"/>
      <c r="B17" s="30"/>
      <c r="C17" s="30"/>
      <c r="D17" s="162"/>
      <c r="E17" s="162"/>
      <c r="F17" s="162"/>
      <c r="G17" s="162"/>
      <c r="H17" s="162"/>
      <c r="I17" s="162"/>
      <c r="J17" s="162"/>
      <c r="K17" s="162"/>
      <c r="L17" s="162"/>
      <c r="M17" s="162"/>
      <c r="N17" s="162"/>
      <c r="O17" s="162"/>
      <c r="P17" s="162"/>
      <c r="Q17" s="162"/>
      <c r="R17" s="162"/>
      <c r="S17" s="162"/>
      <c r="T17" s="162"/>
      <c r="U17" s="162"/>
      <c r="V17" s="162"/>
    </row>
    <row r="18" spans="1:22" x14ac:dyDescent="0.35">
      <c r="A18" s="30"/>
      <c r="B18" s="30"/>
      <c r="C18" s="30"/>
      <c r="D18" s="162"/>
      <c r="E18" s="162"/>
      <c r="F18" s="162"/>
      <c r="G18" s="162"/>
      <c r="H18" s="162"/>
      <c r="I18" s="162"/>
      <c r="J18" s="162"/>
      <c r="K18" s="162"/>
      <c r="L18" s="162"/>
      <c r="M18" s="162"/>
      <c r="N18" s="162"/>
      <c r="O18" s="162"/>
      <c r="P18" s="162"/>
      <c r="Q18" s="162"/>
      <c r="R18" s="162"/>
      <c r="S18" s="162"/>
      <c r="T18" s="162"/>
      <c r="U18" s="162"/>
      <c r="V18" s="162"/>
    </row>
    <row r="19" spans="1:22" x14ac:dyDescent="0.35">
      <c r="A19" s="30"/>
      <c r="B19" s="30"/>
      <c r="C19" s="30"/>
      <c r="D19" s="162"/>
      <c r="E19" s="162"/>
      <c r="F19" s="162"/>
      <c r="G19" s="162"/>
      <c r="H19" s="162"/>
      <c r="I19" s="162"/>
      <c r="J19" s="162"/>
      <c r="K19" s="162"/>
      <c r="L19" s="162"/>
      <c r="M19" s="162"/>
      <c r="N19" s="162"/>
      <c r="O19" s="162"/>
      <c r="P19" s="162"/>
      <c r="Q19" s="162"/>
      <c r="R19" s="162"/>
      <c r="S19" s="162"/>
      <c r="T19" s="162"/>
      <c r="U19" s="162"/>
      <c r="V19" s="162"/>
    </row>
    <row r="20" spans="1:22" x14ac:dyDescent="0.35">
      <c r="A20" s="30"/>
      <c r="B20" s="30"/>
      <c r="C20" s="30"/>
      <c r="D20" s="162"/>
      <c r="E20" s="162"/>
      <c r="F20" s="162"/>
      <c r="G20" s="162"/>
      <c r="H20" s="162"/>
      <c r="I20" s="162"/>
      <c r="J20" s="162"/>
      <c r="K20" s="162"/>
      <c r="L20" s="162"/>
      <c r="M20" s="162"/>
      <c r="N20" s="162"/>
      <c r="O20" s="162"/>
      <c r="P20" s="162"/>
      <c r="Q20" s="162"/>
      <c r="R20" s="162"/>
      <c r="S20" s="162"/>
      <c r="T20" s="162"/>
      <c r="U20" s="162"/>
      <c r="V20" s="162"/>
    </row>
    <row r="21" spans="1:22" x14ac:dyDescent="0.35">
      <c r="A21" s="30"/>
      <c r="B21" s="30"/>
      <c r="C21" s="30"/>
      <c r="D21" s="162"/>
      <c r="E21" s="162"/>
      <c r="F21" s="162"/>
      <c r="G21" s="162"/>
      <c r="H21" s="162"/>
      <c r="I21" s="162"/>
      <c r="J21" s="162"/>
      <c r="K21" s="162"/>
      <c r="L21" s="162"/>
      <c r="M21" s="162"/>
      <c r="N21" s="162"/>
      <c r="O21" s="162"/>
      <c r="P21" s="162"/>
      <c r="Q21" s="162"/>
      <c r="R21" s="162"/>
      <c r="S21" s="162"/>
      <c r="T21" s="162"/>
      <c r="U21" s="162"/>
      <c r="V21" s="162"/>
    </row>
    <row r="22" spans="1:22" x14ac:dyDescent="0.35">
      <c r="A22" s="30"/>
      <c r="B22" s="30"/>
      <c r="C22" s="30"/>
      <c r="D22" s="162"/>
      <c r="E22" s="162"/>
      <c r="F22" s="162"/>
      <c r="G22" s="162"/>
      <c r="H22" s="162"/>
      <c r="I22" s="162"/>
      <c r="J22" s="162"/>
      <c r="K22" s="162"/>
      <c r="L22" s="162"/>
      <c r="M22" s="162"/>
      <c r="N22" s="162"/>
      <c r="O22" s="162"/>
      <c r="P22" s="162"/>
      <c r="Q22" s="162"/>
      <c r="R22" s="162"/>
      <c r="S22" s="162"/>
      <c r="T22" s="162"/>
      <c r="U22" s="162"/>
      <c r="V22" s="162"/>
    </row>
    <row r="23" spans="1:22" x14ac:dyDescent="0.35">
      <c r="A23" s="30"/>
      <c r="B23" s="30"/>
      <c r="C23" s="30"/>
      <c r="D23" s="162"/>
      <c r="E23" s="162"/>
      <c r="F23" s="162"/>
      <c r="G23" s="162"/>
      <c r="H23" s="162"/>
      <c r="I23" s="162"/>
      <c r="J23" s="162"/>
      <c r="K23" s="162"/>
      <c r="L23" s="162"/>
      <c r="M23" s="162"/>
      <c r="N23" s="162"/>
      <c r="O23" s="162"/>
      <c r="P23" s="162"/>
      <c r="Q23" s="162"/>
      <c r="R23" s="162"/>
      <c r="S23" s="162"/>
      <c r="T23" s="162"/>
      <c r="U23" s="162"/>
      <c r="V23" s="162"/>
    </row>
    <row r="24" spans="1:22" x14ac:dyDescent="0.35">
      <c r="A24" s="30"/>
      <c r="B24" s="30"/>
      <c r="C24" s="30"/>
      <c r="D24" s="162"/>
      <c r="E24" s="162"/>
      <c r="F24" s="162"/>
      <c r="G24" s="162"/>
      <c r="H24" s="162"/>
      <c r="I24" s="162"/>
      <c r="J24" s="162"/>
      <c r="K24" s="162"/>
      <c r="L24" s="162"/>
      <c r="M24" s="162"/>
      <c r="N24" s="162"/>
      <c r="O24" s="162"/>
      <c r="P24" s="162"/>
      <c r="Q24" s="162"/>
      <c r="R24" s="162"/>
      <c r="S24" s="162"/>
      <c r="T24" s="162"/>
      <c r="U24" s="162"/>
      <c r="V24" s="162"/>
    </row>
    <row r="25" spans="1:22" x14ac:dyDescent="0.35">
      <c r="A25" s="30"/>
      <c r="B25" s="30"/>
      <c r="C25" s="30"/>
      <c r="D25" s="162"/>
      <c r="E25" s="162"/>
      <c r="F25" s="162"/>
      <c r="G25" s="162"/>
      <c r="H25" s="162"/>
      <c r="I25" s="162"/>
      <c r="J25" s="162"/>
      <c r="K25" s="162"/>
      <c r="L25" s="162"/>
      <c r="M25" s="162"/>
      <c r="N25" s="162"/>
      <c r="O25" s="162"/>
      <c r="P25" s="162"/>
      <c r="Q25" s="162"/>
      <c r="R25" s="162"/>
      <c r="S25" s="162"/>
      <c r="T25" s="162"/>
      <c r="U25" s="162"/>
      <c r="V25" s="162"/>
    </row>
    <row r="26" spans="1:22" x14ac:dyDescent="0.35">
      <c r="A26" s="30"/>
      <c r="B26" s="30"/>
      <c r="C26" s="30"/>
      <c r="D26" s="162"/>
      <c r="E26" s="162"/>
      <c r="F26" s="162"/>
      <c r="G26" s="162"/>
      <c r="H26" s="162"/>
      <c r="I26" s="162"/>
      <c r="J26" s="162"/>
      <c r="K26" s="162"/>
      <c r="L26" s="162"/>
      <c r="M26" s="162"/>
      <c r="N26" s="162"/>
      <c r="O26" s="162"/>
      <c r="P26" s="162"/>
      <c r="Q26" s="162"/>
      <c r="R26" s="162"/>
      <c r="S26" s="162"/>
      <c r="T26" s="162"/>
      <c r="U26" s="162"/>
      <c r="V26" s="162"/>
    </row>
    <row r="27" spans="1:22" x14ac:dyDescent="0.35">
      <c r="A27" s="30"/>
      <c r="B27" s="30"/>
      <c r="C27" s="30"/>
      <c r="D27" s="162"/>
      <c r="E27" s="162"/>
      <c r="F27" s="162"/>
      <c r="G27" s="162"/>
      <c r="H27" s="162"/>
      <c r="I27" s="162"/>
      <c r="J27" s="162"/>
      <c r="K27" s="162"/>
      <c r="L27" s="162"/>
      <c r="M27" s="162"/>
      <c r="N27" s="162"/>
      <c r="O27" s="162"/>
      <c r="P27" s="162"/>
      <c r="Q27" s="162"/>
      <c r="R27" s="162"/>
      <c r="S27" s="162"/>
      <c r="T27" s="162"/>
      <c r="U27" s="162"/>
      <c r="V27" s="162"/>
    </row>
    <row r="28" spans="1:22" x14ac:dyDescent="0.35">
      <c r="A28" s="30"/>
      <c r="B28" s="30"/>
      <c r="C28" s="30"/>
      <c r="D28" s="162"/>
      <c r="E28" s="162"/>
      <c r="F28" s="162"/>
      <c r="G28" s="162"/>
      <c r="H28" s="162"/>
      <c r="I28" s="162"/>
      <c r="J28" s="162"/>
      <c r="K28" s="162"/>
      <c r="L28" s="162"/>
      <c r="M28" s="162"/>
      <c r="N28" s="162"/>
      <c r="O28" s="162"/>
      <c r="P28" s="162"/>
      <c r="Q28" s="162"/>
      <c r="R28" s="162"/>
      <c r="S28" s="162"/>
      <c r="T28" s="162"/>
      <c r="U28" s="162"/>
      <c r="V28" s="162"/>
    </row>
    <row r="29" spans="1:22" x14ac:dyDescent="0.35">
      <c r="A29" s="30"/>
      <c r="B29" s="30"/>
      <c r="C29" s="30"/>
      <c r="D29" s="162"/>
      <c r="E29" s="162"/>
      <c r="F29" s="162"/>
      <c r="G29" s="162"/>
      <c r="H29" s="162"/>
      <c r="I29" s="162"/>
      <c r="J29" s="162"/>
      <c r="K29" s="162"/>
      <c r="L29" s="162"/>
      <c r="M29" s="162"/>
      <c r="N29" s="162"/>
      <c r="O29" s="162"/>
      <c r="P29" s="162"/>
      <c r="Q29" s="162"/>
      <c r="R29" s="162"/>
      <c r="S29" s="162"/>
      <c r="T29" s="162"/>
      <c r="U29" s="162"/>
      <c r="V29" s="162"/>
    </row>
    <row r="30" spans="1:22" x14ac:dyDescent="0.35">
      <c r="A30" s="30"/>
      <c r="B30" s="30"/>
      <c r="C30" s="30"/>
      <c r="D30" s="162"/>
      <c r="E30" s="162"/>
      <c r="F30" s="162"/>
      <c r="G30" s="162"/>
      <c r="H30" s="162"/>
      <c r="I30" s="162"/>
      <c r="J30" s="162"/>
      <c r="K30" s="162"/>
      <c r="L30" s="162"/>
      <c r="M30" s="162"/>
      <c r="N30" s="162"/>
      <c r="O30" s="162"/>
      <c r="P30" s="162"/>
      <c r="Q30" s="162"/>
      <c r="R30" s="162"/>
      <c r="S30" s="162"/>
      <c r="T30" s="162"/>
      <c r="U30" s="162"/>
      <c r="V30" s="162"/>
    </row>
    <row r="31" spans="1:22" x14ac:dyDescent="0.35">
      <c r="A31" s="30"/>
      <c r="B31" s="30"/>
      <c r="C31" s="30"/>
      <c r="D31" s="162"/>
      <c r="E31" s="162"/>
      <c r="F31" s="162"/>
      <c r="G31" s="162"/>
      <c r="H31" s="162"/>
      <c r="I31" s="162"/>
      <c r="J31" s="162"/>
      <c r="K31" s="162"/>
      <c r="L31" s="162"/>
      <c r="M31" s="162"/>
      <c r="N31" s="162"/>
      <c r="O31" s="162"/>
      <c r="P31" s="162"/>
      <c r="Q31" s="162"/>
      <c r="R31" s="162"/>
      <c r="S31" s="162"/>
      <c r="T31" s="162"/>
      <c r="U31" s="162"/>
      <c r="V31" s="162"/>
    </row>
    <row r="32" spans="1:22" x14ac:dyDescent="0.35">
      <c r="A32" s="30"/>
      <c r="B32" s="30"/>
      <c r="C32" s="30"/>
      <c r="D32" s="162"/>
      <c r="E32" s="162"/>
      <c r="F32" s="162"/>
      <c r="G32" s="162"/>
      <c r="H32" s="162"/>
      <c r="I32" s="162"/>
      <c r="J32" s="162"/>
      <c r="K32" s="162"/>
      <c r="L32" s="162"/>
      <c r="M32" s="162"/>
      <c r="N32" s="162"/>
      <c r="O32" s="162"/>
      <c r="P32" s="162"/>
      <c r="Q32" s="162"/>
      <c r="R32" s="162"/>
      <c r="S32" s="162"/>
      <c r="T32" s="162"/>
      <c r="U32" s="162"/>
      <c r="V32" s="162"/>
    </row>
    <row r="33" spans="1:22" x14ac:dyDescent="0.35">
      <c r="A33" s="30"/>
      <c r="B33" s="30"/>
      <c r="C33" s="30"/>
      <c r="D33" s="162"/>
      <c r="E33" s="162"/>
      <c r="F33" s="162"/>
      <c r="G33" s="162"/>
      <c r="H33" s="162"/>
      <c r="I33" s="162"/>
      <c r="J33" s="162"/>
      <c r="K33" s="162"/>
      <c r="L33" s="162"/>
      <c r="M33" s="162"/>
      <c r="N33" s="162"/>
      <c r="O33" s="162"/>
      <c r="P33" s="162"/>
      <c r="Q33" s="162"/>
      <c r="R33" s="162"/>
      <c r="S33" s="162"/>
      <c r="T33" s="162"/>
      <c r="U33" s="162"/>
      <c r="V33" s="162"/>
    </row>
    <row r="34" spans="1:22" x14ac:dyDescent="0.35">
      <c r="A34" s="30"/>
      <c r="B34" s="30"/>
      <c r="C34" s="30"/>
      <c r="D34" s="162"/>
      <c r="E34" s="162"/>
      <c r="F34" s="162"/>
      <c r="G34" s="162"/>
      <c r="H34" s="162"/>
      <c r="I34" s="162"/>
      <c r="J34" s="162"/>
      <c r="K34" s="162"/>
      <c r="L34" s="162"/>
      <c r="M34" s="162"/>
      <c r="N34" s="162"/>
      <c r="O34" s="162"/>
      <c r="P34" s="162"/>
      <c r="Q34" s="162"/>
      <c r="R34" s="162"/>
      <c r="S34" s="162"/>
      <c r="T34" s="162"/>
      <c r="U34" s="162"/>
      <c r="V34" s="162"/>
    </row>
    <row r="35" spans="1:22" x14ac:dyDescent="0.35">
      <c r="A35" s="30"/>
      <c r="B35" s="30"/>
      <c r="C35" s="30"/>
      <c r="D35" s="162"/>
      <c r="E35" s="162"/>
      <c r="F35" s="162"/>
      <c r="G35" s="162"/>
      <c r="H35" s="162"/>
      <c r="I35" s="162"/>
      <c r="J35" s="162"/>
      <c r="K35" s="162"/>
      <c r="L35" s="162"/>
      <c r="M35" s="162"/>
      <c r="N35" s="162"/>
      <c r="O35" s="162"/>
      <c r="P35" s="162"/>
      <c r="Q35" s="162"/>
      <c r="R35" s="162"/>
      <c r="S35" s="162"/>
      <c r="T35" s="162"/>
      <c r="U35" s="162"/>
      <c r="V35" s="162"/>
    </row>
  </sheetData>
  <sheetProtection formatRows="0" insertRows="0"/>
  <mergeCells count="35">
    <mergeCell ref="D34:V34"/>
    <mergeCell ref="D35:V35"/>
    <mergeCell ref="D28:V28"/>
    <mergeCell ref="D29:V29"/>
    <mergeCell ref="D30:V30"/>
    <mergeCell ref="D31:V31"/>
    <mergeCell ref="D32:V32"/>
    <mergeCell ref="D33:V33"/>
    <mergeCell ref="D27:V27"/>
    <mergeCell ref="D16:V16"/>
    <mergeCell ref="D17:V17"/>
    <mergeCell ref="D18:V18"/>
    <mergeCell ref="D19:V19"/>
    <mergeCell ref="D20:V20"/>
    <mergeCell ref="D21:V21"/>
    <mergeCell ref="D22:V22"/>
    <mergeCell ref="D23:V23"/>
    <mergeCell ref="D24:V24"/>
    <mergeCell ref="D25:V25"/>
    <mergeCell ref="D26:V26"/>
    <mergeCell ref="A1:V1"/>
    <mergeCell ref="A2:V2"/>
    <mergeCell ref="D3:V3"/>
    <mergeCell ref="D15:V15"/>
    <mergeCell ref="D4:V4"/>
    <mergeCell ref="D5:V5"/>
    <mergeCell ref="D6:V6"/>
    <mergeCell ref="D7:V7"/>
    <mergeCell ref="D8:V8"/>
    <mergeCell ref="D9:V9"/>
    <mergeCell ref="D10:V10"/>
    <mergeCell ref="D11:V11"/>
    <mergeCell ref="D12:V12"/>
    <mergeCell ref="D13:V13"/>
    <mergeCell ref="D14:V14"/>
  </mergeCells>
  <dataValidations count="3">
    <dataValidation type="decimal" operator="greaterThanOrEqual" allowBlank="1" showInputMessage="1" showErrorMessage="1" sqref="C4:C35" xr:uid="{00000000-0002-0000-0400-000000000000}">
      <formula1>0</formula1>
    </dataValidation>
    <dataValidation type="list" allowBlank="1" showInputMessage="1" showErrorMessage="1" sqref="A4:A35" xr:uid="{00000000-0002-0000-0400-000001000000}">
      <formula1>Module</formula1>
    </dataValidation>
    <dataValidation type="list" allowBlank="1" showInputMessage="1" showErrorMessage="1" sqref="B4:B35" xr:uid="{00000000-0002-0000-0400-000002000000}">
      <formula1>ADD_Intervention</formula1>
    </dataValidation>
  </dataValidations>
  <pageMargins left="0.7" right="0.7" top="0.75" bottom="0.75" header="0.3" footer="0.3"/>
  <pageSetup paperSize="9" scale="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2:P316"/>
  <sheetViews>
    <sheetView topLeftCell="C1" zoomScale="80" zoomScaleNormal="80" workbookViewId="0">
      <selection activeCell="H7" sqref="H7"/>
    </sheetView>
  </sheetViews>
  <sheetFormatPr baseColWidth="10" defaultColWidth="8.7265625" defaultRowHeight="14.5" x14ac:dyDescent="0.35"/>
  <cols>
    <col min="1" max="1" width="70.81640625" customWidth="1"/>
    <col min="2" max="2" width="48.81640625" customWidth="1"/>
    <col min="3" max="3" width="19.453125" customWidth="1"/>
    <col min="4" max="4" width="18.453125" customWidth="1"/>
    <col min="5" max="5" width="18.1796875" customWidth="1"/>
    <col min="6" max="6" width="16.1796875" customWidth="1"/>
    <col min="7" max="7" width="20.81640625" customWidth="1"/>
    <col min="8" max="8" width="22.81640625" customWidth="1"/>
    <col min="9" max="9" width="16.453125" bestFit="1" customWidth="1"/>
    <col min="10" max="10" width="14.81640625" customWidth="1"/>
    <col min="11" max="11" width="50.81640625" customWidth="1"/>
  </cols>
  <sheetData>
    <row r="2" spans="1:16" x14ac:dyDescent="0.35">
      <c r="A2" s="35" t="s">
        <v>770</v>
      </c>
      <c r="B2" s="49" t="s">
        <v>1071</v>
      </c>
      <c r="C2" s="35" t="s">
        <v>776</v>
      </c>
      <c r="D2" s="99" t="s">
        <v>1073</v>
      </c>
      <c r="E2" t="s">
        <v>800</v>
      </c>
      <c r="F2" s="53">
        <f>COUNTA(PAAR!D29:D213)-SUMPRODUCT(COUNTIF(PAAR!D29:D213,"--select--"))</f>
        <v>8</v>
      </c>
    </row>
    <row r="3" spans="1:16" x14ac:dyDescent="0.35">
      <c r="A3" s="35" t="s">
        <v>774</v>
      </c>
      <c r="B3" s="100" t="s">
        <v>1072</v>
      </c>
      <c r="C3" s="35" t="s">
        <v>777</v>
      </c>
      <c r="D3" s="99" t="s">
        <v>109</v>
      </c>
      <c r="F3" t="s">
        <v>817</v>
      </c>
      <c r="I3" t="str">
        <f>SUBSTITUTE($D3,H4&amp;",",)</f>
        <v>HIV/AIDS</v>
      </c>
      <c r="J3" t="str">
        <f>SUBSTITUTE(I3,I4&amp;",",)</f>
        <v>HIV/AIDS</v>
      </c>
      <c r="K3" t="str">
        <f>IF(SUBSTITUTE(J3,J4&amp;",",)=I3,"",SUBSTITUTE(J3,J4&amp;",",))</f>
        <v/>
      </c>
      <c r="L3" t="str">
        <f t="shared" ref="L3:P3" si="0">IF(SUBSTITUTE(K3,K4&amp;",",)=J3,"",SUBSTITUTE(K3,K4&amp;",",))</f>
        <v/>
      </c>
      <c r="M3" t="str">
        <f t="shared" si="0"/>
        <v/>
      </c>
      <c r="N3" t="str">
        <f t="shared" si="0"/>
        <v/>
      </c>
      <c r="O3" t="str">
        <f t="shared" si="0"/>
        <v/>
      </c>
      <c r="P3" t="str">
        <f t="shared" si="0"/>
        <v/>
      </c>
    </row>
    <row r="4" spans="1:16" x14ac:dyDescent="0.35">
      <c r="A4" s="35" t="s">
        <v>775</v>
      </c>
      <c r="B4" s="100"/>
      <c r="C4" s="35" t="s">
        <v>778</v>
      </c>
      <c r="D4" s="99" t="s">
        <v>110</v>
      </c>
      <c r="F4" t="s">
        <v>818</v>
      </c>
      <c r="G4" t="s">
        <v>842</v>
      </c>
      <c r="H4" t="str">
        <f>IFERROR(LEFT(D3,FIND(",",D3)-1),D3)</f>
        <v>HIV/AIDS</v>
      </c>
      <c r="I4" t="str">
        <f t="shared" ref="I4:J4" si="1">IF(IFERROR(LEFT(I3,FIND(",",I3)-1),I3)=H4,"",IFERROR(LEFT(I3,FIND(",",I3)-1),I3))</f>
        <v/>
      </c>
      <c r="J4" t="str">
        <f t="shared" si="1"/>
        <v>HIV/AIDS</v>
      </c>
      <c r="K4" t="str">
        <f t="shared" ref="K4" si="2">IF(IFERROR(LEFT(K3,FIND(",",K3)-1),K3)=J4,"",IFERROR(LEFT(K3,FIND(",",K3)-1),K3))</f>
        <v/>
      </c>
      <c r="L4" t="str">
        <f t="shared" ref="L4" si="3">IF(IFERROR(LEFT(L3,FIND(",",L3)-1),L3)=K4,"",IFERROR(LEFT(L3,FIND(",",L3)-1),L3))</f>
        <v/>
      </c>
      <c r="M4" t="str">
        <f t="shared" ref="M4" si="4">IF(IFERROR(LEFT(M3,FIND(",",M3)-1),M3)=L4,"",IFERROR(LEFT(M3,FIND(",",M3)-1),M3))</f>
        <v/>
      </c>
      <c r="N4" t="str">
        <f t="shared" ref="N4" si="5">IF(IFERROR(LEFT(N3,FIND(",",N3)-1),N3)=M4,"",IFERROR(LEFT(N3,FIND(",",N3)-1),N3))</f>
        <v/>
      </c>
      <c r="O4" t="str">
        <f t="shared" ref="O4" si="6">IF(IFERROR(LEFT(O3,FIND(",",O3)-1),O3)=N4,"",IFERROR(LEFT(O3,FIND(",",O3)-1),O3))</f>
        <v/>
      </c>
      <c r="P4" t="str">
        <f t="shared" ref="P4" si="7">IF(IFERROR(LEFT(P3,FIND(",",P3)-1),P3)=O4,"",IFERROR(LEFT(P3,FIND(",",P3)-1),P3))</f>
        <v/>
      </c>
    </row>
    <row r="5" spans="1:16" x14ac:dyDescent="0.35">
      <c r="A5" s="46" t="s">
        <v>847</v>
      </c>
      <c r="B5" s="47">
        <f ca="1">INDIRECT("Setup!A14")</f>
        <v>1.1029614514972701</v>
      </c>
      <c r="C5" t="s">
        <v>11</v>
      </c>
      <c r="D5" t="s">
        <v>1075</v>
      </c>
      <c r="F5" t="s">
        <v>819</v>
      </c>
    </row>
    <row r="6" spans="1:16" x14ac:dyDescent="0.35">
      <c r="A6" s="46" t="s">
        <v>789</v>
      </c>
      <c r="B6" t="s">
        <v>1074</v>
      </c>
      <c r="C6" t="s">
        <v>790</v>
      </c>
    </row>
    <row r="7" spans="1:16" x14ac:dyDescent="0.35">
      <c r="A7" s="46" t="s">
        <v>802</v>
      </c>
      <c r="B7" s="99"/>
      <c r="C7" s="46" t="s">
        <v>804</v>
      </c>
      <c r="D7" s="99" t="s">
        <v>1571</v>
      </c>
      <c r="E7" t="s">
        <v>841</v>
      </c>
      <c r="G7" t="s">
        <v>883</v>
      </c>
      <c r="H7" t="b">
        <f>IF(AND(F8="Grant Making",H8="Country Team"),TRUE,FALSE)</f>
        <v>0</v>
      </c>
    </row>
    <row r="8" spans="1:16" x14ac:dyDescent="0.35">
      <c r="A8" s="46" t="s">
        <v>803</v>
      </c>
      <c r="B8" t="str">
        <f xml:space="preserve"> CONCATENATE($D$7,"/",$B$7)</f>
        <v>Geography_82/FundingOpportunity_15/</v>
      </c>
      <c r="C8" s="46" t="s">
        <v>795</v>
      </c>
      <c r="D8" t="s">
        <v>1570</v>
      </c>
      <c r="E8" t="s">
        <v>873</v>
      </c>
      <c r="F8" s="99"/>
      <c r="G8" t="s">
        <v>874</v>
      </c>
      <c r="H8" s="99" t="s">
        <v>1076</v>
      </c>
    </row>
    <row r="9" spans="1:16" x14ac:dyDescent="0.35">
      <c r="A9" s="45"/>
      <c r="B9" s="42"/>
      <c r="C9" s="42"/>
      <c r="E9" s="45"/>
    </row>
    <row r="10" spans="1:16" x14ac:dyDescent="0.35">
      <c r="A10" s="55" t="s">
        <v>783</v>
      </c>
      <c r="B10" s="55"/>
      <c r="C10" s="55" t="s">
        <v>796</v>
      </c>
      <c r="D10" s="101" t="s">
        <v>844</v>
      </c>
      <c r="E10" s="55" t="s">
        <v>771</v>
      </c>
      <c r="F10" s="55" t="s">
        <v>772</v>
      </c>
      <c r="G10" s="55" t="s">
        <v>773</v>
      </c>
      <c r="H10" s="102" t="s">
        <v>770</v>
      </c>
      <c r="I10" s="103">
        <f>IFERROR(LOOKUP(2,1/(COUNTIF($I$9:I9,$C$11:$C$29)=0),$C$11:$C$29),IF($I$11=I9,"",IF(I9&lt;&gt;"",$I$11,"")))</f>
        <v>0</v>
      </c>
      <c r="J10" s="102" t="s">
        <v>861</v>
      </c>
      <c r="K10" s="102"/>
      <c r="L10" s="102" t="s">
        <v>871</v>
      </c>
    </row>
    <row r="11" spans="1:16" hidden="1" x14ac:dyDescent="0.35">
      <c r="A11" s="56" t="s">
        <v>780</v>
      </c>
      <c r="B11" s="57"/>
      <c r="C11" s="57" t="str">
        <f>IF(OR(TranslatemoduleName="[Name]",TranslatemoduleName="[Name - FR]",TranslatemoduleName="[Name - ES]" ),"",TranslatemoduleName)</f>
        <v/>
      </c>
      <c r="D11" s="65" t="s">
        <v>843</v>
      </c>
      <c r="E11" s="57" t="str">
        <f>A11</f>
        <v>[Name]</v>
      </c>
      <c r="F11" s="56" t="s">
        <v>781</v>
      </c>
      <c r="G11" s="56" t="s">
        <v>782</v>
      </c>
      <c r="H11" s="102" t="s">
        <v>779</v>
      </c>
      <c r="I11" s="103" t="str">
        <f>IFERROR(LOOKUP(2,1/(COUNTIF($I$9:I10,$C$11:$C$29)=0),$C$11:$C$29),IF($I$11=I10,"",IF(I10&lt;&gt;"",$I$11,"")))</f>
        <v>COVID-19</v>
      </c>
      <c r="J11" s="102" t="s">
        <v>860</v>
      </c>
      <c r="K11" s="102" t="str">
        <f>D11</f>
        <v>[Module-Coverage-Intervention Reference (Name)]</v>
      </c>
      <c r="L11" s="102" t="s">
        <v>870</v>
      </c>
    </row>
    <row r="12" spans="1:16" x14ac:dyDescent="0.35">
      <c r="A12" s="56" t="s">
        <v>436</v>
      </c>
      <c r="B12" s="57"/>
      <c r="C12" s="57" t="str">
        <f>IF(OR(TranslatemoduleName="[Name]",TranslatemoduleName="[Name - FR]",TranslatemoduleName="[Name - ES]" ),"",TranslatemoduleName)</f>
        <v>Prevención</v>
      </c>
      <c r="D12" s="65" t="s">
        <v>1077</v>
      </c>
      <c r="E12" s="57" t="str">
        <f t="shared" ref="E12:E28" si="8">A12</f>
        <v>Prevention</v>
      </c>
      <c r="F12" s="56" t="s">
        <v>602</v>
      </c>
      <c r="G12" s="56" t="s">
        <v>603</v>
      </c>
      <c r="H12" s="102" t="s">
        <v>1078</v>
      </c>
      <c r="I12" s="103" t="str">
        <f>IFERROR(LOOKUP(2,1/(COUNTIF($I$9:I11,$C$11:$C$29)=0),$C$11:$C$29),IF($I$11=I11,"",IF(I11&lt;&gt;"",$I$11,"")))</f>
        <v>SSRS: recursos humanos para la salud  incluidos los trabajadores de la salud comunitarios</v>
      </c>
      <c r="J12" s="102" t="s">
        <v>109</v>
      </c>
      <c r="K12" s="102" t="str">
        <f t="shared" ref="K12:K28" si="9">D12</f>
        <v>MCI-00648</v>
      </c>
      <c r="L12" s="102" t="s">
        <v>20</v>
      </c>
    </row>
    <row r="13" spans="1:16" x14ac:dyDescent="0.35">
      <c r="A13" s="56" t="s">
        <v>1079</v>
      </c>
      <c r="B13" s="57"/>
      <c r="C13" s="57" t="str">
        <f>IF(OR(TranslatemoduleName="[Name]",TranslatemoduleName="[Name - FR]",TranslatemoduleName="[Name - ES]" ),"",TranslatemoduleName)</f>
        <v>PTMI</v>
      </c>
      <c r="D13" s="65" t="s">
        <v>1080</v>
      </c>
      <c r="E13" s="57" t="str">
        <f t="shared" si="8"/>
        <v>PMTCT</v>
      </c>
      <c r="F13" s="56" t="s">
        <v>1081</v>
      </c>
      <c r="G13" s="56" t="s">
        <v>200</v>
      </c>
      <c r="H13" s="102" t="s">
        <v>1078</v>
      </c>
      <c r="I13" s="103" t="str">
        <f>IFERROR(LOOKUP(2,1/(COUNTIF($I$9:I12,$C$11:$C$29)=0),$C$11:$C$29),IF($I$11=I12,"",IF(I12&lt;&gt;"",$I$11,"")))</f>
        <v>Financiación basada en los resultados</v>
      </c>
      <c r="J13" s="102" t="s">
        <v>109</v>
      </c>
      <c r="K13" s="102" t="str">
        <f t="shared" si="9"/>
        <v>MCI-00649</v>
      </c>
      <c r="L13" s="102" t="s">
        <v>20</v>
      </c>
    </row>
    <row r="14" spans="1:16" x14ac:dyDescent="0.35">
      <c r="A14" s="56" t="s">
        <v>1082</v>
      </c>
      <c r="B14" s="57"/>
      <c r="C14" s="57" t="str">
        <f>IF(OR(TranslatemoduleName="[Name]",TranslatemoduleName="[Name - FR]",TranslatemoduleName="[Name - ES]" ),"",TranslatemoduleName)</f>
        <v>Servicios diferenciados de diagnóstico del VIH</v>
      </c>
      <c r="D14" s="65" t="s">
        <v>1083</v>
      </c>
      <c r="E14" s="57" t="str">
        <f t="shared" si="8"/>
        <v>Differentiated HIV Testing Services</v>
      </c>
      <c r="F14" s="56" t="s">
        <v>1084</v>
      </c>
      <c r="G14" s="56" t="s">
        <v>1085</v>
      </c>
      <c r="H14" s="102" t="s">
        <v>1078</v>
      </c>
      <c r="I14" s="103" t="str">
        <f>IFERROR(LOOKUP(2,1/(COUNTIF($I$9:I13,$C$11:$C$29)=0),$C$11:$C$29),IF($I$11=I13,"",IF(I13&lt;&gt;"",$I$11,"")))</f>
        <v>SSRS: sistemas de laboratorio</v>
      </c>
      <c r="J14" s="102" t="s">
        <v>109</v>
      </c>
      <c r="K14" s="102" t="str">
        <f t="shared" si="9"/>
        <v>MCI-00650</v>
      </c>
      <c r="L14" s="102" t="s">
        <v>20</v>
      </c>
    </row>
    <row r="15" spans="1:16" x14ac:dyDescent="0.35">
      <c r="A15" s="56" t="s">
        <v>149</v>
      </c>
      <c r="B15" s="57"/>
      <c r="C15" s="57" t="str">
        <f>IF(OR(TranslatemoduleName="[Name]",TranslatemoduleName="[Name - FR]",TranslatemoduleName="[Name - ES]" ),"",TranslatemoduleName)</f>
        <v>Tratamiento, atención y apoyo</v>
      </c>
      <c r="D15" s="65" t="s">
        <v>1086</v>
      </c>
      <c r="E15" s="57" t="str">
        <f t="shared" si="8"/>
        <v>Treatment, care and support</v>
      </c>
      <c r="F15" s="56" t="s">
        <v>220</v>
      </c>
      <c r="G15" s="56" t="s">
        <v>221</v>
      </c>
      <c r="H15" s="102" t="s">
        <v>1078</v>
      </c>
      <c r="I15" s="103" t="str">
        <f>IFERROR(LOOKUP(2,1/(COUNTIF($I$9:I14,$C$11:$C$29)=0),$C$11:$C$29),IF($I$11=I14,"",IF(I14&lt;&gt;"",$I$11,"")))</f>
        <v>SSRS: fortalecimiento de los sistemas comunitarios</v>
      </c>
      <c r="J15" s="102" t="s">
        <v>109</v>
      </c>
      <c r="K15" s="102" t="str">
        <f t="shared" si="9"/>
        <v>MCI-00651</v>
      </c>
      <c r="L15" s="102" t="s">
        <v>20</v>
      </c>
    </row>
    <row r="16" spans="1:16" x14ac:dyDescent="0.35">
      <c r="A16" s="56" t="s">
        <v>1087</v>
      </c>
      <c r="B16" s="57"/>
      <c r="C16" s="57" t="str">
        <f>IF(OR(TranslatemoduleName="[Name]",TranslatemoduleName="[Name - FR]",TranslatemoduleName="[Name - ES]" ),"",TranslatemoduleName)</f>
        <v>Reducción de las barreras relacionadas con los derechos humanos para acceder a los servicios del VIH y la tuberculosis</v>
      </c>
      <c r="D16" s="65" t="s">
        <v>1088</v>
      </c>
      <c r="E16" s="57" t="str">
        <f t="shared" si="8"/>
        <v>Reducing human rights-related barriers to HIV/TB services</v>
      </c>
      <c r="F16" s="56" t="s">
        <v>1089</v>
      </c>
      <c r="G16" s="56" t="s">
        <v>1090</v>
      </c>
      <c r="H16" s="102" t="s">
        <v>1078</v>
      </c>
      <c r="I16" s="103" t="str">
        <f>IFERROR(LOOKUP(2,1/(COUNTIF($I$9:I15,$C$11:$C$29)=0),$C$11:$C$29),IF($I$11=I15,"",IF(I15&lt;&gt;"",$I$11,"")))</f>
        <v>SSRS: Sistemas de información de gestión de salud y M&amp;E (Monitoria y Evaluación)</v>
      </c>
      <c r="J16" s="102" t="s">
        <v>109</v>
      </c>
      <c r="K16" s="102" t="str">
        <f t="shared" si="9"/>
        <v>MCI-00652</v>
      </c>
      <c r="L16" s="102" t="s">
        <v>20</v>
      </c>
    </row>
    <row r="17" spans="1:12" x14ac:dyDescent="0.35">
      <c r="A17" s="56" t="s">
        <v>124</v>
      </c>
      <c r="B17" s="57"/>
      <c r="C17" s="57" t="str">
        <f>IF(OR(TranslatemoduleName="[Name]",TranslatemoduleName="[Name - FR]",TranslatemoduleName="[Name - ES]" ),"",TranslatemoduleName)</f>
        <v>TB/VIH</v>
      </c>
      <c r="D17" s="65" t="s">
        <v>1091</v>
      </c>
      <c r="E17" s="57" t="str">
        <f t="shared" si="8"/>
        <v>TB/HIV</v>
      </c>
      <c r="F17" s="56" t="s">
        <v>1092</v>
      </c>
      <c r="G17" s="56" t="s">
        <v>141</v>
      </c>
      <c r="H17" s="102" t="s">
        <v>1078</v>
      </c>
      <c r="I17" s="103" t="str">
        <f>IFERROR(LOOKUP(2,1/(COUNTIF($I$9:I16,$C$11:$C$29)=0),$C$11:$C$29),IF($I$11=I16,"",IF(I16&lt;&gt;"",$I$11,"")))</f>
        <v>SSRS: gobernanza y planificación del sector de la salud</v>
      </c>
      <c r="J17" s="102" t="s">
        <v>109</v>
      </c>
      <c r="K17" s="102" t="str">
        <f t="shared" si="9"/>
        <v>MCI-00656</v>
      </c>
      <c r="L17" s="102" t="s">
        <v>20</v>
      </c>
    </row>
    <row r="18" spans="1:12" x14ac:dyDescent="0.35">
      <c r="A18" s="56" t="s">
        <v>143</v>
      </c>
      <c r="B18" s="57"/>
      <c r="C18" s="57" t="str">
        <f>IF(OR(TranslatemoduleName="[Name]",TranslatemoduleName="[Name - FR]",TranslatemoduleName="[Name - ES]" ),"",TranslatemoduleName)</f>
        <v>Gestión de programas</v>
      </c>
      <c r="D18" s="65" t="s">
        <v>1093</v>
      </c>
      <c r="E18" s="57" t="str">
        <f t="shared" si="8"/>
        <v>Program management</v>
      </c>
      <c r="F18" s="56" t="s">
        <v>213</v>
      </c>
      <c r="G18" s="56" t="s">
        <v>214</v>
      </c>
      <c r="H18" s="102" t="s">
        <v>1078</v>
      </c>
      <c r="I18" s="103" t="str">
        <f>IFERROR(LOOKUP(2,1/(COUNTIF($I$9:I17,$C$11:$C$29)=0),$C$11:$C$29),IF($I$11=I17,"",IF(I17&lt;&gt;"",$I$11,"")))</f>
        <v>SSRS: Sistemas de gestión financiera</v>
      </c>
      <c r="J18" s="102" t="s">
        <v>109</v>
      </c>
      <c r="K18" s="102" t="str">
        <f t="shared" si="9"/>
        <v>MCI-00660</v>
      </c>
      <c r="L18" s="102" t="s">
        <v>20</v>
      </c>
    </row>
    <row r="19" spans="1:12" x14ac:dyDescent="0.35">
      <c r="A19" s="56" t="s">
        <v>1094</v>
      </c>
      <c r="B19" s="57"/>
      <c r="C19" s="57" t="str">
        <f>IF(OR(TranslatemoduleName="[Name]",TranslatemoduleName="[Name - FR]",TranslatemoduleName="[Name - ES]" ),"",TranslatemoduleName)</f>
        <v>SSRS: sistemas de gestión de productos para la salud</v>
      </c>
      <c r="D19" s="65" t="s">
        <v>1095</v>
      </c>
      <c r="E19" s="57" t="str">
        <f t="shared" si="8"/>
        <v>RSSH: Health products management systems</v>
      </c>
      <c r="F19" s="56" t="s">
        <v>1096</v>
      </c>
      <c r="G19" s="56" t="s">
        <v>1097</v>
      </c>
      <c r="H19" s="102" t="s">
        <v>1078</v>
      </c>
      <c r="I19" s="103" t="str">
        <f>IFERROR(LOOKUP(2,1/(COUNTIF($I$9:I18,$C$11:$C$29)=0),$C$11:$C$29),IF($I$11=I18,"",IF(I18&lt;&gt;"",$I$11,"")))</f>
        <v>SSRS: mejora de la calidad y la prestación de servicios integrados</v>
      </c>
      <c r="J19" s="102" t="s">
        <v>109</v>
      </c>
      <c r="K19" s="102" t="str">
        <f t="shared" si="9"/>
        <v>MCI-00661</v>
      </c>
      <c r="L19" s="102" t="s">
        <v>20</v>
      </c>
    </row>
    <row r="20" spans="1:12" x14ac:dyDescent="0.35">
      <c r="A20" s="56" t="s">
        <v>159</v>
      </c>
      <c r="B20" s="57"/>
      <c r="C20" s="57" t="str">
        <f>IF(OR(TranslatemoduleName="[Name]",TranslatemoduleName="[Name - FR]",TranslatemoduleName="[Name - ES]" ),"",TranslatemoduleName)</f>
        <v>SSRS: mejora de la calidad y la prestación de servicios integrados</v>
      </c>
      <c r="D20" s="65" t="s">
        <v>1098</v>
      </c>
      <c r="E20" s="57" t="str">
        <f t="shared" si="8"/>
        <v>RSSH: Integrated service delivery and quality improvement</v>
      </c>
      <c r="F20" s="56" t="s">
        <v>1099</v>
      </c>
      <c r="G20" s="56" t="s">
        <v>1100</v>
      </c>
      <c r="H20" s="102" t="s">
        <v>1078</v>
      </c>
      <c r="I20" s="103" t="str">
        <f>IFERROR(LOOKUP(2,1/(COUNTIF($I$9:I19,$C$11:$C$29)=0),$C$11:$C$29),IF($I$11=I19,"",IF(I19&lt;&gt;"",$I$11,"")))</f>
        <v>SSRS: sistemas de gestión de productos para la salud</v>
      </c>
      <c r="J20" s="102" t="s">
        <v>109</v>
      </c>
      <c r="K20" s="102" t="str">
        <f t="shared" si="9"/>
        <v>MCI-00664</v>
      </c>
      <c r="L20" s="102" t="s">
        <v>20</v>
      </c>
    </row>
    <row r="21" spans="1:12" x14ac:dyDescent="0.35">
      <c r="A21" s="56" t="s">
        <v>161</v>
      </c>
      <c r="B21" s="57"/>
      <c r="C21" s="57" t="str">
        <f>IF(OR(TranslatemoduleName="[Name]",TranslatemoduleName="[Name - FR]",TranslatemoduleName="[Name - ES]" ),"",TranslatemoduleName)</f>
        <v>SSRS: Sistemas de gestión financiera</v>
      </c>
      <c r="D21" s="65" t="s">
        <v>1101</v>
      </c>
      <c r="E21" s="57" t="str">
        <f t="shared" si="8"/>
        <v>RSSH: Financial management systems</v>
      </c>
      <c r="F21" s="56" t="s">
        <v>1102</v>
      </c>
      <c r="G21" s="56" t="s">
        <v>1103</v>
      </c>
      <c r="H21" s="102" t="s">
        <v>1078</v>
      </c>
      <c r="I21" s="103" t="str">
        <f>IFERROR(LOOKUP(2,1/(COUNTIF($I$9:I20,$C$11:$C$29)=0),$C$11:$C$29),IF($I$11=I20,"",IF(I20&lt;&gt;"",$I$11,"")))</f>
        <v>Gestión de programas</v>
      </c>
      <c r="J21" s="102" t="s">
        <v>109</v>
      </c>
      <c r="K21" s="102" t="str">
        <f t="shared" si="9"/>
        <v>MCI-00665</v>
      </c>
      <c r="L21" s="102" t="s">
        <v>20</v>
      </c>
    </row>
    <row r="22" spans="1:12" x14ac:dyDescent="0.35">
      <c r="A22" s="56" t="s">
        <v>1104</v>
      </c>
      <c r="B22" s="57"/>
      <c r="C22" s="57" t="str">
        <f>IF(OR(TranslatemoduleName="[Name]",TranslatemoduleName="[Name - FR]",TranslatemoduleName="[Name - ES]" ),"",TranslatemoduleName)</f>
        <v>SSRS: gobernanza y planificación del sector de la salud</v>
      </c>
      <c r="D22" s="65" t="s">
        <v>1105</v>
      </c>
      <c r="E22" s="57" t="str">
        <f t="shared" si="8"/>
        <v>RSSH: Health sector governance and planning</v>
      </c>
      <c r="F22" s="56" t="s">
        <v>1106</v>
      </c>
      <c r="G22" s="56" t="s">
        <v>1107</v>
      </c>
      <c r="H22" s="102" t="s">
        <v>1078</v>
      </c>
      <c r="I22" s="103" t="str">
        <f>IFERROR(LOOKUP(2,1/(COUNTIF($I$9:I21,$C$11:$C$29)=0),$C$11:$C$29),IF($I$11=I21,"",IF(I21&lt;&gt;"",$I$11,"")))</f>
        <v>TB/VIH</v>
      </c>
      <c r="J22" s="102" t="s">
        <v>109</v>
      </c>
      <c r="K22" s="102" t="str">
        <f t="shared" si="9"/>
        <v>MCI-00666</v>
      </c>
      <c r="L22" s="102" t="s">
        <v>20</v>
      </c>
    </row>
    <row r="23" spans="1:12" x14ac:dyDescent="0.35">
      <c r="A23" s="56" t="s">
        <v>1108</v>
      </c>
      <c r="B23" s="57"/>
      <c r="C23" s="57" t="str">
        <f>IF(OR(TranslatemoduleName="[Name]",TranslatemoduleName="[Name - FR]",TranslatemoduleName="[Name - ES]" ),"",TranslatemoduleName)</f>
        <v>SSRS: Sistemas de información de gestión de salud y M&amp;E (Monitoria y Evaluación)</v>
      </c>
      <c r="D23" s="65" t="s">
        <v>1109</v>
      </c>
      <c r="E23" s="57" t="str">
        <f t="shared" si="8"/>
        <v>RSSH: Health management information systems and M&amp;E</v>
      </c>
      <c r="F23" s="56" t="s">
        <v>1110</v>
      </c>
      <c r="G23" s="56" t="s">
        <v>1111</v>
      </c>
      <c r="H23" s="102" t="s">
        <v>1078</v>
      </c>
      <c r="I23" s="103" t="str">
        <f>IFERROR(LOOKUP(2,1/(COUNTIF($I$9:I22,$C$11:$C$29)=0),$C$11:$C$29),IF($I$11=I22,"",IF(I22&lt;&gt;"",$I$11,"")))</f>
        <v>Reducción de las barreras relacionadas con los derechos humanos para acceder a los servicios del VIH y la tuberculosis</v>
      </c>
      <c r="J23" s="102" t="s">
        <v>109</v>
      </c>
      <c r="K23" s="102" t="str">
        <f t="shared" si="9"/>
        <v>MCI-00662</v>
      </c>
      <c r="L23" s="102" t="s">
        <v>20</v>
      </c>
    </row>
    <row r="24" spans="1:12" x14ac:dyDescent="0.35">
      <c r="A24" s="56" t="s">
        <v>1112</v>
      </c>
      <c r="B24" s="57"/>
      <c r="C24" s="57" t="str">
        <f>IF(OR(TranslatemoduleName="[Name]",TranslatemoduleName="[Name - FR]",TranslatemoduleName="[Name - ES]" ),"",TranslatemoduleName)</f>
        <v>SSRS: fortalecimiento de los sistemas comunitarios</v>
      </c>
      <c r="D24" s="65" t="s">
        <v>1113</v>
      </c>
      <c r="E24" s="57" t="str">
        <f t="shared" si="8"/>
        <v>RSSH: Community systems strengthening</v>
      </c>
      <c r="F24" s="56" t="s">
        <v>1114</v>
      </c>
      <c r="G24" s="56" t="s">
        <v>1115</v>
      </c>
      <c r="H24" s="102" t="s">
        <v>1078</v>
      </c>
      <c r="I24" s="103" t="str">
        <f>IFERROR(LOOKUP(2,1/(COUNTIF($I$9:I23,$C$11:$C$29)=0),$C$11:$C$29),IF($I$11=I23,"",IF(I23&lt;&gt;"",$I$11,"")))</f>
        <v>Tratamiento, atención y apoyo</v>
      </c>
      <c r="J24" s="102" t="s">
        <v>109</v>
      </c>
      <c r="K24" s="102" t="str">
        <f t="shared" si="9"/>
        <v>MCI-00667</v>
      </c>
      <c r="L24" s="102" t="s">
        <v>20</v>
      </c>
    </row>
    <row r="25" spans="1:12" x14ac:dyDescent="0.35">
      <c r="A25" s="56" t="s">
        <v>1116</v>
      </c>
      <c r="B25" s="57"/>
      <c r="C25" s="57" t="str">
        <f>IF(OR(TranslatemoduleName="[Name]",TranslatemoduleName="[Name - FR]",TranslatemoduleName="[Name - ES]" ),"",TranslatemoduleName)</f>
        <v>SSRS: sistemas de laboratorio</v>
      </c>
      <c r="D25" s="65" t="s">
        <v>1117</v>
      </c>
      <c r="E25" s="57" t="str">
        <f t="shared" si="8"/>
        <v>RSSH: Laboratory systems</v>
      </c>
      <c r="F25" s="56" t="s">
        <v>1118</v>
      </c>
      <c r="G25" s="56" t="s">
        <v>1119</v>
      </c>
      <c r="H25" s="102" t="s">
        <v>1078</v>
      </c>
      <c r="I25" s="103" t="str">
        <f>IFERROR(LOOKUP(2,1/(COUNTIF($I$9:I24,$C$11:$C$29)=0),$C$11:$C$29),IF($I$11=I24,"",IF(I24&lt;&gt;"",$I$11,"")))</f>
        <v>Servicios diferenciados de diagnóstico del VIH</v>
      </c>
      <c r="J25" s="102" t="s">
        <v>109</v>
      </c>
      <c r="K25" s="102" t="str">
        <f t="shared" si="9"/>
        <v>MCI-00668</v>
      </c>
      <c r="L25" s="102" t="s">
        <v>20</v>
      </c>
    </row>
    <row r="26" spans="1:12" x14ac:dyDescent="0.35">
      <c r="A26" s="56" t="s">
        <v>1120</v>
      </c>
      <c r="B26" s="57"/>
      <c r="C26" s="57" t="str">
        <f>IF(OR(TranslatemoduleName="[Name]",TranslatemoduleName="[Name - FR]",TranslatemoduleName="[Name - ES]" ),"",TranslatemoduleName)</f>
        <v>Financiación basada en los resultados</v>
      </c>
      <c r="D26" s="65" t="s">
        <v>1121</v>
      </c>
      <c r="E26" s="57" t="str">
        <f t="shared" si="8"/>
        <v>Payment for results</v>
      </c>
      <c r="F26" s="56" t="s">
        <v>1122</v>
      </c>
      <c r="G26" s="56" t="s">
        <v>1123</v>
      </c>
      <c r="H26" s="102" t="s">
        <v>1078</v>
      </c>
      <c r="I26" s="103" t="str">
        <f>IFERROR(LOOKUP(2,1/(COUNTIF($I$9:I25,$C$11:$C$29)=0),$C$11:$C$29),IF($I$11=I25,"",IF(I25&lt;&gt;"",$I$11,"")))</f>
        <v>PTMI</v>
      </c>
      <c r="J26" s="102" t="s">
        <v>109</v>
      </c>
      <c r="K26" s="102" t="str">
        <f t="shared" si="9"/>
        <v>MCI-00669</v>
      </c>
      <c r="L26" s="102" t="s">
        <v>20</v>
      </c>
    </row>
    <row r="27" spans="1:12" x14ac:dyDescent="0.35">
      <c r="A27" s="56" t="s">
        <v>156</v>
      </c>
      <c r="B27" s="57"/>
      <c r="C27" s="57" t="str">
        <f>IF(OR(TranslatemoduleName="[Name]",TranslatemoduleName="[Name - FR]",TranslatemoduleName="[Name - ES]" ),"",TranslatemoduleName)</f>
        <v>SSRS: recursos humanos para la salud  incluidos los trabajadores de la salud comunitarios</v>
      </c>
      <c r="D27" s="65" t="s">
        <v>1124</v>
      </c>
      <c r="E27" s="57" t="str">
        <f t="shared" si="8"/>
        <v>RSSH: Human resources for health, including community health workers</v>
      </c>
      <c r="F27" s="56" t="s">
        <v>1125</v>
      </c>
      <c r="G27" s="56" t="s">
        <v>1126</v>
      </c>
      <c r="H27" s="102" t="s">
        <v>1078</v>
      </c>
      <c r="I27" s="103" t="str">
        <f>IFERROR(LOOKUP(2,1/(COUNTIF($I$9:I26,$C$11:$C$29)=0),$C$11:$C$29),IF($I$11=I26,"",IF(I26&lt;&gt;"",$I$11,"")))</f>
        <v>Prevención</v>
      </c>
      <c r="J27" s="102" t="s">
        <v>109</v>
      </c>
      <c r="K27" s="102" t="str">
        <f t="shared" si="9"/>
        <v>MCI-00663</v>
      </c>
      <c r="L27" s="102" t="s">
        <v>20</v>
      </c>
    </row>
    <row r="28" spans="1:12" x14ac:dyDescent="0.35">
      <c r="A28" s="56" t="s">
        <v>1127</v>
      </c>
      <c r="B28" s="57"/>
      <c r="C28" s="57" t="str">
        <f>IF(OR(TranslatemoduleName="[Name]",TranslatemoduleName="[Name - FR]",TranslatemoduleName="[Name - ES]" ),"",TranslatemoduleName)</f>
        <v>COVID-19</v>
      </c>
      <c r="D28" s="65" t="s">
        <v>1128</v>
      </c>
      <c r="E28" s="57" t="str">
        <f t="shared" si="8"/>
        <v>COVID-19</v>
      </c>
      <c r="F28" s="56" t="s">
        <v>1127</v>
      </c>
      <c r="G28" s="56" t="s">
        <v>1127</v>
      </c>
      <c r="H28" s="102" t="s">
        <v>1078</v>
      </c>
      <c r="I28" s="103" t="str">
        <f>IFERROR(LOOKUP(2,1/(COUNTIF($I$9:I27,$C$11:$C$29)=0),$C$11:$C$29),IF($I$11=I27,"",IF(I27&lt;&gt;"",$I$11,"")))</f>
        <v>COVID-19</v>
      </c>
      <c r="J28" s="102" t="s">
        <v>109</v>
      </c>
      <c r="K28" s="102" t="str">
        <f t="shared" si="9"/>
        <v>MCI-01236</v>
      </c>
      <c r="L28" s="102" t="s">
        <v>20</v>
      </c>
    </row>
    <row r="29" spans="1:12" s="52" customFormat="1" x14ac:dyDescent="0.35">
      <c r="A29" s="61"/>
      <c r="B29" s="62"/>
      <c r="C29" s="62"/>
      <c r="D29" s="65"/>
      <c r="E29" s="62"/>
      <c r="F29" s="61"/>
      <c r="G29" s="61"/>
      <c r="I29" s="64"/>
    </row>
    <row r="30" spans="1:12" s="52" customFormat="1" x14ac:dyDescent="0.35">
      <c r="A30" s="76" t="str">
        <f>IF(B3="",B4,B3)</f>
        <v>El Salvador</v>
      </c>
      <c r="B30" s="62"/>
      <c r="C30" s="62"/>
      <c r="D30" s="65"/>
      <c r="E30" s="62"/>
      <c r="F30" s="61"/>
      <c r="G30" s="61"/>
      <c r="I30" s="64"/>
    </row>
    <row r="31" spans="1:12" s="52" customFormat="1" x14ac:dyDescent="0.35">
      <c r="A31" s="61"/>
      <c r="B31" s="62"/>
      <c r="C31" s="62"/>
      <c r="D31" s="65"/>
      <c r="E31" s="62"/>
      <c r="F31" s="61"/>
      <c r="G31" s="61"/>
      <c r="I31" s="64"/>
    </row>
    <row r="32" spans="1:12" s="52" customFormat="1" x14ac:dyDescent="0.35">
      <c r="A32" s="61"/>
      <c r="B32" s="62"/>
      <c r="C32" s="62"/>
      <c r="D32" s="65"/>
      <c r="E32" s="62"/>
      <c r="F32" s="61"/>
      <c r="G32" s="61"/>
      <c r="I32" s="64"/>
    </row>
    <row r="33" spans="1:9" s="52" customFormat="1" x14ac:dyDescent="0.35">
      <c r="A33" s="61"/>
      <c r="B33" s="62"/>
      <c r="C33" s="62"/>
      <c r="D33" s="65"/>
      <c r="E33" s="62"/>
      <c r="F33" s="61"/>
      <c r="G33" s="61"/>
      <c r="I33" s="64"/>
    </row>
    <row r="34" spans="1:9" s="52" customFormat="1" x14ac:dyDescent="0.35">
      <c r="A34" s="61"/>
      <c r="B34" s="62"/>
      <c r="C34" s="62"/>
      <c r="D34" s="65"/>
      <c r="E34" s="62"/>
      <c r="F34" s="61"/>
      <c r="G34" s="61"/>
      <c r="I34" s="64"/>
    </row>
    <row r="35" spans="1:9" s="52" customFormat="1" x14ac:dyDescent="0.35">
      <c r="A35" s="61"/>
      <c r="B35" s="62"/>
      <c r="C35" s="62"/>
      <c r="D35" s="65"/>
      <c r="E35" s="62"/>
      <c r="F35" s="61"/>
      <c r="G35" s="61"/>
      <c r="I35" s="64"/>
    </row>
    <row r="36" spans="1:9" s="52" customFormat="1" x14ac:dyDescent="0.35">
      <c r="A36" s="61"/>
      <c r="B36" s="62"/>
      <c r="C36" s="62"/>
      <c r="D36" s="65"/>
      <c r="E36" s="62"/>
      <c r="F36" s="61"/>
      <c r="G36" s="61"/>
      <c r="I36" s="64"/>
    </row>
    <row r="37" spans="1:9" s="52" customFormat="1" x14ac:dyDescent="0.35">
      <c r="A37" s="61"/>
      <c r="B37" s="62"/>
      <c r="C37" s="62"/>
      <c r="D37" s="65"/>
      <c r="E37" s="62"/>
      <c r="F37" s="61"/>
      <c r="G37" s="61"/>
      <c r="I37" s="64"/>
    </row>
    <row r="38" spans="1:9" s="52" customFormat="1" x14ac:dyDescent="0.35">
      <c r="A38" s="61"/>
      <c r="B38" s="62"/>
      <c r="C38" s="62"/>
      <c r="D38" s="65"/>
      <c r="E38" s="62"/>
      <c r="F38" s="61"/>
      <c r="G38" s="61"/>
      <c r="I38" s="64"/>
    </row>
    <row r="39" spans="1:9" s="52" customFormat="1" x14ac:dyDescent="0.35">
      <c r="A39" s="61"/>
      <c r="B39" s="62"/>
      <c r="C39" s="62"/>
      <c r="D39" s="65"/>
      <c r="E39" s="62"/>
      <c r="F39" s="61"/>
      <c r="G39" s="61"/>
      <c r="I39" s="64"/>
    </row>
    <row r="40" spans="1:9" s="52" customFormat="1" x14ac:dyDescent="0.35">
      <c r="A40" s="61"/>
      <c r="B40" s="62"/>
      <c r="C40" s="62"/>
      <c r="D40" s="65"/>
      <c r="E40" s="62"/>
      <c r="F40" s="61"/>
      <c r="G40" s="61"/>
      <c r="I40" s="64"/>
    </row>
    <row r="41" spans="1:9" s="52" customFormat="1" x14ac:dyDescent="0.35">
      <c r="D41" s="66"/>
      <c r="I41" s="64"/>
    </row>
    <row r="42" spans="1:9" x14ac:dyDescent="0.35">
      <c r="I42" s="64"/>
    </row>
    <row r="43" spans="1:9" x14ac:dyDescent="0.35">
      <c r="I43" s="64"/>
    </row>
    <row r="44" spans="1:9" x14ac:dyDescent="0.35">
      <c r="I44" s="64"/>
    </row>
    <row r="45" spans="1:9" x14ac:dyDescent="0.35">
      <c r="I45" s="64"/>
    </row>
    <row r="46" spans="1:9" x14ac:dyDescent="0.35">
      <c r="I46" s="64"/>
    </row>
    <row r="47" spans="1:9" ht="84" customHeight="1" x14ac:dyDescent="0.35">
      <c r="A47" s="42"/>
      <c r="B47" s="42"/>
      <c r="C47" s="42"/>
      <c r="E47" s="45"/>
      <c r="I47" s="64"/>
    </row>
    <row r="48" spans="1:9" x14ac:dyDescent="0.35">
      <c r="I48" s="64"/>
    </row>
    <row r="49" spans="9:9" x14ac:dyDescent="0.35">
      <c r="I49" s="64"/>
    </row>
    <row r="50" spans="9:9" x14ac:dyDescent="0.35">
      <c r="I50" s="64"/>
    </row>
    <row r="51" spans="9:9" x14ac:dyDescent="0.35">
      <c r="I51" s="64"/>
    </row>
    <row r="52" spans="9:9" x14ac:dyDescent="0.35">
      <c r="I52" s="64"/>
    </row>
    <row r="53" spans="9:9" x14ac:dyDescent="0.35">
      <c r="I53" s="64"/>
    </row>
    <row r="54" spans="9:9" x14ac:dyDescent="0.35">
      <c r="I54" s="64"/>
    </row>
    <row r="55" spans="9:9" x14ac:dyDescent="0.35">
      <c r="I55" s="64"/>
    </row>
    <row r="56" spans="9:9" x14ac:dyDescent="0.35">
      <c r="I56" s="64"/>
    </row>
    <row r="57" spans="9:9" x14ac:dyDescent="0.35">
      <c r="I57" s="64"/>
    </row>
    <row r="58" spans="9:9" x14ac:dyDescent="0.35">
      <c r="I58" s="64"/>
    </row>
    <row r="59" spans="9:9" x14ac:dyDescent="0.35">
      <c r="I59" s="64"/>
    </row>
    <row r="60" spans="9:9" x14ac:dyDescent="0.35">
      <c r="I60" s="64"/>
    </row>
    <row r="61" spans="9:9" x14ac:dyDescent="0.35">
      <c r="I61" s="64"/>
    </row>
    <row r="62" spans="9:9" x14ac:dyDescent="0.35">
      <c r="I62" s="64"/>
    </row>
    <row r="63" spans="9:9" x14ac:dyDescent="0.35">
      <c r="I63" s="64"/>
    </row>
    <row r="64" spans="9:9" x14ac:dyDescent="0.35">
      <c r="I64" s="64"/>
    </row>
    <row r="65" spans="9:9" x14ac:dyDescent="0.35">
      <c r="I65" s="64"/>
    </row>
    <row r="66" spans="9:9" x14ac:dyDescent="0.35">
      <c r="I66" s="64"/>
    </row>
    <row r="67" spans="9:9" x14ac:dyDescent="0.35">
      <c r="I67" s="64"/>
    </row>
    <row r="68" spans="9:9" x14ac:dyDescent="0.35">
      <c r="I68" s="64"/>
    </row>
    <row r="69" spans="9:9" x14ac:dyDescent="0.35">
      <c r="I69" s="64"/>
    </row>
    <row r="70" spans="9:9" x14ac:dyDescent="0.35">
      <c r="I70" s="64"/>
    </row>
    <row r="71" spans="9:9" x14ac:dyDescent="0.35">
      <c r="I71" s="64"/>
    </row>
    <row r="72" spans="9:9" x14ac:dyDescent="0.35">
      <c r="I72" s="64"/>
    </row>
    <row r="73" spans="9:9" x14ac:dyDescent="0.35">
      <c r="I73" s="64"/>
    </row>
    <row r="74" spans="9:9" x14ac:dyDescent="0.35">
      <c r="I74" s="64"/>
    </row>
    <row r="75" spans="9:9" x14ac:dyDescent="0.35">
      <c r="I75" s="64"/>
    </row>
    <row r="76" spans="9:9" x14ac:dyDescent="0.35">
      <c r="I76" s="64"/>
    </row>
    <row r="77" spans="9:9" x14ac:dyDescent="0.35">
      <c r="I77" s="64"/>
    </row>
    <row r="78" spans="9:9" x14ac:dyDescent="0.35">
      <c r="I78" s="64"/>
    </row>
    <row r="79" spans="9:9" x14ac:dyDescent="0.35">
      <c r="I79" s="64"/>
    </row>
    <row r="80" spans="9:9" x14ac:dyDescent="0.35">
      <c r="I80" s="64"/>
    </row>
    <row r="81" spans="9:9" x14ac:dyDescent="0.35">
      <c r="I81" s="64"/>
    </row>
    <row r="82" spans="9:9" x14ac:dyDescent="0.35">
      <c r="I82" s="64"/>
    </row>
    <row r="83" spans="9:9" x14ac:dyDescent="0.35">
      <c r="I83" s="64"/>
    </row>
    <row r="84" spans="9:9" x14ac:dyDescent="0.35">
      <c r="I84" s="64"/>
    </row>
    <row r="85" spans="9:9" x14ac:dyDescent="0.35">
      <c r="I85" s="64"/>
    </row>
    <row r="86" spans="9:9" x14ac:dyDescent="0.35">
      <c r="I86" s="64"/>
    </row>
    <row r="87" spans="9:9" x14ac:dyDescent="0.35">
      <c r="I87" s="64"/>
    </row>
    <row r="88" spans="9:9" x14ac:dyDescent="0.35">
      <c r="I88" s="64"/>
    </row>
    <row r="89" spans="9:9" x14ac:dyDescent="0.35">
      <c r="I89" s="64"/>
    </row>
    <row r="90" spans="9:9" x14ac:dyDescent="0.35">
      <c r="I90" s="64"/>
    </row>
    <row r="91" spans="9:9" x14ac:dyDescent="0.35">
      <c r="I91" s="64"/>
    </row>
    <row r="92" spans="9:9" x14ac:dyDescent="0.35">
      <c r="I92" s="64"/>
    </row>
    <row r="93" spans="9:9" x14ac:dyDescent="0.35">
      <c r="I93" s="64"/>
    </row>
    <row r="94" spans="9:9" x14ac:dyDescent="0.35">
      <c r="I94" s="64"/>
    </row>
    <row r="95" spans="9:9" x14ac:dyDescent="0.35">
      <c r="I95" s="64"/>
    </row>
    <row r="96" spans="9:9" x14ac:dyDescent="0.35">
      <c r="I96" s="64"/>
    </row>
    <row r="97" spans="9:9" x14ac:dyDescent="0.35">
      <c r="I97" s="64"/>
    </row>
    <row r="98" spans="9:9" x14ac:dyDescent="0.35">
      <c r="I98" s="64"/>
    </row>
    <row r="99" spans="9:9" x14ac:dyDescent="0.35">
      <c r="I99" s="64"/>
    </row>
    <row r="100" spans="9:9" x14ac:dyDescent="0.35">
      <c r="I100" s="64"/>
    </row>
    <row r="101" spans="9:9" x14ac:dyDescent="0.35">
      <c r="I101" s="64"/>
    </row>
    <row r="102" spans="9:9" x14ac:dyDescent="0.35">
      <c r="I102" s="64"/>
    </row>
    <row r="103" spans="9:9" x14ac:dyDescent="0.35">
      <c r="I103" s="64"/>
    </row>
    <row r="104" spans="9:9" x14ac:dyDescent="0.35">
      <c r="I104" s="64"/>
    </row>
    <row r="105" spans="9:9" x14ac:dyDescent="0.35">
      <c r="I105" s="64"/>
    </row>
    <row r="106" spans="9:9" x14ac:dyDescent="0.35">
      <c r="I106" s="64"/>
    </row>
    <row r="107" spans="9:9" x14ac:dyDescent="0.35">
      <c r="I107" s="64"/>
    </row>
    <row r="108" spans="9:9" x14ac:dyDescent="0.35">
      <c r="I108" s="64"/>
    </row>
    <row r="109" spans="9:9" x14ac:dyDescent="0.35">
      <c r="I109" s="64"/>
    </row>
    <row r="110" spans="9:9" x14ac:dyDescent="0.35">
      <c r="I110" s="64"/>
    </row>
    <row r="111" spans="9:9" x14ac:dyDescent="0.35">
      <c r="I111" s="64"/>
    </row>
    <row r="112" spans="9:9" x14ac:dyDescent="0.35">
      <c r="I112" s="64"/>
    </row>
    <row r="113" spans="9:9" x14ac:dyDescent="0.35">
      <c r="I113" s="64"/>
    </row>
    <row r="114" spans="9:9" x14ac:dyDescent="0.35">
      <c r="I114" s="64"/>
    </row>
    <row r="115" spans="9:9" x14ac:dyDescent="0.35">
      <c r="I115" s="64"/>
    </row>
    <row r="116" spans="9:9" x14ac:dyDescent="0.35">
      <c r="I116" s="64"/>
    </row>
    <row r="117" spans="9:9" x14ac:dyDescent="0.35">
      <c r="I117" s="64"/>
    </row>
    <row r="118" spans="9:9" x14ac:dyDescent="0.35">
      <c r="I118" s="64"/>
    </row>
    <row r="119" spans="9:9" x14ac:dyDescent="0.35">
      <c r="I119" s="64"/>
    </row>
    <row r="120" spans="9:9" x14ac:dyDescent="0.35">
      <c r="I120" s="64"/>
    </row>
    <row r="121" spans="9:9" x14ac:dyDescent="0.35">
      <c r="I121" s="64"/>
    </row>
    <row r="122" spans="9:9" x14ac:dyDescent="0.35">
      <c r="I122" s="64"/>
    </row>
    <row r="123" spans="9:9" x14ac:dyDescent="0.35">
      <c r="I123" s="64"/>
    </row>
    <row r="124" spans="9:9" x14ac:dyDescent="0.35">
      <c r="I124" s="64"/>
    </row>
    <row r="125" spans="9:9" x14ac:dyDescent="0.35">
      <c r="I125" s="64"/>
    </row>
    <row r="126" spans="9:9" x14ac:dyDescent="0.35">
      <c r="I126" s="64"/>
    </row>
    <row r="127" spans="9:9" x14ac:dyDescent="0.35">
      <c r="I127" s="64"/>
    </row>
    <row r="128" spans="9:9" x14ac:dyDescent="0.35">
      <c r="I128" s="64"/>
    </row>
    <row r="129" spans="9:9" x14ac:dyDescent="0.35">
      <c r="I129" s="64"/>
    </row>
    <row r="130" spans="9:9" x14ac:dyDescent="0.35">
      <c r="I130" s="64"/>
    </row>
    <row r="131" spans="9:9" x14ac:dyDescent="0.35">
      <c r="I131" s="64"/>
    </row>
    <row r="132" spans="9:9" x14ac:dyDescent="0.35">
      <c r="I132" s="64"/>
    </row>
    <row r="133" spans="9:9" x14ac:dyDescent="0.35">
      <c r="I133" s="64"/>
    </row>
    <row r="134" spans="9:9" x14ac:dyDescent="0.35">
      <c r="I134" s="64"/>
    </row>
    <row r="135" spans="9:9" x14ac:dyDescent="0.35">
      <c r="I135" s="64"/>
    </row>
    <row r="136" spans="9:9" x14ac:dyDescent="0.35">
      <c r="I136" s="64"/>
    </row>
    <row r="137" spans="9:9" x14ac:dyDescent="0.35">
      <c r="I137" s="64"/>
    </row>
    <row r="138" spans="9:9" x14ac:dyDescent="0.35">
      <c r="I138" s="64"/>
    </row>
    <row r="139" spans="9:9" x14ac:dyDescent="0.35">
      <c r="I139" s="64"/>
    </row>
    <row r="140" spans="9:9" x14ac:dyDescent="0.35">
      <c r="I140" s="64"/>
    </row>
    <row r="141" spans="9:9" x14ac:dyDescent="0.35">
      <c r="I141" s="64"/>
    </row>
    <row r="142" spans="9:9" x14ac:dyDescent="0.35">
      <c r="I142" s="64"/>
    </row>
    <row r="143" spans="9:9" x14ac:dyDescent="0.35">
      <c r="I143" s="64"/>
    </row>
    <row r="144" spans="9:9" x14ac:dyDescent="0.35">
      <c r="I144" s="64"/>
    </row>
    <row r="145" spans="9:9" x14ac:dyDescent="0.35">
      <c r="I145" s="64"/>
    </row>
    <row r="146" spans="9:9" x14ac:dyDescent="0.35">
      <c r="I146" s="64"/>
    </row>
    <row r="147" spans="9:9" x14ac:dyDescent="0.35">
      <c r="I147" s="64"/>
    </row>
    <row r="148" spans="9:9" x14ac:dyDescent="0.35">
      <c r="I148" s="64"/>
    </row>
    <row r="149" spans="9:9" x14ac:dyDescent="0.35">
      <c r="I149" s="64"/>
    </row>
    <row r="150" spans="9:9" x14ac:dyDescent="0.35">
      <c r="I150" s="64"/>
    </row>
    <row r="151" spans="9:9" x14ac:dyDescent="0.35">
      <c r="I151" s="64"/>
    </row>
    <row r="152" spans="9:9" x14ac:dyDescent="0.35">
      <c r="I152" s="64"/>
    </row>
    <row r="153" spans="9:9" x14ac:dyDescent="0.35">
      <c r="I153" s="64"/>
    </row>
    <row r="154" spans="9:9" x14ac:dyDescent="0.35">
      <c r="I154" s="64"/>
    </row>
    <row r="155" spans="9:9" x14ac:dyDescent="0.35">
      <c r="I155" s="64"/>
    </row>
    <row r="156" spans="9:9" x14ac:dyDescent="0.35">
      <c r="I156" s="64"/>
    </row>
    <row r="157" spans="9:9" x14ac:dyDescent="0.35">
      <c r="I157" s="64"/>
    </row>
    <row r="158" spans="9:9" x14ac:dyDescent="0.35">
      <c r="I158" s="64"/>
    </row>
    <row r="159" spans="9:9" x14ac:dyDescent="0.35">
      <c r="I159" s="64"/>
    </row>
    <row r="160" spans="9:9" x14ac:dyDescent="0.35">
      <c r="I160" s="64"/>
    </row>
    <row r="161" spans="9:9" x14ac:dyDescent="0.35">
      <c r="I161" s="64"/>
    </row>
    <row r="162" spans="9:9" x14ac:dyDescent="0.35">
      <c r="I162" s="64"/>
    </row>
    <row r="163" spans="9:9" x14ac:dyDescent="0.35">
      <c r="I163" s="64"/>
    </row>
    <row r="164" spans="9:9" x14ac:dyDescent="0.35">
      <c r="I164" s="64"/>
    </row>
    <row r="165" spans="9:9" x14ac:dyDescent="0.35">
      <c r="I165" s="64"/>
    </row>
    <row r="166" spans="9:9" x14ac:dyDescent="0.35">
      <c r="I166" s="64"/>
    </row>
    <row r="167" spans="9:9" x14ac:dyDescent="0.35">
      <c r="I167" s="64"/>
    </row>
    <row r="168" spans="9:9" x14ac:dyDescent="0.35">
      <c r="I168" s="64"/>
    </row>
    <row r="169" spans="9:9" x14ac:dyDescent="0.35">
      <c r="I169" s="64"/>
    </row>
    <row r="170" spans="9:9" x14ac:dyDescent="0.35">
      <c r="I170" s="64"/>
    </row>
    <row r="171" spans="9:9" x14ac:dyDescent="0.35">
      <c r="I171" s="64"/>
    </row>
    <row r="172" spans="9:9" x14ac:dyDescent="0.35">
      <c r="I172" s="64"/>
    </row>
    <row r="173" spans="9:9" x14ac:dyDescent="0.35">
      <c r="I173" s="64"/>
    </row>
    <row r="174" spans="9:9" x14ac:dyDescent="0.35">
      <c r="I174" s="64"/>
    </row>
    <row r="175" spans="9:9" x14ac:dyDescent="0.35">
      <c r="I175" s="64"/>
    </row>
    <row r="176" spans="9:9" x14ac:dyDescent="0.35">
      <c r="I176" s="64"/>
    </row>
    <row r="177" spans="9:9" x14ac:dyDescent="0.35">
      <c r="I177" s="64"/>
    </row>
    <row r="178" spans="9:9" x14ac:dyDescent="0.35">
      <c r="I178" s="64"/>
    </row>
    <row r="179" spans="9:9" x14ac:dyDescent="0.35">
      <c r="I179" s="64"/>
    </row>
    <row r="180" spans="9:9" x14ac:dyDescent="0.35">
      <c r="I180" s="64"/>
    </row>
    <row r="181" spans="9:9" x14ac:dyDescent="0.35">
      <c r="I181" s="64"/>
    </row>
    <row r="182" spans="9:9" x14ac:dyDescent="0.35">
      <c r="I182" s="64"/>
    </row>
    <row r="183" spans="9:9" x14ac:dyDescent="0.35">
      <c r="I183" s="64"/>
    </row>
    <row r="184" spans="9:9" x14ac:dyDescent="0.35">
      <c r="I184" s="64"/>
    </row>
    <row r="185" spans="9:9" x14ac:dyDescent="0.35">
      <c r="I185" s="64"/>
    </row>
    <row r="186" spans="9:9" x14ac:dyDescent="0.35">
      <c r="I186" s="64"/>
    </row>
    <row r="187" spans="9:9" x14ac:dyDescent="0.35">
      <c r="I187" s="64"/>
    </row>
    <row r="188" spans="9:9" x14ac:dyDescent="0.35">
      <c r="I188" s="64"/>
    </row>
    <row r="189" spans="9:9" x14ac:dyDescent="0.35">
      <c r="I189" s="64"/>
    </row>
    <row r="190" spans="9:9" x14ac:dyDescent="0.35">
      <c r="I190" s="64"/>
    </row>
    <row r="191" spans="9:9" x14ac:dyDescent="0.35">
      <c r="I191" s="64"/>
    </row>
    <row r="192" spans="9:9" x14ac:dyDescent="0.35">
      <c r="I192" s="64"/>
    </row>
    <row r="193" spans="9:9" x14ac:dyDescent="0.35">
      <c r="I193" s="64"/>
    </row>
    <row r="194" spans="9:9" x14ac:dyDescent="0.35">
      <c r="I194" s="64"/>
    </row>
    <row r="195" spans="9:9" x14ac:dyDescent="0.35">
      <c r="I195" s="64"/>
    </row>
    <row r="196" spans="9:9" x14ac:dyDescent="0.35">
      <c r="I196" s="64"/>
    </row>
    <row r="197" spans="9:9" x14ac:dyDescent="0.35">
      <c r="I197" s="64"/>
    </row>
    <row r="198" spans="9:9" x14ac:dyDescent="0.35">
      <c r="I198" s="64"/>
    </row>
    <row r="199" spans="9:9" x14ac:dyDescent="0.35">
      <c r="I199" s="64"/>
    </row>
    <row r="200" spans="9:9" x14ac:dyDescent="0.35">
      <c r="I200" s="64"/>
    </row>
    <row r="201" spans="9:9" x14ac:dyDescent="0.35">
      <c r="I201" s="64"/>
    </row>
    <row r="202" spans="9:9" x14ac:dyDescent="0.35">
      <c r="I202" s="64"/>
    </row>
    <row r="203" spans="9:9" x14ac:dyDescent="0.35">
      <c r="I203" s="64"/>
    </row>
    <row r="204" spans="9:9" x14ac:dyDescent="0.35">
      <c r="I204" s="64"/>
    </row>
    <row r="205" spans="9:9" x14ac:dyDescent="0.35">
      <c r="I205" s="64"/>
    </row>
    <row r="206" spans="9:9" x14ac:dyDescent="0.35">
      <c r="I206" s="64"/>
    </row>
    <row r="207" spans="9:9" x14ac:dyDescent="0.35">
      <c r="I207" s="64"/>
    </row>
    <row r="208" spans="9:9" x14ac:dyDescent="0.35">
      <c r="I208" s="64"/>
    </row>
    <row r="209" spans="9:9" x14ac:dyDescent="0.35">
      <c r="I209" s="64"/>
    </row>
    <row r="210" spans="9:9" x14ac:dyDescent="0.35">
      <c r="I210" s="64"/>
    </row>
    <row r="211" spans="9:9" x14ac:dyDescent="0.35">
      <c r="I211" s="64"/>
    </row>
    <row r="212" spans="9:9" x14ac:dyDescent="0.35">
      <c r="I212" s="64"/>
    </row>
    <row r="213" spans="9:9" x14ac:dyDescent="0.35">
      <c r="I213" s="64"/>
    </row>
    <row r="214" spans="9:9" x14ac:dyDescent="0.35">
      <c r="I214" s="64"/>
    </row>
    <row r="215" spans="9:9" x14ac:dyDescent="0.35">
      <c r="I215" s="64"/>
    </row>
    <row r="216" spans="9:9" x14ac:dyDescent="0.35">
      <c r="I216" s="64"/>
    </row>
    <row r="217" spans="9:9" x14ac:dyDescent="0.35">
      <c r="I217" s="64"/>
    </row>
    <row r="218" spans="9:9" x14ac:dyDescent="0.35">
      <c r="I218" s="64"/>
    </row>
    <row r="219" spans="9:9" x14ac:dyDescent="0.35">
      <c r="I219" s="64"/>
    </row>
    <row r="220" spans="9:9" x14ac:dyDescent="0.35">
      <c r="I220" s="64"/>
    </row>
    <row r="221" spans="9:9" x14ac:dyDescent="0.35">
      <c r="I221" s="64"/>
    </row>
    <row r="222" spans="9:9" x14ac:dyDescent="0.35">
      <c r="I222" s="64"/>
    </row>
    <row r="223" spans="9:9" x14ac:dyDescent="0.35">
      <c r="I223" s="64"/>
    </row>
    <row r="224" spans="9:9" x14ac:dyDescent="0.35">
      <c r="I224" s="64"/>
    </row>
    <row r="225" spans="9:9" x14ac:dyDescent="0.35">
      <c r="I225" s="64"/>
    </row>
    <row r="226" spans="9:9" x14ac:dyDescent="0.35">
      <c r="I226" s="64"/>
    </row>
    <row r="227" spans="9:9" x14ac:dyDescent="0.35">
      <c r="I227" s="64"/>
    </row>
    <row r="228" spans="9:9" x14ac:dyDescent="0.35">
      <c r="I228" s="64"/>
    </row>
    <row r="229" spans="9:9" x14ac:dyDescent="0.35">
      <c r="I229" s="64"/>
    </row>
    <row r="230" spans="9:9" x14ac:dyDescent="0.35">
      <c r="I230" s="64"/>
    </row>
    <row r="231" spans="9:9" x14ac:dyDescent="0.35">
      <c r="I231" s="64"/>
    </row>
    <row r="232" spans="9:9" x14ac:dyDescent="0.35">
      <c r="I232" s="64"/>
    </row>
    <row r="233" spans="9:9" x14ac:dyDescent="0.35">
      <c r="I233" s="64"/>
    </row>
    <row r="234" spans="9:9" x14ac:dyDescent="0.35">
      <c r="I234" s="64"/>
    </row>
    <row r="235" spans="9:9" x14ac:dyDescent="0.35">
      <c r="I235" s="64"/>
    </row>
    <row r="236" spans="9:9" x14ac:dyDescent="0.35">
      <c r="I236" s="64"/>
    </row>
    <row r="237" spans="9:9" x14ac:dyDescent="0.35">
      <c r="I237" s="64"/>
    </row>
    <row r="238" spans="9:9" x14ac:dyDescent="0.35">
      <c r="I238" s="64"/>
    </row>
    <row r="239" spans="9:9" x14ac:dyDescent="0.35">
      <c r="I239" s="64"/>
    </row>
    <row r="240" spans="9:9" x14ac:dyDescent="0.35">
      <c r="I240" s="64"/>
    </row>
    <row r="241" spans="9:9" x14ac:dyDescent="0.35">
      <c r="I241" s="64"/>
    </row>
    <row r="242" spans="9:9" x14ac:dyDescent="0.35">
      <c r="I242" s="64"/>
    </row>
    <row r="243" spans="9:9" x14ac:dyDescent="0.35">
      <c r="I243" s="64"/>
    </row>
    <row r="244" spans="9:9" x14ac:dyDescent="0.35">
      <c r="I244" s="64"/>
    </row>
    <row r="245" spans="9:9" x14ac:dyDescent="0.35">
      <c r="I245" s="64"/>
    </row>
    <row r="246" spans="9:9" x14ac:dyDescent="0.35">
      <c r="I246" s="64"/>
    </row>
    <row r="247" spans="9:9" x14ac:dyDescent="0.35">
      <c r="I247" s="64"/>
    </row>
    <row r="248" spans="9:9" x14ac:dyDescent="0.35">
      <c r="I248" s="64"/>
    </row>
    <row r="249" spans="9:9" x14ac:dyDescent="0.35">
      <c r="I249" s="64"/>
    </row>
    <row r="250" spans="9:9" x14ac:dyDescent="0.35">
      <c r="I250" s="64"/>
    </row>
    <row r="251" spans="9:9" x14ac:dyDescent="0.35">
      <c r="I251" s="64"/>
    </row>
    <row r="252" spans="9:9" x14ac:dyDescent="0.35">
      <c r="I252" s="64"/>
    </row>
    <row r="253" spans="9:9" x14ac:dyDescent="0.35">
      <c r="I253" s="64"/>
    </row>
    <row r="254" spans="9:9" x14ac:dyDescent="0.35">
      <c r="I254" s="64"/>
    </row>
    <row r="255" spans="9:9" x14ac:dyDescent="0.35">
      <c r="I255" s="64"/>
    </row>
    <row r="256" spans="9:9" x14ac:dyDescent="0.35">
      <c r="I256" s="64"/>
    </row>
    <row r="257" spans="9:9" x14ac:dyDescent="0.35">
      <c r="I257" s="64"/>
    </row>
    <row r="258" spans="9:9" x14ac:dyDescent="0.35">
      <c r="I258" s="64"/>
    </row>
    <row r="259" spans="9:9" x14ac:dyDescent="0.35">
      <c r="I259" s="64"/>
    </row>
    <row r="260" spans="9:9" x14ac:dyDescent="0.35">
      <c r="I260" s="64"/>
    </row>
    <row r="261" spans="9:9" x14ac:dyDescent="0.35">
      <c r="I261" s="64"/>
    </row>
    <row r="262" spans="9:9" x14ac:dyDescent="0.35">
      <c r="I262" s="64"/>
    </row>
    <row r="263" spans="9:9" x14ac:dyDescent="0.35">
      <c r="I263" s="64"/>
    </row>
    <row r="264" spans="9:9" x14ac:dyDescent="0.35">
      <c r="I264" s="64"/>
    </row>
    <row r="265" spans="9:9" x14ac:dyDescent="0.35">
      <c r="I265" s="64"/>
    </row>
    <row r="266" spans="9:9" x14ac:dyDescent="0.35">
      <c r="I266" s="64"/>
    </row>
    <row r="267" spans="9:9" x14ac:dyDescent="0.35">
      <c r="I267" s="64"/>
    </row>
    <row r="268" spans="9:9" x14ac:dyDescent="0.35">
      <c r="I268" s="64"/>
    </row>
    <row r="269" spans="9:9" x14ac:dyDescent="0.35">
      <c r="I269" s="64"/>
    </row>
    <row r="270" spans="9:9" x14ac:dyDescent="0.35">
      <c r="I270" s="64"/>
    </row>
    <row r="271" spans="9:9" x14ac:dyDescent="0.35">
      <c r="I271" s="64"/>
    </row>
    <row r="272" spans="9:9" x14ac:dyDescent="0.35">
      <c r="I272" s="64"/>
    </row>
    <row r="273" spans="9:9" x14ac:dyDescent="0.35">
      <c r="I273" s="64"/>
    </row>
    <row r="274" spans="9:9" x14ac:dyDescent="0.35">
      <c r="I274" s="64"/>
    </row>
    <row r="275" spans="9:9" x14ac:dyDescent="0.35">
      <c r="I275" s="64"/>
    </row>
    <row r="276" spans="9:9" x14ac:dyDescent="0.35">
      <c r="I276" s="64"/>
    </row>
    <row r="277" spans="9:9" x14ac:dyDescent="0.35">
      <c r="I277" s="64"/>
    </row>
    <row r="278" spans="9:9" x14ac:dyDescent="0.35">
      <c r="I278" s="64"/>
    </row>
    <row r="279" spans="9:9" x14ac:dyDescent="0.35">
      <c r="I279" s="64"/>
    </row>
    <row r="280" spans="9:9" x14ac:dyDescent="0.35">
      <c r="I280" s="64"/>
    </row>
    <row r="281" spans="9:9" x14ac:dyDescent="0.35">
      <c r="I281" s="64"/>
    </row>
    <row r="282" spans="9:9" x14ac:dyDescent="0.35">
      <c r="I282" s="64"/>
    </row>
    <row r="283" spans="9:9" x14ac:dyDescent="0.35">
      <c r="I283" s="64"/>
    </row>
    <row r="284" spans="9:9" x14ac:dyDescent="0.35">
      <c r="I284" s="64"/>
    </row>
    <row r="285" spans="9:9" x14ac:dyDescent="0.35">
      <c r="I285" s="64"/>
    </row>
    <row r="286" spans="9:9" x14ac:dyDescent="0.35">
      <c r="I286" s="64"/>
    </row>
    <row r="287" spans="9:9" x14ac:dyDescent="0.35">
      <c r="I287" s="64"/>
    </row>
    <row r="288" spans="9:9" x14ac:dyDescent="0.35">
      <c r="I288" s="64"/>
    </row>
    <row r="289" spans="9:9" x14ac:dyDescent="0.35">
      <c r="I289" s="64"/>
    </row>
    <row r="290" spans="9:9" x14ac:dyDescent="0.35">
      <c r="I290" s="64"/>
    </row>
    <row r="291" spans="9:9" x14ac:dyDescent="0.35">
      <c r="I291" s="64"/>
    </row>
    <row r="292" spans="9:9" x14ac:dyDescent="0.35">
      <c r="I292" s="64"/>
    </row>
    <row r="293" spans="9:9" x14ac:dyDescent="0.35">
      <c r="I293" s="64"/>
    </row>
    <row r="294" spans="9:9" x14ac:dyDescent="0.35">
      <c r="I294" s="64"/>
    </row>
    <row r="295" spans="9:9" x14ac:dyDescent="0.35">
      <c r="I295" s="64"/>
    </row>
    <row r="296" spans="9:9" x14ac:dyDescent="0.35">
      <c r="I296" s="64"/>
    </row>
    <row r="297" spans="9:9" x14ac:dyDescent="0.35">
      <c r="I297" s="64"/>
    </row>
    <row r="298" spans="9:9" x14ac:dyDescent="0.35">
      <c r="I298" s="64"/>
    </row>
    <row r="299" spans="9:9" x14ac:dyDescent="0.35">
      <c r="I299" s="64"/>
    </row>
    <row r="300" spans="9:9" x14ac:dyDescent="0.35">
      <c r="I300" s="64"/>
    </row>
    <row r="301" spans="9:9" x14ac:dyDescent="0.35">
      <c r="I301" s="64"/>
    </row>
    <row r="302" spans="9:9" x14ac:dyDescent="0.35">
      <c r="I302" s="64"/>
    </row>
    <row r="303" spans="9:9" x14ac:dyDescent="0.35">
      <c r="I303" s="64"/>
    </row>
    <row r="304" spans="9:9" x14ac:dyDescent="0.35">
      <c r="I304" s="64"/>
    </row>
    <row r="305" spans="9:9" x14ac:dyDescent="0.35">
      <c r="I305" s="64"/>
    </row>
    <row r="306" spans="9:9" x14ac:dyDescent="0.35">
      <c r="I306" s="64"/>
    </row>
    <row r="307" spans="9:9" x14ac:dyDescent="0.35">
      <c r="I307" s="64"/>
    </row>
    <row r="308" spans="9:9" x14ac:dyDescent="0.35">
      <c r="I308" s="64"/>
    </row>
    <row r="309" spans="9:9" x14ac:dyDescent="0.35">
      <c r="I309" s="64"/>
    </row>
    <row r="310" spans="9:9" x14ac:dyDescent="0.35">
      <c r="I310" s="64"/>
    </row>
    <row r="311" spans="9:9" x14ac:dyDescent="0.35">
      <c r="I311" s="64"/>
    </row>
    <row r="312" spans="9:9" x14ac:dyDescent="0.35">
      <c r="I312" s="64"/>
    </row>
    <row r="313" spans="9:9" x14ac:dyDescent="0.35">
      <c r="I313" s="64"/>
    </row>
    <row r="314" spans="9:9" x14ac:dyDescent="0.35">
      <c r="I314" s="64"/>
    </row>
    <row r="315" spans="9:9" x14ac:dyDescent="0.35">
      <c r="I315" s="64"/>
    </row>
    <row r="316" spans="9:9" x14ac:dyDescent="0.35">
      <c r="I316" s="64"/>
    </row>
  </sheetData>
  <dataValidations count="3">
    <dataValidation type="custom" allowBlank="1" showInputMessage="1" showErrorMessage="1" errorTitle="X-Author for Excel" error="Id and Lookup fields are not editable." promptTitle="X-Author for Excel" sqref="D11:D40 H11:H28 D8 D5:D6 B6 B2" xr:uid="{00000000-0002-0000-0500-000000000000}">
      <formula1>""</formula1>
    </dataValidation>
    <dataValidation type="list" allowBlank="1" showInputMessage="1" showErrorMessage="1" errorTitle="X-Author for Excel" error="Please select a value from the drop-down." promptTitle="X-Author for Excel" sqref="D4" xr:uid="{65563B50-DFD8-43DB-8F2C-E7FAE1BB6220}">
      <formula1>IF(IFERROR(ROWS(INDIRECT(SUBSTITUTE("AIM_Funding_Request__c.AIM_Funding_Request_Currency__c"," ","_"))),-1) &lt; 0, XAuthorInvalidPicklistData,INDIRECT(SUBSTITUTE("AIM_Funding_Request__c.AIM_Funding_Request_Currency__c"," ","_")))</formula1>
    </dataValidation>
    <dataValidation type="list" allowBlank="1" showInputMessage="1" showErrorMessage="1" errorTitle="X-Author for Excel" error="Please select a value from the drop-down." promptTitle="X-Author for Excel" sqref="F8" xr:uid="{AB7F50BC-28F2-4624-8B50-BCE78FC46FDD}">
      <formula1>IF(IFERROR(ROWS(INDIRECT(SUBSTITUTE("AIM_Funding_Request__c.AIM_TRP_Review_Outcome__c"," ","_"))),-1) &lt; 0, XAuthorInvalidPicklistData,INDIRECT(SUBSTITUTE("AIM_Funding_Request__c.AIM_TRP_Review_Outcome__c"," ","_")))</formula1>
    </dataValidation>
  </dataValidation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11:N105"/>
  <sheetViews>
    <sheetView workbookViewId="0">
      <selection activeCell="B13" sqref="B13"/>
    </sheetView>
  </sheetViews>
  <sheetFormatPr baseColWidth="10" defaultColWidth="8.7265625" defaultRowHeight="14.5" x14ac:dyDescent="0.35"/>
  <cols>
    <col min="3" max="3" width="13.81640625" customWidth="1"/>
  </cols>
  <sheetData>
    <row r="11" spans="2:14" ht="26.5" x14ac:dyDescent="0.35">
      <c r="B11" s="55" t="s">
        <v>769</v>
      </c>
      <c r="C11" s="55" t="s">
        <v>785</v>
      </c>
      <c r="D11" s="55"/>
      <c r="E11" s="55" t="s">
        <v>769</v>
      </c>
      <c r="F11" s="58" t="s">
        <v>787</v>
      </c>
      <c r="G11" s="58" t="s">
        <v>770</v>
      </c>
      <c r="H11" s="55"/>
      <c r="I11" s="55" t="s">
        <v>772</v>
      </c>
      <c r="J11" s="55" t="s">
        <v>788</v>
      </c>
      <c r="K11" s="55" t="s">
        <v>802</v>
      </c>
      <c r="L11" s="102"/>
      <c r="M11" s="102">
        <f>IFERROR(LOOKUP(2,1/(COUNTIF($M$10:M10,$E$12:$E$249)=0),$E$12:$E$249),IF($M$12=M10,"",IF(M10&lt;&gt;"",$M$12,"")))</f>
        <v>0</v>
      </c>
      <c r="N11" s="102" t="s">
        <v>863</v>
      </c>
    </row>
    <row r="12" spans="2:14" hidden="1" x14ac:dyDescent="0.35">
      <c r="B12" s="59" t="s">
        <v>780</v>
      </c>
      <c r="C12" s="57" t="s">
        <v>784</v>
      </c>
      <c r="D12" s="56"/>
      <c r="E12" s="102" t="str">
        <f>IF(OR(TranslatemoduleName="[Name - FR]",TranslatemoduleName="[Name - ES]"),"",IF(InterventionsTranslate="[Name]","",InterventionsTranslate))</f>
        <v>[Name - ES]</v>
      </c>
      <c r="F12" s="56" t="s">
        <v>786</v>
      </c>
      <c r="G12" s="57" t="s">
        <v>779</v>
      </c>
      <c r="H12" s="56"/>
      <c r="I12" s="56" t="s">
        <v>781</v>
      </c>
      <c r="J12" s="56" t="s">
        <v>782</v>
      </c>
      <c r="K12" s="59" t="s">
        <v>801</v>
      </c>
      <c r="L12" s="102" t="str">
        <f>F12</f>
        <v>[Name ID]</v>
      </c>
      <c r="M12" s="102" t="str">
        <f>IFERROR(LOOKUP(2,1/(COUNTIF($M$10:M11,$E$12:$E$249)=0),$E$12:$E$249),IF($M$12=M11,"",IF(M11&lt;&gt;"",$M$12,"")))</f>
        <v>Mitigación de riesgos para los programas de las enfermedades</v>
      </c>
      <c r="N12" s="102" t="s">
        <v>862</v>
      </c>
    </row>
    <row r="13" spans="2:14" x14ac:dyDescent="0.35">
      <c r="B13" s="59" t="s">
        <v>1129</v>
      </c>
      <c r="C13" s="57" t="s">
        <v>1077</v>
      </c>
      <c r="D13" s="56"/>
      <c r="E13" s="102" t="str">
        <f>IF(OR(TranslatemoduleName="[Name - FR]",TranslatemoduleName="[Name - ES]"),"",IF(InterventionsTranslate="[Name]","",InterventionsTranslate))</f>
        <v>Programas de preservativos y lubricantes</v>
      </c>
      <c r="F13" s="56" t="s">
        <v>1130</v>
      </c>
      <c r="G13" s="57" t="s">
        <v>1131</v>
      </c>
      <c r="H13" s="56"/>
      <c r="I13" s="56" t="s">
        <v>1132</v>
      </c>
      <c r="J13" s="56" t="s">
        <v>1133</v>
      </c>
      <c r="K13" s="59" t="s">
        <v>1134</v>
      </c>
      <c r="L13" s="102" t="str">
        <f t="shared" ref="L13:L76" si="0">F13</f>
        <v>MCI-00670</v>
      </c>
      <c r="M13" s="102" t="str">
        <f>IFERROR(LOOKUP(2,1/(COUNTIF($M$10:M12,$E$12:$E$249)=0),$E$12:$E$249),IF($M$12=M12,"",IF(M12&lt;&gt;"",$M$12,"")))</f>
        <v>Control y contención relacionada a COVID-19, incluyendo el fortalecimiento de los sistemas de salud</v>
      </c>
      <c r="N13" s="102" t="b">
        <v>1</v>
      </c>
    </row>
    <row r="14" spans="2:14" x14ac:dyDescent="0.35">
      <c r="B14" s="59" t="s">
        <v>1135</v>
      </c>
      <c r="C14" s="57" t="s">
        <v>1077</v>
      </c>
      <c r="D14" s="56"/>
      <c r="E14" s="102" t="str">
        <f>IF(OR(TranslatemoduleName="[Name - FR]",TranslatemoduleName="[Name - ES]"),"",IF(InterventionsTranslate="[Name]","",InterventionsTranslate))</f>
        <v>PrEP</v>
      </c>
      <c r="F14" s="56" t="s">
        <v>1136</v>
      </c>
      <c r="G14" s="57" t="s">
        <v>1131</v>
      </c>
      <c r="H14" s="56"/>
      <c r="I14" s="56" t="s">
        <v>1137</v>
      </c>
      <c r="J14" s="56" t="s">
        <v>1138</v>
      </c>
      <c r="K14" s="59" t="s">
        <v>1139</v>
      </c>
      <c r="L14" s="102" t="str">
        <f t="shared" si="0"/>
        <v>MCI-00671</v>
      </c>
      <c r="M14" s="102" t="str">
        <f>IFERROR(LOOKUP(2,1/(COUNTIF($M$10:M13,$E$12:$E$249)=0),$E$12:$E$249),IF($M$12=M13,"",IF(M13&lt;&gt;"",$M$12,"")))</f>
        <v>Financiación basada en los resultados</v>
      </c>
      <c r="N14" s="102" t="b">
        <v>1</v>
      </c>
    </row>
    <row r="15" spans="2:14" x14ac:dyDescent="0.35">
      <c r="B15" s="59" t="s">
        <v>1140</v>
      </c>
      <c r="C15" s="57" t="s">
        <v>1077</v>
      </c>
      <c r="D15" s="56"/>
      <c r="E15" s="102" t="str">
        <f>IF(OR(TranslatemoduleName="[Name - FR]",TranslatemoduleName="[Name - ES]"),"",IF(InterventionsTranslate="[Name]","",InterventionsTranslate))</f>
        <v>Intervenciones para cambio de comportamiento</v>
      </c>
      <c r="F15" s="56" t="s">
        <v>1141</v>
      </c>
      <c r="G15" s="57" t="s">
        <v>1131</v>
      </c>
      <c r="H15" s="56"/>
      <c r="I15" s="56" t="s">
        <v>1142</v>
      </c>
      <c r="J15" s="56" t="s">
        <v>1143</v>
      </c>
      <c r="K15" s="59" t="s">
        <v>1144</v>
      </c>
      <c r="L15" s="102" t="str">
        <f t="shared" si="0"/>
        <v>MCI-00672</v>
      </c>
      <c r="M15" s="102" t="str">
        <f>IFERROR(LOOKUP(2,1/(COUNTIF($M$10:M14,$E$12:$E$249)=0),$E$12:$E$249),IF($M$12=M14,"",IF(M14&lt;&gt;"",$M$12,"")))</f>
        <v>Sistemas de cadena de suministros para los laboratorios</v>
      </c>
      <c r="N15" s="102" t="b">
        <v>1</v>
      </c>
    </row>
    <row r="16" spans="2:14" x14ac:dyDescent="0.35">
      <c r="B16" s="59" t="s">
        <v>1145</v>
      </c>
      <c r="C16" s="57" t="s">
        <v>1077</v>
      </c>
      <c r="D16" s="56"/>
      <c r="E16" s="102" t="str">
        <f>IF(OR(TranslatemoduleName="[Name - FR]",TranslatemoduleName="[Name - ES]"),"",IF(InterventionsTranslate="[Name]","",InterventionsTranslate))</f>
        <v>Empoderamiento comunitario</v>
      </c>
      <c r="F16" s="56" t="s">
        <v>1146</v>
      </c>
      <c r="G16" s="57" t="s">
        <v>1131</v>
      </c>
      <c r="H16" s="56"/>
      <c r="I16" s="56" t="s">
        <v>1147</v>
      </c>
      <c r="J16" s="56" t="s">
        <v>1148</v>
      </c>
      <c r="K16" s="59" t="s">
        <v>1149</v>
      </c>
      <c r="L16" s="102" t="str">
        <f t="shared" si="0"/>
        <v>MCI-00673</v>
      </c>
      <c r="M16" s="102" t="str">
        <f>IFERROR(LOOKUP(2,1/(COUNTIF($M$10:M15,$E$12:$E$249)=0),$E$12:$E$249),IF($M$12=M15,"",IF(M15&lt;&gt;"",$M$12,"")))</f>
        <v>Sistemas de información y redes de transporte de muestras integradas</v>
      </c>
      <c r="N16" s="102" t="b">
        <v>1</v>
      </c>
    </row>
    <row r="17" spans="2:14" x14ac:dyDescent="0.35">
      <c r="B17" s="59" t="s">
        <v>1150</v>
      </c>
      <c r="C17" s="57" t="s">
        <v>1077</v>
      </c>
      <c r="D17" s="56"/>
      <c r="E17" s="102" t="str">
        <f>IF(OR(TranslatemoduleName="[Name - FR]",TranslatemoduleName="[Name - ES]"),"",IF(InterventionsTranslate="[Name]","",InterventionsTranslate))</f>
        <v>Servicios de salud sexual y reproductiva, incluyendo las ITS</v>
      </c>
      <c r="F17" s="56" t="s">
        <v>1151</v>
      </c>
      <c r="G17" s="57" t="s">
        <v>1131</v>
      </c>
      <c r="H17" s="56"/>
      <c r="I17" s="56" t="s">
        <v>1152</v>
      </c>
      <c r="J17" s="56" t="s">
        <v>1153</v>
      </c>
      <c r="K17" s="59" t="s">
        <v>1154</v>
      </c>
      <c r="L17" s="102" t="str">
        <f t="shared" si="0"/>
        <v>MCI-00674</v>
      </c>
      <c r="M17" s="102" t="str">
        <f>IFERROR(LOOKUP(2,1/(COUNTIF($M$10:M16,$E$12:$E$249)=0),$E$12:$E$249),IF($M$12=M16,"",IF(M16&lt;&gt;"",$M$12,"")))</f>
        <v>Sistemas de gestión de la calidad y acreditación</v>
      </c>
      <c r="N17" s="102" t="b">
        <v>1</v>
      </c>
    </row>
    <row r="18" spans="2:14" x14ac:dyDescent="0.35">
      <c r="B18" s="59" t="s">
        <v>1155</v>
      </c>
      <c r="C18" s="57" t="s">
        <v>1077</v>
      </c>
      <c r="D18" s="56"/>
      <c r="E18" s="102" t="str">
        <f>IF(OR(TranslatemoduleName="[Name - FR]",TranslatemoduleName="[Name - ES]"),"",IF(InterventionsTranslate="[Name]","",InterventionsTranslate))</f>
        <v>Intervenciones de reducción de daño por consumo de drogas</v>
      </c>
      <c r="F18" s="56" t="s">
        <v>1156</v>
      </c>
      <c r="G18" s="57" t="s">
        <v>1131</v>
      </c>
      <c r="H18" s="56"/>
      <c r="I18" s="56" t="s">
        <v>1157</v>
      </c>
      <c r="J18" s="56" t="s">
        <v>1158</v>
      </c>
      <c r="K18" s="59" t="s">
        <v>1159</v>
      </c>
      <c r="L18" s="102" t="str">
        <f t="shared" si="0"/>
        <v>MCI-00675</v>
      </c>
      <c r="M18" s="102" t="str">
        <f>IFERROR(LOOKUP(2,1/(COUNTIF($M$10:M17,$E$12:$E$249)=0),$E$12:$E$249),IF($M$12=M17,"",IF(M17&lt;&gt;"",$M$12,"")))</f>
        <v>Sistemas de gestión de infraestructuras y equipos</v>
      </c>
      <c r="N18" s="102" t="b">
        <v>1</v>
      </c>
    </row>
    <row r="19" spans="2:14" x14ac:dyDescent="0.35">
      <c r="B19" s="59" t="s">
        <v>1160</v>
      </c>
      <c r="C19" s="57" t="s">
        <v>1077</v>
      </c>
      <c r="D19" s="56"/>
      <c r="E19" s="102" t="str">
        <f>IF(OR(TranslatemoduleName="[Name - FR]",TranslatemoduleName="[Name - ES]"),"",IF(InterventionsTranslate="[Name]","",InterventionsTranslate))</f>
        <v>Programas de agujas y jeringuillas</v>
      </c>
      <c r="F19" s="56" t="s">
        <v>1161</v>
      </c>
      <c r="G19" s="57" t="s">
        <v>1131</v>
      </c>
      <c r="H19" s="56"/>
      <c r="I19" s="56" t="s">
        <v>1162</v>
      </c>
      <c r="J19" s="56" t="s">
        <v>1163</v>
      </c>
      <c r="K19" s="59" t="s">
        <v>1164</v>
      </c>
      <c r="L19" s="102" t="str">
        <f t="shared" si="0"/>
        <v>MCI-00679</v>
      </c>
      <c r="M19" s="102" t="str">
        <f>IFERROR(LOOKUP(2,1/(COUNTIF($M$10:M18,$E$12:$E$249)=0),$E$12:$E$249),IF($M$12=M18,"",IF(M18&lt;&gt;"",$M$12,"")))</f>
        <v>Estructuras de gestión y gobernanza de los laboratorios nacionales</v>
      </c>
      <c r="N19" s="102" t="b">
        <v>1</v>
      </c>
    </row>
    <row r="20" spans="2:14" x14ac:dyDescent="0.35">
      <c r="B20" s="59" t="s">
        <v>1165</v>
      </c>
      <c r="C20" s="57" t="s">
        <v>1077</v>
      </c>
      <c r="D20" s="56"/>
      <c r="E20" s="102" t="str">
        <f>IF(OR(TranslatemoduleName="[Name - FR]",TranslatemoduleName="[Name - ES]"),"",IF(InterventionsTranslate="[Name]","",InterventionsTranslate))</f>
        <v>Tratamiento de sustitución de opiáceos y otros tratamientos de la drogodependencia que requieren atención médica</v>
      </c>
      <c r="F20" s="56" t="s">
        <v>1166</v>
      </c>
      <c r="G20" s="57" t="s">
        <v>1131</v>
      </c>
      <c r="H20" s="56"/>
      <c r="I20" s="56" t="s">
        <v>1167</v>
      </c>
      <c r="J20" s="56" t="s">
        <v>1168</v>
      </c>
      <c r="K20" s="59" t="s">
        <v>1169</v>
      </c>
      <c r="L20" s="102" t="str">
        <f t="shared" si="0"/>
        <v>MCI-00680</v>
      </c>
      <c r="M20" s="102" t="str">
        <f>IFERROR(LOOKUP(2,1/(COUNTIF($M$10:M19,$E$12:$E$249)=0),$E$12:$E$249),IF($M$12=M19,"",IF(M19&lt;&gt;"",$M$12,"")))</f>
        <v>Creación de capacidad institucional, planificación y desarrollo del liderazgo</v>
      </c>
      <c r="N20" s="102" t="b">
        <v>1</v>
      </c>
    </row>
    <row r="21" spans="2:14" x14ac:dyDescent="0.35">
      <c r="B21" s="59" t="s">
        <v>198</v>
      </c>
      <c r="C21" s="57" t="s">
        <v>1077</v>
      </c>
      <c r="D21" s="56"/>
      <c r="E21" s="102" t="str">
        <f>IF(OR(TranslatemoduleName="[Name - FR]",TranslatemoduleName="[Name - ES]"),"",IF(InterventionsTranslate="[Name]","",InterventionsTranslate))</f>
        <v>Prevención y tratamiento de la sobredosis</v>
      </c>
      <c r="F21" s="56" t="s">
        <v>1170</v>
      </c>
      <c r="G21" s="57" t="s">
        <v>1131</v>
      </c>
      <c r="H21" s="56"/>
      <c r="I21" s="56" t="s">
        <v>1171</v>
      </c>
      <c r="J21" s="56" t="s">
        <v>363</v>
      </c>
      <c r="K21" s="59" t="s">
        <v>1172</v>
      </c>
      <c r="L21" s="102" t="str">
        <f t="shared" si="0"/>
        <v>MCI-00681</v>
      </c>
      <c r="M21" s="102" t="str">
        <f>IFERROR(LOOKUP(2,1/(COUNTIF($M$10:M20,$E$12:$E$249)=0),$E$12:$E$249),IF($M$12=M20,"",IF(M20&lt;&gt;"",$M$12,"")))</f>
        <v>Movilización social, creación de vínculos comunitarios y coordinación</v>
      </c>
      <c r="N21" s="102" t="b">
        <v>1</v>
      </c>
    </row>
    <row r="22" spans="2:14" x14ac:dyDescent="0.35">
      <c r="B22" s="59" t="s">
        <v>1173</v>
      </c>
      <c r="C22" s="57" t="s">
        <v>1077</v>
      </c>
      <c r="D22" s="56"/>
      <c r="E22" s="102" t="str">
        <f>IF(OR(TranslatemoduleName="[Name - FR]",TranslatemoduleName="[Name - ES]"),"",IF(InterventionsTranslate="[Name]","",InterventionsTranslate))</f>
        <v>Abordaje del estigma, la discriminación y la violencia</v>
      </c>
      <c r="F22" s="56" t="s">
        <v>1174</v>
      </c>
      <c r="G22" s="57" t="s">
        <v>1131</v>
      </c>
      <c r="H22" s="56"/>
      <c r="I22" s="56" t="s">
        <v>1175</v>
      </c>
      <c r="J22" s="56" t="s">
        <v>1176</v>
      </c>
      <c r="K22" s="59" t="s">
        <v>1177</v>
      </c>
      <c r="L22" s="102" t="str">
        <f t="shared" si="0"/>
        <v>MCI-00676</v>
      </c>
      <c r="M22" s="102" t="str">
        <f>IFERROR(LOOKUP(2,1/(COUNTIF($M$10:M21,$E$12:$E$249)=0),$E$12:$E$249),IF($M$12=M21,"",IF(M21&lt;&gt;"",$M$12,"")))</f>
        <v>Sensibilización e investigación dirigidas por la comunidad</v>
      </c>
      <c r="N22" s="102" t="b">
        <v>1</v>
      </c>
    </row>
    <row r="23" spans="2:14" x14ac:dyDescent="0.35">
      <c r="B23" s="59" t="s">
        <v>1178</v>
      </c>
      <c r="C23" s="57" t="s">
        <v>1077</v>
      </c>
      <c r="D23" s="56"/>
      <c r="E23" s="102" t="str">
        <f>IF(OR(TranslatemoduleName="[Name - FR]",TranslatemoduleName="[Name - ES]"),"",IF(InterventionsTranslate="[Name]","",InterventionsTranslate))</f>
        <v>Intervenciones para poblaciones jóvenes clave</v>
      </c>
      <c r="F23" s="56" t="s">
        <v>1179</v>
      </c>
      <c r="G23" s="57" t="s">
        <v>1131</v>
      </c>
      <c r="H23" s="56"/>
      <c r="I23" s="56" t="s">
        <v>1180</v>
      </c>
      <c r="J23" s="56" t="s">
        <v>1181</v>
      </c>
      <c r="K23" s="59" t="s">
        <v>1182</v>
      </c>
      <c r="L23" s="102" t="str">
        <f t="shared" si="0"/>
        <v>MCI-00677</v>
      </c>
      <c r="M23" s="102" t="str">
        <f>IFERROR(LOOKUP(2,1/(COUNTIF($M$10:M22,$E$12:$E$249)=0),$E$12:$E$249),IF($M$12=M22,"",IF(M22&lt;&gt;"",$M$12,"")))</f>
        <v>Monitoreo a nivel comunitario</v>
      </c>
      <c r="N23" s="102" t="b">
        <v>1</v>
      </c>
    </row>
    <row r="24" spans="2:14" x14ac:dyDescent="0.35">
      <c r="B24" s="59" t="s">
        <v>1183</v>
      </c>
      <c r="C24" s="57" t="s">
        <v>1077</v>
      </c>
      <c r="D24" s="56"/>
      <c r="E24" s="102" t="str">
        <f>IF(OR(TranslatemoduleName="[Name - FR]",TranslatemoduleName="[Name - ES]"),"",IF(InterventionsTranslate="[Name]","",InterventionsTranslate))</f>
        <v>Educación sexual integral</v>
      </c>
      <c r="F24" s="56" t="s">
        <v>1184</v>
      </c>
      <c r="G24" s="57" t="s">
        <v>1131</v>
      </c>
      <c r="H24" s="56"/>
      <c r="I24" s="56" t="s">
        <v>1185</v>
      </c>
      <c r="J24" s="56" t="s">
        <v>1186</v>
      </c>
      <c r="K24" s="59" t="s">
        <v>1187</v>
      </c>
      <c r="L24" s="102" t="str">
        <f t="shared" si="0"/>
        <v>MCI-00682</v>
      </c>
      <c r="M24" s="102" t="str">
        <f>IFERROR(LOOKUP(2,1/(COUNTIF($M$10:M23,$E$12:$E$249)=0),$E$12:$E$249),IF($M$12=M23,"",IF(M23&lt;&gt;"",$M$12,"")))</f>
        <v>Política y planificación para los programas nacionales de control de enfermedades</v>
      </c>
      <c r="N24" s="102" t="b">
        <v>1</v>
      </c>
    </row>
    <row r="25" spans="2:14" x14ac:dyDescent="0.35">
      <c r="B25" s="59" t="s">
        <v>1188</v>
      </c>
      <c r="C25" s="57" t="s">
        <v>1077</v>
      </c>
      <c r="D25" s="56"/>
      <c r="E25" s="102" t="str">
        <f>IF(OR(TranslatemoduleName="[Name - FR]",TranslatemoduleName="[Name - ES]"),"",IF(InterventionsTranslate="[Name]","",InterventionsTranslate))</f>
        <v>Prevención de la violencia de género y atención posterior a un episodio de violencia</v>
      </c>
      <c r="F25" s="56" t="s">
        <v>1189</v>
      </c>
      <c r="G25" s="57" t="s">
        <v>1131</v>
      </c>
      <c r="H25" s="56"/>
      <c r="I25" s="56" t="s">
        <v>1190</v>
      </c>
      <c r="J25" s="56" t="s">
        <v>1191</v>
      </c>
      <c r="K25" s="59" t="s">
        <v>1192</v>
      </c>
      <c r="L25" s="102" t="str">
        <f t="shared" si="0"/>
        <v>MCI-00683</v>
      </c>
      <c r="M25" s="102" t="str">
        <f>IFERROR(LOOKUP(2,1/(COUNTIF($M$10:M24,$E$12:$E$249)=0),$E$12:$E$249),IF($M$12=M24,"",IF(M24&lt;&gt;"",$M$12,"")))</f>
        <v>Estrategias y financiamiento del sector nacional de la salud</v>
      </c>
      <c r="N25" s="102" t="b">
        <v>1</v>
      </c>
    </row>
    <row r="26" spans="2:14" x14ac:dyDescent="0.35">
      <c r="B26" s="59" t="s">
        <v>1193</v>
      </c>
      <c r="C26" s="57" t="s">
        <v>1077</v>
      </c>
      <c r="D26" s="56"/>
      <c r="E26" s="102" t="str">
        <f>IF(OR(TranslatemoduleName="[Name - FR]",TranslatemoduleName="[Name - ES]"),"",IF(InterventionsTranslate="[Name]","",InterventionsTranslate))</f>
        <v>Intervenciones de protección social</v>
      </c>
      <c r="F26" s="56" t="s">
        <v>1194</v>
      </c>
      <c r="G26" s="57" t="s">
        <v>1131</v>
      </c>
      <c r="H26" s="56"/>
      <c r="I26" s="56" t="s">
        <v>1195</v>
      </c>
      <c r="J26" s="56" t="s">
        <v>1196</v>
      </c>
      <c r="K26" s="59" t="s">
        <v>1197</v>
      </c>
      <c r="L26" s="102" t="str">
        <f t="shared" si="0"/>
        <v>MCI-00684</v>
      </c>
      <c r="M26" s="102" t="str">
        <f>IFERROR(LOOKUP(2,1/(COUNTIF($M$10:M25,$E$12:$E$249)=0),$E$12:$E$249),IF($M$12=M25,"",IF(M25&lt;&gt;"",$M$12,"")))</f>
        <v>Gestión financiera ordinaria de las subvenciones</v>
      </c>
      <c r="N26" s="102" t="b">
        <v>1</v>
      </c>
    </row>
    <row r="27" spans="2:14" x14ac:dyDescent="0.35">
      <c r="B27" s="59" t="s">
        <v>1198</v>
      </c>
      <c r="C27" s="57" t="s">
        <v>1077</v>
      </c>
      <c r="D27" s="56"/>
      <c r="E27" s="102" t="str">
        <f>IF(OR(TranslatemoduleName="[Name - FR]",TranslatemoduleName="[Name - ES]"),"",IF(InterventionsTranslate="[Name]","",InterventionsTranslate))</f>
        <v>Integración de los programas para niñas adolescentes y mujeres jóvenes en las respuestas nacionales multisectoriales</v>
      </c>
      <c r="F27" s="56" t="s">
        <v>1199</v>
      </c>
      <c r="G27" s="57" t="s">
        <v>1131</v>
      </c>
      <c r="H27" s="56"/>
      <c r="I27" s="56" t="s">
        <v>1200</v>
      </c>
      <c r="J27" s="56" t="s">
        <v>1201</v>
      </c>
      <c r="K27" s="59" t="s">
        <v>1202</v>
      </c>
      <c r="L27" s="102" t="str">
        <f t="shared" si="0"/>
        <v>MCI-00685</v>
      </c>
      <c r="M27" s="102" t="str">
        <f>IFERROR(LOOKUP(2,1/(COUNTIF($M$10:M26,$E$12:$E$249)=0),$E$12:$E$249),IF($M$12=M26,"",IF(M26&lt;&gt;"",$M$12,"")))</f>
        <v>Sistemas de gestión financiera pública (nacionales o armonizados de donantes)</v>
      </c>
      <c r="N27" s="102" t="b">
        <v>1</v>
      </c>
    </row>
    <row r="28" spans="2:14" x14ac:dyDescent="0.35">
      <c r="B28" s="59" t="s">
        <v>1203</v>
      </c>
      <c r="C28" s="57" t="s">
        <v>1077</v>
      </c>
      <c r="D28" s="56"/>
      <c r="E28" s="102" t="str">
        <f>IF(OR(TranslatemoduleName="[Name - FR]",TranslatemoduleName="[Name - ES]"),"",IF(InterventionsTranslate="[Name]","",InterventionsTranslate))</f>
        <v>Circuncisión médica masculina voluntaria</v>
      </c>
      <c r="F28" s="56" t="s">
        <v>1204</v>
      </c>
      <c r="G28" s="57" t="s">
        <v>1131</v>
      </c>
      <c r="H28" s="56"/>
      <c r="I28" s="56" t="s">
        <v>1205</v>
      </c>
      <c r="J28" s="56" t="s">
        <v>1206</v>
      </c>
      <c r="K28" s="59" t="s">
        <v>1207</v>
      </c>
      <c r="L28" s="102" t="str">
        <f t="shared" si="0"/>
        <v>MCI-00686</v>
      </c>
      <c r="M28" s="102" t="str">
        <f>IFERROR(LOOKUP(2,1/(COUNTIF($M$10:M27,$E$12:$E$249)=0),$E$12:$E$249),IF($M$12=M27,"",IF(M27&lt;&gt;"",$M$12,"")))</f>
        <v>Infraestructura de la prestación de servicios</v>
      </c>
      <c r="N28" s="102" t="b">
        <v>1</v>
      </c>
    </row>
    <row r="29" spans="2:14" x14ac:dyDescent="0.35">
      <c r="B29" s="59" t="s">
        <v>1208</v>
      </c>
      <c r="C29" s="57" t="s">
        <v>1077</v>
      </c>
      <c r="D29" s="56"/>
      <c r="E29" s="102" t="str">
        <f>IF(OR(TranslatemoduleName="[Name - FR]",TranslatemoduleName="[Name - ES]"),"",IF(InterventionsTranslate="[Name]","",InterventionsTranslate))</f>
        <v>Gestión de programas nacionales para preservativos</v>
      </c>
      <c r="F29" s="56" t="s">
        <v>1209</v>
      </c>
      <c r="G29" s="57" t="s">
        <v>1131</v>
      </c>
      <c r="H29" s="56"/>
      <c r="I29" s="56" t="s">
        <v>1210</v>
      </c>
      <c r="J29" s="56" t="s">
        <v>1211</v>
      </c>
      <c r="K29" s="59" t="s">
        <v>1212</v>
      </c>
      <c r="L29" s="102" t="str">
        <f t="shared" si="0"/>
        <v>MCI-00687</v>
      </c>
      <c r="M29" s="102" t="str">
        <f>IFERROR(LOOKUP(2,1/(COUNTIF($M$10:M28,$E$12:$E$249)=0),$E$12:$E$249),IF($M$12=M28,"",IF(M28&lt;&gt;"",$M$12,"")))</f>
        <v>Organización de los servicios y gestión de establecimientos de salud</v>
      </c>
      <c r="N29" s="102" t="b">
        <v>1</v>
      </c>
    </row>
    <row r="30" spans="2:14" x14ac:dyDescent="0.35">
      <c r="B30" s="59" t="s">
        <v>1213</v>
      </c>
      <c r="C30" s="57" t="s">
        <v>1077</v>
      </c>
      <c r="D30" s="56"/>
      <c r="E30" s="102" t="str">
        <f>IF(OR(TranslatemoduleName="[Name - FR]",TranslatemoduleName="[Name - ES]"),"",IF(InterventionsTranslate="[Name]","",InterventionsTranslate))</f>
        <v>Integración de los programas de VIH y la salud reproductiva, materna, adolescente, infantil y neonatal</v>
      </c>
      <c r="F30" s="56" t="s">
        <v>1214</v>
      </c>
      <c r="G30" s="57" t="s">
        <v>1131</v>
      </c>
      <c r="H30" s="56"/>
      <c r="I30" s="56" t="s">
        <v>1215</v>
      </c>
      <c r="J30" s="56" t="s">
        <v>1216</v>
      </c>
      <c r="K30" s="59" t="s">
        <v>1217</v>
      </c>
      <c r="L30" s="102" t="str">
        <f t="shared" si="0"/>
        <v>MCI-00688</v>
      </c>
      <c r="M30" s="102" t="str">
        <f>IFERROR(LOOKUP(2,1/(COUNTIF($M$10:M29,$E$12:$E$249)=0),$E$12:$E$249),IF($M$12=M29,"",IF(M29&lt;&gt;"",$M$12,"")))</f>
        <v>Calidad de la atención</v>
      </c>
      <c r="N30" s="102" t="b">
        <v>1</v>
      </c>
    </row>
    <row r="31" spans="2:14" x14ac:dyDescent="0.35">
      <c r="B31" s="59" t="s">
        <v>1218</v>
      </c>
      <c r="C31" s="57" t="s">
        <v>1077</v>
      </c>
      <c r="D31" s="56"/>
      <c r="E31" s="102" t="str">
        <f>IF(OR(TranslatemoduleName="[Name - FR]",TranslatemoduleName="[Name - ES]"),"",IF(InterventionsTranslate="[Name]","",InterventionsTranslate))</f>
        <v>Prevención y manejo de coinfecciones y comorbilidades (Prevención)</v>
      </c>
      <c r="F31" s="56" t="s">
        <v>1219</v>
      </c>
      <c r="G31" s="57" t="s">
        <v>1131</v>
      </c>
      <c r="H31" s="56"/>
      <c r="I31" s="56" t="s">
        <v>1220</v>
      </c>
      <c r="J31" s="56" t="s">
        <v>1221</v>
      </c>
      <c r="K31" s="59" t="s">
        <v>1222</v>
      </c>
      <c r="L31" s="102" t="str">
        <f t="shared" si="0"/>
        <v>MCI-00678</v>
      </c>
      <c r="M31" s="102" t="str">
        <f>IFERROR(LOOKUP(2,1/(COUNTIF($M$10:M30,$E$12:$E$249)=0),$E$12:$E$249),IF($M$12=M30,"",IF(M30&lt;&gt;"",$M$12,"")))</f>
        <v>Trabajadores de salud comunitarios: formación durante la prestación de los servicios</v>
      </c>
      <c r="N31" s="102" t="b">
        <v>1</v>
      </c>
    </row>
    <row r="32" spans="2:14" x14ac:dyDescent="0.35">
      <c r="B32" s="59" t="s">
        <v>331</v>
      </c>
      <c r="C32" s="57" t="s">
        <v>1080</v>
      </c>
      <c r="D32" s="56"/>
      <c r="E32" s="102" t="str">
        <f>IF(OR(TranslatemoduleName="[Name - FR]",TranslatemoduleName="[Name - ES]"),"",IF(InterventionsTranslate="[Name]","",InterventionsTranslate))</f>
        <v>Vertiente 1: Prevención primaria de la infección por el VIH en mujeres en edad fecunda</v>
      </c>
      <c r="F32" s="56" t="s">
        <v>1223</v>
      </c>
      <c r="G32" s="57" t="s">
        <v>1224</v>
      </c>
      <c r="H32" s="56"/>
      <c r="I32" s="56" t="s">
        <v>1225</v>
      </c>
      <c r="J32" s="56" t="s">
        <v>1226</v>
      </c>
      <c r="K32" s="59" t="s">
        <v>1227</v>
      </c>
      <c r="L32" s="102" t="str">
        <f t="shared" si="0"/>
        <v>MCI-00689</v>
      </c>
      <c r="M32" s="102" t="str">
        <f>IFERROR(LOOKUP(2,1/(COUNTIF($M$10:M31,$E$12:$E$249)=0),$E$12:$E$249),IF($M$12=M31,"",IF(M31&lt;&gt;"",$M$12,"")))</f>
        <v>Trabajadores de salud comunitarios: remuneración y despliegue</v>
      </c>
      <c r="N32" s="102" t="b">
        <v>1</v>
      </c>
    </row>
    <row r="33" spans="2:14" x14ac:dyDescent="0.35">
      <c r="B33" s="59" t="s">
        <v>334</v>
      </c>
      <c r="C33" s="57" t="s">
        <v>1080</v>
      </c>
      <c r="D33" s="56"/>
      <c r="E33" s="102" t="str">
        <f>IF(OR(TranslatemoduleName="[Name - FR]",TranslatemoduleName="[Name - ES]"),"",IF(InterventionsTranslate="[Name]","",InterventionsTranslate))</f>
        <v>Vertiente 2: Prevención de embarazos no deseados en mujeres que viven con el VIH</v>
      </c>
      <c r="F33" s="56" t="s">
        <v>1228</v>
      </c>
      <c r="G33" s="57" t="s">
        <v>1224</v>
      </c>
      <c r="H33" s="56"/>
      <c r="I33" s="56" t="s">
        <v>1229</v>
      </c>
      <c r="J33" s="56" t="s">
        <v>501</v>
      </c>
      <c r="K33" s="59" t="s">
        <v>1230</v>
      </c>
      <c r="L33" s="102" t="str">
        <f t="shared" si="0"/>
        <v>MCI-00690</v>
      </c>
      <c r="M33" s="102" t="str">
        <f>IFERROR(LOOKUP(2,1/(COUNTIF($M$10:M32,$E$12:$E$249)=0),$E$12:$E$249),IF($M$12=M32,"",IF(M32&lt;&gt;"",$M$12,"")))</f>
        <v>Trabajadores de salud comunitarios: educación y producción</v>
      </c>
      <c r="N33" s="102" t="b">
        <v>1</v>
      </c>
    </row>
    <row r="34" spans="2:14" x14ac:dyDescent="0.35">
      <c r="B34" s="59" t="s">
        <v>340</v>
      </c>
      <c r="C34" s="57" t="s">
        <v>1080</v>
      </c>
      <c r="D34" s="56"/>
      <c r="E34" s="102" t="str">
        <f>IF(OR(TranslatemoduleName="[Name - FR]",TranslatemoduleName="[Name - ES]"),"",IF(InterventionsTranslate="[Name]","",InterventionsTranslate))</f>
        <v>Vertiente 4: Tratamiento, atención y apoyo para madres que viven con el VIH, así como para sus hijos y familias</v>
      </c>
      <c r="F34" s="56" t="s">
        <v>1231</v>
      </c>
      <c r="G34" s="57" t="s">
        <v>1224</v>
      </c>
      <c r="H34" s="56"/>
      <c r="I34" s="56" t="s">
        <v>1232</v>
      </c>
      <c r="J34" s="56" t="s">
        <v>1233</v>
      </c>
      <c r="K34" s="59" t="s">
        <v>1234</v>
      </c>
      <c r="L34" s="102" t="str">
        <f t="shared" si="0"/>
        <v>MCI-00692</v>
      </c>
      <c r="M34" s="102" t="str">
        <f>IFERROR(LOOKUP(2,1/(COUNTIF($M$10:M33,$E$12:$E$249)=0),$E$12:$E$249),IF($M$12=M33,"",IF(M33&lt;&gt;"",$M$12,"")))</f>
        <v>Política y gobernanza de Recursos Humanos de Salud</v>
      </c>
      <c r="N34" s="102" t="b">
        <v>1</v>
      </c>
    </row>
    <row r="35" spans="2:14" x14ac:dyDescent="0.35">
      <c r="B35" s="59" t="s">
        <v>337</v>
      </c>
      <c r="C35" s="57" t="s">
        <v>1080</v>
      </c>
      <c r="D35" s="56"/>
      <c r="E35" s="102" t="str">
        <f>IF(OR(TranslatemoduleName="[Name - FR]",TranslatemoduleName="[Name - ES]"),"",IF(InterventionsTranslate="[Name]","",InterventionsTranslate))</f>
        <v>Vertiente 3: Prevención de la transmisión vertical del VIH</v>
      </c>
      <c r="F35" s="56" t="s">
        <v>1235</v>
      </c>
      <c r="G35" s="57" t="s">
        <v>1224</v>
      </c>
      <c r="H35" s="56"/>
      <c r="I35" s="56" t="s">
        <v>1236</v>
      </c>
      <c r="J35" s="56" t="s">
        <v>1237</v>
      </c>
      <c r="K35" s="59" t="s">
        <v>1238</v>
      </c>
      <c r="L35" s="102" t="str">
        <f t="shared" si="0"/>
        <v>MCI-00691</v>
      </c>
      <c r="M35" s="102" t="str">
        <f>IFERROR(LOOKUP(2,1/(COUNTIF($M$10:M34,$E$12:$E$249)=0),$E$12:$E$249),IF($M$12=M34,"",IF(M34&lt;&gt;"",$M$12,"")))</f>
        <v>Formación durante la prestación de servicios (excepto los trabajadores de  salud comunitarios)</v>
      </c>
      <c r="N35" s="102" t="b">
        <v>1</v>
      </c>
    </row>
    <row r="36" spans="2:14" x14ac:dyDescent="0.35">
      <c r="B36" s="59" t="s">
        <v>1239</v>
      </c>
      <c r="C36" s="57" t="s">
        <v>1083</v>
      </c>
      <c r="D36" s="56"/>
      <c r="E36" s="102" t="str">
        <f>IF(OR(TranslatemoduleName="[Name - FR]",TranslatemoduleName="[Name - ES]"),"",IF(InterventionsTranslate="[Name]","",InterventionsTranslate))</f>
        <v>Pruebas a nivel de establecimientos de salud</v>
      </c>
      <c r="F36" s="56" t="s">
        <v>1240</v>
      </c>
      <c r="G36" s="57" t="s">
        <v>1241</v>
      </c>
      <c r="H36" s="56"/>
      <c r="I36" s="56" t="s">
        <v>1242</v>
      </c>
      <c r="J36" s="56" t="s">
        <v>1243</v>
      </c>
      <c r="K36" s="59" t="s">
        <v>1244</v>
      </c>
      <c r="L36" s="102" t="str">
        <f t="shared" si="0"/>
        <v>MCI-00693</v>
      </c>
      <c r="M36" s="102" t="str">
        <f>IFERROR(LOOKUP(2,1/(COUNTIF($M$10:M35,$E$12:$E$249)=0),$E$12:$E$249),IF($M$12=M35,"",IF(M35&lt;&gt;"",$M$12,"")))</f>
        <v>Remuneración y despliegue de personal nuevo/existente (excepto los trabajadores de la salud comunitarios)</v>
      </c>
      <c r="N36" s="102" t="b">
        <v>1</v>
      </c>
    </row>
    <row r="37" spans="2:14" x14ac:dyDescent="0.35">
      <c r="B37" s="59" t="s">
        <v>1245</v>
      </c>
      <c r="C37" s="57" t="s">
        <v>1083</v>
      </c>
      <c r="D37" s="56"/>
      <c r="E37" s="102" t="str">
        <f>IF(OR(TranslatemoduleName="[Name - FR]",TranslatemoduleName="[Name - ES]"),"",IF(InterventionsTranslate="[Name]","",InterventionsTranslate))</f>
        <v>Pruebas a nivel comunitario</v>
      </c>
      <c r="F37" s="56" t="s">
        <v>1246</v>
      </c>
      <c r="G37" s="57" t="s">
        <v>1241</v>
      </c>
      <c r="H37" s="56"/>
      <c r="I37" s="56" t="s">
        <v>1247</v>
      </c>
      <c r="J37" s="56" t="s">
        <v>1248</v>
      </c>
      <c r="K37" s="59" t="s">
        <v>1249</v>
      </c>
      <c r="L37" s="102" t="str">
        <f t="shared" si="0"/>
        <v>MCI-00694</v>
      </c>
      <c r="M37" s="102" t="str">
        <f>IFERROR(LOOKUP(2,1/(COUNTIF($M$10:M36,$E$12:$E$249)=0),$E$12:$E$249),IF($M$12=M36,"",IF(M36&lt;&gt;"",$M$12,"")))</f>
        <v>Educación y producción de nuevos trabajadores de  salud (excepto los trabajadores de la salud comunitarios)</v>
      </c>
      <c r="N37" s="102" t="b">
        <v>1</v>
      </c>
    </row>
    <row r="38" spans="2:14" x14ac:dyDescent="0.35">
      <c r="B38" s="59" t="s">
        <v>1250</v>
      </c>
      <c r="C38" s="57" t="s">
        <v>1083</v>
      </c>
      <c r="D38" s="56"/>
      <c r="E38" s="102" t="str">
        <f>IF(OR(TranslatemoduleName="[Name - FR]",TranslatemoduleName="[Name - ES]"),"",IF(InterventionsTranslate="[Name]","",InterventionsTranslate))</f>
        <v>Autoprueba (self testing)</v>
      </c>
      <c r="F38" s="56" t="s">
        <v>1251</v>
      </c>
      <c r="G38" s="57" t="s">
        <v>1241</v>
      </c>
      <c r="H38" s="56"/>
      <c r="I38" s="56" t="s">
        <v>1252</v>
      </c>
      <c r="J38" s="56" t="s">
        <v>1253</v>
      </c>
      <c r="K38" s="59" t="s">
        <v>1254</v>
      </c>
      <c r="L38" s="102" t="str">
        <f t="shared" si="0"/>
        <v>MCI-00695</v>
      </c>
      <c r="M38" s="102" t="str">
        <f>IFERROR(LOOKUP(2,1/(COUNTIF($M$10:M37,$E$12:$E$249)=0),$E$12:$E$249),IF($M$12=M37,"",IF(M37&lt;&gt;"",$M$12,"")))</f>
        <v>Registro civil y estadísticas vitales</v>
      </c>
      <c r="N38" s="102" t="b">
        <v>1</v>
      </c>
    </row>
    <row r="39" spans="2:14" x14ac:dyDescent="0.35">
      <c r="B39" s="59" t="s">
        <v>1255</v>
      </c>
      <c r="C39" s="57" t="s">
        <v>1086</v>
      </c>
      <c r="D39" s="56"/>
      <c r="E39" s="102" t="str">
        <f>IF(OR(TranslatemoduleName="[Name - FR]",TranslatemoduleName="[Name - ES]"),"",IF(InterventionsTranslate="[Name]","",InterventionsTranslate))</f>
        <v>Prestación de servicios diferenciados de tratamiento antirretroviral y atención para el VIH</v>
      </c>
      <c r="F39" s="56" t="s">
        <v>1256</v>
      </c>
      <c r="G39" s="57" t="s">
        <v>1257</v>
      </c>
      <c r="H39" s="56"/>
      <c r="I39" s="56" t="s">
        <v>1258</v>
      </c>
      <c r="J39" s="56" t="s">
        <v>1259</v>
      </c>
      <c r="K39" s="59" t="s">
        <v>1260</v>
      </c>
      <c r="L39" s="102" t="str">
        <f t="shared" si="0"/>
        <v>MCI-00696</v>
      </c>
      <c r="M39" s="102" t="str">
        <f>IFERROR(LOOKUP(2,1/(COUNTIF($M$10:M38,$E$12:$E$249)=0),$E$12:$E$249),IF($M$12=M38,"",IF(M38&lt;&gt;"",$M$12,"")))</f>
        <v>Fuentes de los datos financieros y administrativos</v>
      </c>
      <c r="N39" s="102" t="b">
        <v>1</v>
      </c>
    </row>
    <row r="40" spans="2:14" x14ac:dyDescent="0.35">
      <c r="B40" s="59" t="s">
        <v>1261</v>
      </c>
      <c r="C40" s="57" t="s">
        <v>1086</v>
      </c>
      <c r="D40" s="56"/>
      <c r="E40" s="102" t="str">
        <f>IF(OR(TranslatemoduleName="[Name - FR]",TranslatemoduleName="[Name - ES]"),"",IF(InterventionsTranslate="[Name]","",InterventionsTranslate))</f>
        <v>Seguimiento del tratamiento: farmacorresistencia</v>
      </c>
      <c r="F40" s="56" t="s">
        <v>1262</v>
      </c>
      <c r="G40" s="57" t="s">
        <v>1257</v>
      </c>
      <c r="H40" s="56"/>
      <c r="I40" s="56" t="s">
        <v>1263</v>
      </c>
      <c r="J40" s="56" t="s">
        <v>1264</v>
      </c>
      <c r="K40" s="59" t="s">
        <v>1265</v>
      </c>
      <c r="L40" s="102" t="str">
        <f t="shared" si="0"/>
        <v>MCI-00697</v>
      </c>
      <c r="M40" s="102" t="str">
        <f>IFERROR(LOOKUP(2,1/(COUNTIF($M$10:M39,$E$12:$E$249)=0),$E$12:$E$249),IF($M$12=M39,"",IF(M39&lt;&gt;"",$M$12,"")))</f>
        <v>Encuestas</v>
      </c>
      <c r="N40" s="102" t="b">
        <v>1</v>
      </c>
    </row>
    <row r="41" spans="2:14" x14ac:dyDescent="0.35">
      <c r="B41" s="59" t="s">
        <v>1266</v>
      </c>
      <c r="C41" s="57" t="s">
        <v>1086</v>
      </c>
      <c r="D41" s="56"/>
      <c r="E41" s="102" t="str">
        <f>IF(OR(TranslatemoduleName="[Name - FR]",TranslatemoduleName="[Name - ES]"),"",IF(InterventionsTranslate="[Name]","",InterventionsTranslate))</f>
        <v>Seguimiento del tratamiento: toxicidad de la terapia antirretroviral</v>
      </c>
      <c r="F41" s="56" t="s">
        <v>1267</v>
      </c>
      <c r="G41" s="57" t="s">
        <v>1257</v>
      </c>
      <c r="H41" s="56"/>
      <c r="I41" s="56" t="s">
        <v>1268</v>
      </c>
      <c r="J41" s="56" t="s">
        <v>1269</v>
      </c>
      <c r="K41" s="59" t="s">
        <v>1270</v>
      </c>
      <c r="L41" s="102" t="str">
        <f t="shared" si="0"/>
        <v>MCI-00698</v>
      </c>
      <c r="M41" s="102" t="str">
        <f>IFERROR(LOOKUP(2,1/(COUNTIF($M$10:M40,$E$12:$E$249)=0),$E$12:$E$249),IF($M$12=M40,"",IF(M40&lt;&gt;"",$M$12,"")))</f>
        <v>Análisis, evaluaciones, revisión y transparencia</v>
      </c>
      <c r="N41" s="102" t="b">
        <v>1</v>
      </c>
    </row>
    <row r="42" spans="2:14" x14ac:dyDescent="0.35">
      <c r="B42" s="59" t="s">
        <v>1271</v>
      </c>
      <c r="C42" s="57" t="s">
        <v>1086</v>
      </c>
      <c r="D42" s="56"/>
      <c r="E42" s="102" t="str">
        <f>IF(OR(TranslatemoduleName="[Name - FR]",TranslatemoduleName="[Name - ES]"),"",IF(InterventionsTranslate="[Name]","",InterventionsTranslate))</f>
        <v>Seguimiento del tratamiento: carga viral</v>
      </c>
      <c r="F42" s="56" t="s">
        <v>1272</v>
      </c>
      <c r="G42" s="57" t="s">
        <v>1257</v>
      </c>
      <c r="H42" s="56"/>
      <c r="I42" s="56" t="s">
        <v>1273</v>
      </c>
      <c r="J42" s="56" t="s">
        <v>1274</v>
      </c>
      <c r="K42" s="59" t="s">
        <v>1275</v>
      </c>
      <c r="L42" s="102" t="str">
        <f t="shared" si="0"/>
        <v>MCI-00699</v>
      </c>
      <c r="M42" s="102" t="str">
        <f>IFERROR(LOOKUP(2,1/(COUNTIF($M$10:M41,$E$12:$E$249)=0),$E$12:$E$249),IF($M$12=M41,"",IF(M41&lt;&gt;"",$M$12,"")))</f>
        <v>Calidad del programa y los datos</v>
      </c>
      <c r="N42" s="102" t="b">
        <v>1</v>
      </c>
    </row>
    <row r="43" spans="2:14" x14ac:dyDescent="0.35">
      <c r="B43" s="59" t="s">
        <v>1276</v>
      </c>
      <c r="C43" s="57" t="s">
        <v>1086</v>
      </c>
      <c r="D43" s="56"/>
      <c r="E43" s="102" t="str">
        <f>IF(OR(TranslatemoduleName="[Name - FR]",TranslatemoduleName="[Name - ES]"),"",IF(InterventionsTranslate="[Name]","",InterventionsTranslate))</f>
        <v>Prevención y manejo de coinfecciones y comorbilidades (Tratamiento, atención y apoyo)</v>
      </c>
      <c r="F43" s="56" t="s">
        <v>1277</v>
      </c>
      <c r="G43" s="57" t="s">
        <v>1257</v>
      </c>
      <c r="H43" s="56"/>
      <c r="I43" s="56" t="s">
        <v>1278</v>
      </c>
      <c r="J43" s="56" t="s">
        <v>1279</v>
      </c>
      <c r="K43" s="59" t="s">
        <v>1280</v>
      </c>
      <c r="L43" s="102" t="str">
        <f t="shared" si="0"/>
        <v>MCI-00700</v>
      </c>
      <c r="M43" s="102" t="str">
        <f>IFERROR(LOOKUP(2,1/(COUNTIF($M$10:M42,$E$12:$E$249)=0),$E$12:$E$249),IF($M$12=M42,"",IF(M42&lt;&gt;"",$M$12,"")))</f>
        <v>Informes rutinarios</v>
      </c>
      <c r="N43" s="102" t="b">
        <v>1</v>
      </c>
    </row>
    <row r="44" spans="2:14" x14ac:dyDescent="0.35">
      <c r="B44" s="59" t="s">
        <v>367</v>
      </c>
      <c r="C44" s="57" t="s">
        <v>1086</v>
      </c>
      <c r="D44" s="56"/>
      <c r="E44" s="102" t="str">
        <f>IF(OR(TranslatemoduleName="[Name - FR]",TranslatemoduleName="[Name - ES]"),"",IF(InterventionsTranslate="[Name]","",InterventionsTranslate))</f>
        <v>Consejería y apoyo psicosocial</v>
      </c>
      <c r="F44" s="56" t="s">
        <v>1281</v>
      </c>
      <c r="G44" s="57" t="s">
        <v>1257</v>
      </c>
      <c r="H44" s="56"/>
      <c r="I44" s="56" t="s">
        <v>1282</v>
      </c>
      <c r="J44" s="56" t="s">
        <v>1283</v>
      </c>
      <c r="K44" s="59" t="s">
        <v>1284</v>
      </c>
      <c r="L44" s="102" t="str">
        <f t="shared" si="0"/>
        <v>MCI-00701</v>
      </c>
      <c r="M44" s="102" t="str">
        <f>IFERROR(LOOKUP(2,1/(COUNTIF($M$10:M43,$E$12:$E$249)=0),$E$12:$E$249),IF($M$12=M43,"",IF(M43&lt;&gt;"",$M$12,"")))</f>
        <v>Gestión de los residuos de la atención sanitaria</v>
      </c>
      <c r="N44" s="102" t="b">
        <v>1</v>
      </c>
    </row>
    <row r="45" spans="2:14" x14ac:dyDescent="0.35">
      <c r="B45" s="59" t="s">
        <v>126</v>
      </c>
      <c r="C45" s="57" t="s">
        <v>1086</v>
      </c>
      <c r="D45" s="56"/>
      <c r="E45" s="102" t="str">
        <f>IF(OR(TranslatemoduleName="[Name - FR]",TranslatemoduleName="[Name - ES]"),"",IF(InterventionsTranslate="[Name]","",InterventionsTranslate))</f>
        <v>Paquete para huérfanos y niños vulnerables</v>
      </c>
      <c r="F45" s="56" t="s">
        <v>1285</v>
      </c>
      <c r="G45" s="57" t="s">
        <v>1257</v>
      </c>
      <c r="H45" s="56"/>
      <c r="I45" s="56" t="s">
        <v>1286</v>
      </c>
      <c r="J45" s="56" t="s">
        <v>275</v>
      </c>
      <c r="K45" s="59" t="s">
        <v>1287</v>
      </c>
      <c r="L45" s="102" t="str">
        <f t="shared" si="0"/>
        <v>MCI-00702</v>
      </c>
      <c r="M45" s="102" t="str">
        <f>IFERROR(LOOKUP(2,1/(COUNTIF($M$10:M44,$E$12:$E$249)=0),$E$12:$E$249),IF($M$12=M44,"",IF(M44&lt;&gt;"",$M$12,"")))</f>
        <v>Apoyo regulador/aseguramiento de la calidad</v>
      </c>
      <c r="N45" s="102" t="b">
        <v>1</v>
      </c>
    </row>
    <row r="46" spans="2:14" x14ac:dyDescent="0.35">
      <c r="B46" s="59" t="s">
        <v>1288</v>
      </c>
      <c r="C46" s="57" t="s">
        <v>1088</v>
      </c>
      <c r="D46" s="56"/>
      <c r="E46" s="102" t="str">
        <f>IF(OR(TranslatemoduleName="[Name - FR]",TranslatemoduleName="[Name - ES]"),"",IF(InterventionsTranslate="[Name]","",InterventionsTranslate))</f>
        <v>Reducción del estigma y la discriminación (VIH/TB)</v>
      </c>
      <c r="F46" s="56" t="s">
        <v>1289</v>
      </c>
      <c r="G46" s="57" t="s">
        <v>1290</v>
      </c>
      <c r="H46" s="56"/>
      <c r="I46" s="56" t="s">
        <v>1291</v>
      </c>
      <c r="J46" s="56" t="s">
        <v>1292</v>
      </c>
      <c r="K46" s="59" t="s">
        <v>1293</v>
      </c>
      <c r="L46" s="102" t="str">
        <f t="shared" si="0"/>
        <v>MCI-00703</v>
      </c>
      <c r="M46" s="102" t="str">
        <f>IFERROR(LOOKUP(2,1/(COUNTIF($M$10:M45,$E$12:$E$249)=0),$E$12:$E$249),IF($M$12=M45,"",IF(M45&lt;&gt;"",$M$12,"")))</f>
        <v>Capacidad de adquisición</v>
      </c>
      <c r="N46" s="102" t="b">
        <v>1</v>
      </c>
    </row>
    <row r="47" spans="2:14" x14ac:dyDescent="0.35">
      <c r="B47" s="59" t="s">
        <v>1294</v>
      </c>
      <c r="C47" s="57" t="s">
        <v>1088</v>
      </c>
      <c r="D47" s="56"/>
      <c r="E47" s="102" t="str">
        <f>IF(OR(TranslatemoduleName="[Name - FR]",TranslatemoduleName="[Name - ES]"),"",IF(InterventionsTranslate="[Name]","",InterventionsTranslate))</f>
        <v>Conocimientos jurídicos («Conoce tus derechos»)</v>
      </c>
      <c r="F47" s="56" t="s">
        <v>1295</v>
      </c>
      <c r="G47" s="57" t="s">
        <v>1290</v>
      </c>
      <c r="H47" s="56"/>
      <c r="I47" s="56" t="s">
        <v>1296</v>
      </c>
      <c r="J47" s="56" t="s">
        <v>1297</v>
      </c>
      <c r="K47" s="59" t="s">
        <v>1298</v>
      </c>
      <c r="L47" s="102" t="str">
        <f t="shared" si="0"/>
        <v>MCI-00704</v>
      </c>
      <c r="M47" s="102" t="str">
        <f>IFERROR(LOOKUP(2,1/(COUNTIF($M$10:M46,$E$12:$E$249)=0),$E$12:$E$249),IF($M$12=M46,"",IF(M46&lt;&gt;"",$M$12,"")))</f>
        <v>Capacidad de almacenamiento y distribución</v>
      </c>
      <c r="N47" s="102" t="b">
        <v>1</v>
      </c>
    </row>
    <row r="48" spans="2:14" x14ac:dyDescent="0.35">
      <c r="B48" s="59" t="s">
        <v>1299</v>
      </c>
      <c r="C48" s="57" t="s">
        <v>1088</v>
      </c>
      <c r="D48" s="56"/>
      <c r="E48" s="102" t="str">
        <f>IF(OR(TranslatemoduleName="[Name - FR]",TranslatemoduleName="[Name - ES]"),"",IF(InterventionsTranslate="[Name]","",InterventionsTranslate))</f>
        <v>Derechos humanos y ética médica en relación con el VIH y la tuberculosis y el VIH para personal sanitario</v>
      </c>
      <c r="F48" s="56" t="s">
        <v>1300</v>
      </c>
      <c r="G48" s="57" t="s">
        <v>1290</v>
      </c>
      <c r="H48" s="56"/>
      <c r="I48" s="56" t="s">
        <v>1301</v>
      </c>
      <c r="J48" s="56" t="s">
        <v>1302</v>
      </c>
      <c r="K48" s="59" t="s">
        <v>1303</v>
      </c>
      <c r="L48" s="102" t="str">
        <f t="shared" si="0"/>
        <v>MCI-00705</v>
      </c>
      <c r="M48" s="102" t="str">
        <f>IFERROR(LOOKUP(2,1/(COUNTIF($M$10:M47,$E$12:$E$249)=0),$E$12:$E$249),IF($M$12=M47,"",IF(M47&lt;&gt;"",$M$12,"")))</f>
        <v>Política, estrategia, gobernanza</v>
      </c>
      <c r="N48" s="102" t="b">
        <v>1</v>
      </c>
    </row>
    <row r="49" spans="2:14" x14ac:dyDescent="0.35">
      <c r="B49" s="59" t="s">
        <v>406</v>
      </c>
      <c r="C49" s="57" t="s">
        <v>1088</v>
      </c>
      <c r="D49" s="56"/>
      <c r="E49" s="102" t="str">
        <f>IF(OR(TranslatemoduleName="[Name - FR]",TranslatemoduleName="[Name - ES]"),"",IF(InterventionsTranslate="[Name]","",InterventionsTranslate))</f>
        <v>Servicios jurídicos relacionados con el VIH y la TB/VIH</v>
      </c>
      <c r="F49" s="56" t="s">
        <v>1304</v>
      </c>
      <c r="G49" s="57" t="s">
        <v>1290</v>
      </c>
      <c r="H49" s="56"/>
      <c r="I49" s="56" t="s">
        <v>572</v>
      </c>
      <c r="J49" s="56" t="s">
        <v>1305</v>
      </c>
      <c r="K49" s="59" t="s">
        <v>1306</v>
      </c>
      <c r="L49" s="102" t="str">
        <f t="shared" si="0"/>
        <v>MCI-00706</v>
      </c>
      <c r="M49" s="102" t="str">
        <f>IFERROR(LOOKUP(2,1/(COUNTIF($M$10:M48,$E$12:$E$249)=0),$E$12:$E$249),IF($M$12=M48,"",IF(M48&lt;&gt;"",$M$12,"")))</f>
        <v>Gestión de subvenciones</v>
      </c>
      <c r="N49" s="102" t="b">
        <v>1</v>
      </c>
    </row>
    <row r="50" spans="2:14" x14ac:dyDescent="0.35">
      <c r="B50" s="59" t="s">
        <v>1307</v>
      </c>
      <c r="C50" s="57" t="s">
        <v>1088</v>
      </c>
      <c r="D50" s="56"/>
      <c r="E50" s="102" t="str">
        <f>IF(OR(TranslatemoduleName="[Name - FR]",TranslatemoduleName="[Name - ES]"),"",IF(InterventionsTranslate="[Name]","",InterventionsTranslate))</f>
        <v>Sensibilización de los cuerpos de seguridad y cuerpos de seguridad</v>
      </c>
      <c r="F50" s="56" t="s">
        <v>1308</v>
      </c>
      <c r="G50" s="57" t="s">
        <v>1290</v>
      </c>
      <c r="H50" s="56"/>
      <c r="I50" s="56" t="s">
        <v>1309</v>
      </c>
      <c r="J50" s="56" t="s">
        <v>1310</v>
      </c>
      <c r="K50" s="59" t="s">
        <v>1311</v>
      </c>
      <c r="L50" s="102" t="str">
        <f t="shared" si="0"/>
        <v>MCI-00707</v>
      </c>
      <c r="M50" s="102" t="str">
        <f>IFERROR(LOOKUP(2,1/(COUNTIF($M$10:M49,$E$12:$E$249)=0),$E$12:$E$249),IF($M$12=M49,"",IF(M49&lt;&gt;"",$M$12,"")))</f>
        <v>Coordinación y gestión de los programas nacionales de control de enfermedades</v>
      </c>
      <c r="N50" s="102" t="b">
        <v>1</v>
      </c>
    </row>
    <row r="51" spans="2:14" x14ac:dyDescent="0.35">
      <c r="B51" s="59" t="s">
        <v>412</v>
      </c>
      <c r="C51" s="57" t="s">
        <v>1088</v>
      </c>
      <c r="D51" s="56"/>
      <c r="E51" s="102" t="str">
        <f>IF(OR(TranslatemoduleName="[Name - FR]",TranslatemoduleName="[Name - ES]"),"",IF(InterventionsTranslate="[Name]","",InterventionsTranslate))</f>
        <v>Mejora de leyes, reglamentos y políticas relacionadas con el VIH y la TB/VIH</v>
      </c>
      <c r="F51" s="56" t="s">
        <v>1312</v>
      </c>
      <c r="G51" s="57" t="s">
        <v>1290</v>
      </c>
      <c r="H51" s="56"/>
      <c r="I51" s="56" t="s">
        <v>1313</v>
      </c>
      <c r="J51" s="56" t="s">
        <v>1314</v>
      </c>
      <c r="K51" s="59" t="s">
        <v>1315</v>
      </c>
      <c r="L51" s="102" t="str">
        <f t="shared" si="0"/>
        <v>MCI-00708</v>
      </c>
      <c r="M51" s="102" t="str">
        <f>IFERROR(LOOKUP(2,1/(COUNTIF($M$10:M50,$E$12:$E$249)=0),$E$12:$E$249),IF($M$12=M50,"",IF(M50&lt;&gt;"",$M$12,"")))</f>
        <v>Actividades de colaboración con otros programas y sectores (TB/VIH)</v>
      </c>
      <c r="N51" s="102" t="b">
        <v>1</v>
      </c>
    </row>
    <row r="52" spans="2:14" x14ac:dyDescent="0.35">
      <c r="B52" s="59" t="s">
        <v>1316</v>
      </c>
      <c r="C52" s="57" t="s">
        <v>1088</v>
      </c>
      <c r="D52" s="56"/>
      <c r="E52" s="102" t="str">
        <f>IF(OR(TranslatemoduleName="[Name - FR]",TranslatemoduleName="[Name - ES]"),"",IF(InterventionsTranslate="[Name]","",InterventionsTranslate))</f>
        <v>Movilización y promoción comunitarias (VIH/TB)</v>
      </c>
      <c r="F52" s="56" t="s">
        <v>1317</v>
      </c>
      <c r="G52" s="57" t="s">
        <v>1290</v>
      </c>
      <c r="H52" s="56"/>
      <c r="I52" s="56" t="s">
        <v>1318</v>
      </c>
      <c r="J52" s="56" t="s">
        <v>1319</v>
      </c>
      <c r="K52" s="59" t="s">
        <v>1320</v>
      </c>
      <c r="L52" s="102" t="str">
        <f t="shared" si="0"/>
        <v>MCI-00710</v>
      </c>
      <c r="M52" s="102" t="str">
        <f>IFERROR(LOOKUP(2,1/(COUNTIF($M$10:M51,$E$12:$E$249)=0),$E$12:$E$249),IF($M$12=M51,"",IF(M51&lt;&gt;"",$M$12,"")))</f>
        <v>Poblaciones clave (TB/VIH): otros</v>
      </c>
      <c r="N52" s="102" t="b">
        <v>1</v>
      </c>
    </row>
    <row r="53" spans="2:14" x14ac:dyDescent="0.35">
      <c r="B53" s="59" t="s">
        <v>415</v>
      </c>
      <c r="C53" s="57" t="s">
        <v>1088</v>
      </c>
      <c r="D53" s="56"/>
      <c r="E53" s="102" t="str">
        <f>IF(OR(TranslatemoduleName="[Name - FR]",TranslatemoduleName="[Name - ES]"),"",IF(InterventionsTranslate="[Name]","",InterventionsTranslate))</f>
        <v>Reducción de la discriminación de género relacionada con el VIH, las normas de género perjudiciales y la violencia contra las mujeres y las niñas en toda su diversidad</v>
      </c>
      <c r="F53" s="56" t="s">
        <v>1321</v>
      </c>
      <c r="G53" s="57" t="s">
        <v>1290</v>
      </c>
      <c r="H53" s="56"/>
      <c r="I53" s="56" t="s">
        <v>1322</v>
      </c>
      <c r="J53" s="56" t="s">
        <v>1323</v>
      </c>
      <c r="K53" s="59" t="s">
        <v>1324</v>
      </c>
      <c r="L53" s="102" t="str">
        <f t="shared" si="0"/>
        <v>MCI-00709</v>
      </c>
      <c r="M53" s="102" t="str">
        <f>IFERROR(LOOKUP(2,1/(COUNTIF($M$10:M52,$E$12:$E$249)=0),$E$12:$E$249),IF($M$12=M52,"",IF(M52&lt;&gt;"",$M$12,"")))</f>
        <v>Poblaciones clave (TB/VIH): mineros y comunidades mineras</v>
      </c>
      <c r="N53" s="102" t="b">
        <v>1</v>
      </c>
    </row>
    <row r="54" spans="2:14" x14ac:dyDescent="0.35">
      <c r="B54" s="59" t="s">
        <v>373</v>
      </c>
      <c r="C54" s="57" t="s">
        <v>1091</v>
      </c>
      <c r="D54" s="56"/>
      <c r="E54" s="102" t="str">
        <f>IF(OR(TranslatemoduleName="[Name - FR]",TranslatemoduleName="[Name - ES]"),"",IF(InterventionsTranslate="[Name]","",InterventionsTranslate))</f>
        <v>Actividades de colaboración en materia de TB/VIH</v>
      </c>
      <c r="F54" s="56" t="s">
        <v>1325</v>
      </c>
      <c r="G54" s="57" t="s">
        <v>1326</v>
      </c>
      <c r="H54" s="56"/>
      <c r="I54" s="56" t="s">
        <v>1327</v>
      </c>
      <c r="J54" s="56" t="s">
        <v>1328</v>
      </c>
      <c r="K54" s="59" t="s">
        <v>1329</v>
      </c>
      <c r="L54" s="102" t="str">
        <f t="shared" si="0"/>
        <v>MCI-00738</v>
      </c>
      <c r="M54" s="102" t="str">
        <f>IFERROR(LOOKUP(2,1/(COUNTIF($M$10:M53,$E$12:$E$249)=0),$E$12:$E$249),IF($M$12=M53,"",IF(M53&lt;&gt;"",$M$12,"")))</f>
        <v>Poblaciones clave (TB/VIH): poblaciones móviles (refugiados, migrantes y personas desplazadas internamente)</v>
      </c>
      <c r="N54" s="102" t="b">
        <v>1</v>
      </c>
    </row>
    <row r="55" spans="2:14" x14ac:dyDescent="0.35">
      <c r="B55" s="59" t="s">
        <v>1330</v>
      </c>
      <c r="C55" s="57" t="s">
        <v>1091</v>
      </c>
      <c r="D55" s="56"/>
      <c r="E55" s="102" t="str">
        <f>IF(OR(TranslatemoduleName="[Name - FR]",TranslatemoduleName="[Name - ES]"),"",IF(InterventionsTranslate="[Name]","",InterventionsTranslate))</f>
        <v>Tamizaje, prueba y diagnóstico</v>
      </c>
      <c r="F55" s="56" t="s">
        <v>1331</v>
      </c>
      <c r="G55" s="57" t="s">
        <v>1326</v>
      </c>
      <c r="H55" s="56"/>
      <c r="I55" s="56" t="s">
        <v>1332</v>
      </c>
      <c r="J55" s="56" t="s">
        <v>1333</v>
      </c>
      <c r="K55" s="59" t="s">
        <v>1334</v>
      </c>
      <c r="L55" s="102" t="str">
        <f t="shared" si="0"/>
        <v>MCI-00739</v>
      </c>
      <c r="M55" s="102" t="str">
        <f>IFERROR(LOOKUP(2,1/(COUNTIF($M$10:M54,$E$12:$E$249)=0),$E$12:$E$249),IF($M$12=M54,"",IF(M54&lt;&gt;"",$M$12,"")))</f>
        <v>Poblaciones clave (TB/VIH): personas privadas de libertad</v>
      </c>
      <c r="N55" s="102" t="b">
        <v>1</v>
      </c>
    </row>
    <row r="56" spans="2:14" x14ac:dyDescent="0.35">
      <c r="B56" s="59" t="s">
        <v>1335</v>
      </c>
      <c r="C56" s="57" t="s">
        <v>1091</v>
      </c>
      <c r="D56" s="56"/>
      <c r="E56" s="102" t="str">
        <f>IF(OR(TranslatemoduleName="[Name - FR]",TranslatemoduleName="[Name - ES]"),"",IF(InterventionsTranslate="[Name]","",InterventionsTranslate))</f>
        <v>Tratamiento (TB/VIH)</v>
      </c>
      <c r="F56" s="56" t="s">
        <v>1336</v>
      </c>
      <c r="G56" s="57" t="s">
        <v>1326</v>
      </c>
      <c r="H56" s="56"/>
      <c r="I56" s="56" t="s">
        <v>1337</v>
      </c>
      <c r="J56" s="56" t="s">
        <v>1338</v>
      </c>
      <c r="K56" s="59" t="s">
        <v>1339</v>
      </c>
      <c r="L56" s="102" t="str">
        <f t="shared" si="0"/>
        <v>MCI-00740</v>
      </c>
      <c r="M56" s="102" t="str">
        <f>IFERROR(LOOKUP(2,1/(COUNTIF($M$10:M55,$E$12:$E$249)=0),$E$12:$E$249),IF($M$12=M55,"",IF(M55&lt;&gt;"",$M$12,"")))</f>
        <v>Poblaciones clave (TB/VIH): niños</v>
      </c>
      <c r="N56" s="102" t="b">
        <v>1</v>
      </c>
    </row>
    <row r="57" spans="2:14" x14ac:dyDescent="0.35">
      <c r="B57" s="59" t="s">
        <v>1340</v>
      </c>
      <c r="C57" s="57" t="s">
        <v>1091</v>
      </c>
      <c r="D57" s="56"/>
      <c r="E57" s="102" t="str">
        <f>IF(OR(TranslatemoduleName="[Name - FR]",TranslatemoduleName="[Name - ES]"),"",IF(InterventionsTranslate="[Name]","",InterventionsTranslate))</f>
        <v>Prevención (TB/VIH)</v>
      </c>
      <c r="F57" s="56" t="s">
        <v>1341</v>
      </c>
      <c r="G57" s="57" t="s">
        <v>1326</v>
      </c>
      <c r="H57" s="56"/>
      <c r="I57" s="56" t="s">
        <v>1342</v>
      </c>
      <c r="J57" s="56" t="s">
        <v>1343</v>
      </c>
      <c r="K57" s="59" t="s">
        <v>1344</v>
      </c>
      <c r="L57" s="102" t="str">
        <f t="shared" si="0"/>
        <v>MCI-00741</v>
      </c>
      <c r="M57" s="102" t="str">
        <f>IFERROR(LOOKUP(2,1/(COUNTIF($M$10:M56,$E$12:$E$249)=0),$E$12:$E$249),IF($M$12=M56,"",IF(M56&lt;&gt;"",$M$12,"")))</f>
        <v>Prestación de servicios comunitarios de TB/VIH</v>
      </c>
      <c r="N57" s="102" t="b">
        <v>1</v>
      </c>
    </row>
    <row r="58" spans="2:14" x14ac:dyDescent="0.35">
      <c r="B58" s="59" t="s">
        <v>376</v>
      </c>
      <c r="C58" s="57" t="s">
        <v>1091</v>
      </c>
      <c r="D58" s="56"/>
      <c r="E58" s="102" t="str">
        <f>IF(OR(TranslatemoduleName="[Name - FR]",TranslatemoduleName="[Name - ES]"),"",IF(InterventionsTranslate="[Name]","",InterventionsTranslate))</f>
        <v>Involucramiento de todos los proveedores de salud (TB/VIH)</v>
      </c>
      <c r="F58" s="56" t="s">
        <v>1345</v>
      </c>
      <c r="G58" s="57" t="s">
        <v>1326</v>
      </c>
      <c r="H58" s="56"/>
      <c r="I58" s="56" t="s">
        <v>1346</v>
      </c>
      <c r="J58" s="56" t="s">
        <v>1347</v>
      </c>
      <c r="K58" s="59" t="s">
        <v>1348</v>
      </c>
      <c r="L58" s="102" t="str">
        <f t="shared" si="0"/>
        <v>MCI-00742</v>
      </c>
      <c r="M58" s="102" t="str">
        <f>IFERROR(LOOKUP(2,1/(COUNTIF($M$10:M57,$E$12:$E$249)=0),$E$12:$E$249),IF($M$12=M57,"",IF(M57&lt;&gt;"",$M$12,"")))</f>
        <v>Involucramiento de todos los proveedores de salud (TB/VIH)</v>
      </c>
      <c r="N58" s="102" t="b">
        <v>1</v>
      </c>
    </row>
    <row r="59" spans="2:14" x14ac:dyDescent="0.35">
      <c r="B59" s="59" t="s">
        <v>379</v>
      </c>
      <c r="C59" s="57" t="s">
        <v>1091</v>
      </c>
      <c r="D59" s="56"/>
      <c r="E59" s="102" t="str">
        <f>IF(OR(TranslatemoduleName="[Name - FR]",TranslatemoduleName="[Name - ES]"),"",IF(InterventionsTranslate="[Name]","",InterventionsTranslate))</f>
        <v>Prestación de servicios comunitarios de TB/VIH</v>
      </c>
      <c r="F59" s="56" t="s">
        <v>1349</v>
      </c>
      <c r="G59" s="57" t="s">
        <v>1326</v>
      </c>
      <c r="H59" s="56"/>
      <c r="I59" s="56" t="s">
        <v>1350</v>
      </c>
      <c r="J59" s="56" t="s">
        <v>1351</v>
      </c>
      <c r="K59" s="59" t="s">
        <v>1352</v>
      </c>
      <c r="L59" s="102" t="str">
        <f t="shared" si="0"/>
        <v>MCI-00743</v>
      </c>
      <c r="M59" s="102" t="str">
        <f>IFERROR(LOOKUP(2,1/(COUNTIF($M$10:M58,$E$12:$E$249)=0),$E$12:$E$249),IF($M$12=M58,"",IF(M58&lt;&gt;"",$M$12,"")))</f>
        <v>Prevención (TB/VIH)</v>
      </c>
      <c r="N59" s="102" t="b">
        <v>1</v>
      </c>
    </row>
    <row r="60" spans="2:14" x14ac:dyDescent="0.35">
      <c r="B60" s="59" t="s">
        <v>1353</v>
      </c>
      <c r="C60" s="57" t="s">
        <v>1091</v>
      </c>
      <c r="D60" s="56"/>
      <c r="E60" s="102" t="str">
        <f>IF(OR(TranslatemoduleName="[Name - FR]",TranslatemoduleName="[Name - ES]"),"",IF(InterventionsTranslate="[Name]","",InterventionsTranslate))</f>
        <v>Poblaciones clave (TB/VIH): niños</v>
      </c>
      <c r="F60" s="56" t="s">
        <v>1354</v>
      </c>
      <c r="G60" s="57" t="s">
        <v>1326</v>
      </c>
      <c r="H60" s="56"/>
      <c r="I60" s="56" t="s">
        <v>1355</v>
      </c>
      <c r="J60" s="56" t="s">
        <v>1356</v>
      </c>
      <c r="K60" s="59" t="s">
        <v>1357</v>
      </c>
      <c r="L60" s="102" t="str">
        <f t="shared" si="0"/>
        <v>MCI-00744</v>
      </c>
      <c r="M60" s="102" t="str">
        <f>IFERROR(LOOKUP(2,1/(COUNTIF($M$10:M59,$E$12:$E$249)=0),$E$12:$E$249),IF($M$12=M59,"",IF(M59&lt;&gt;"",$M$12,"")))</f>
        <v>Tratamiento (TB/VIH)</v>
      </c>
      <c r="N60" s="102" t="b">
        <v>1</v>
      </c>
    </row>
    <row r="61" spans="2:14" x14ac:dyDescent="0.35">
      <c r="B61" s="59" t="s">
        <v>1358</v>
      </c>
      <c r="C61" s="57" t="s">
        <v>1091</v>
      </c>
      <c r="D61" s="56"/>
      <c r="E61" s="102" t="str">
        <f>IF(OR(TranslatemoduleName="[Name - FR]",TranslatemoduleName="[Name - ES]"),"",IF(InterventionsTranslate="[Name]","",InterventionsTranslate))</f>
        <v>Poblaciones clave (TB/VIH): personas privadas de libertad</v>
      </c>
      <c r="F61" s="56" t="s">
        <v>1359</v>
      </c>
      <c r="G61" s="57" t="s">
        <v>1326</v>
      </c>
      <c r="H61" s="56"/>
      <c r="I61" s="56" t="s">
        <v>1360</v>
      </c>
      <c r="J61" s="56" t="s">
        <v>1361</v>
      </c>
      <c r="K61" s="59" t="s">
        <v>1362</v>
      </c>
      <c r="L61" s="102" t="str">
        <f t="shared" si="0"/>
        <v>MCI-00745</v>
      </c>
      <c r="M61" s="102" t="str">
        <f>IFERROR(LOOKUP(2,1/(COUNTIF($M$10:M60,$E$12:$E$249)=0),$E$12:$E$249),IF($M$12=M60,"",IF(M60&lt;&gt;"",$M$12,"")))</f>
        <v>Tamizaje, prueba y diagnóstico</v>
      </c>
      <c r="N61" s="102" t="b">
        <v>1</v>
      </c>
    </row>
    <row r="62" spans="2:14" x14ac:dyDescent="0.35">
      <c r="B62" s="59" t="s">
        <v>1363</v>
      </c>
      <c r="C62" s="57" t="s">
        <v>1091</v>
      </c>
      <c r="D62" s="56"/>
      <c r="E62" s="102" t="str">
        <f>IF(OR(TranslatemoduleName="[Name - FR]",TranslatemoduleName="[Name - ES]"),"",IF(InterventionsTranslate="[Name]","",InterventionsTranslate))</f>
        <v>Poblaciones clave (TB/VIH): poblaciones móviles (refugiados, migrantes y personas desplazadas internamente)</v>
      </c>
      <c r="F62" s="56" t="s">
        <v>1364</v>
      </c>
      <c r="G62" s="57" t="s">
        <v>1326</v>
      </c>
      <c r="H62" s="56"/>
      <c r="I62" s="56" t="s">
        <v>1365</v>
      </c>
      <c r="J62" s="56" t="s">
        <v>1366</v>
      </c>
      <c r="K62" s="59" t="s">
        <v>1367</v>
      </c>
      <c r="L62" s="102" t="str">
        <f t="shared" si="0"/>
        <v>MCI-00746</v>
      </c>
      <c r="M62" s="102" t="str">
        <f>IFERROR(LOOKUP(2,1/(COUNTIF($M$10:M61,$E$12:$E$249)=0),$E$12:$E$249),IF($M$12=M61,"",IF(M61&lt;&gt;"",$M$12,"")))</f>
        <v>Actividades de colaboración en materia de TB/VIH</v>
      </c>
      <c r="N62" s="102" t="b">
        <v>1</v>
      </c>
    </row>
    <row r="63" spans="2:14" x14ac:dyDescent="0.35">
      <c r="B63" s="59" t="s">
        <v>1368</v>
      </c>
      <c r="C63" s="57" t="s">
        <v>1091</v>
      </c>
      <c r="D63" s="56"/>
      <c r="E63" s="102" t="str">
        <f>IF(OR(TranslatemoduleName="[Name - FR]",TranslatemoduleName="[Name - ES]"),"",IF(InterventionsTranslate="[Name]","",InterventionsTranslate))</f>
        <v>Poblaciones clave (TB/VIH): mineros y comunidades mineras</v>
      </c>
      <c r="F63" s="56" t="s">
        <v>1369</v>
      </c>
      <c r="G63" s="57" t="s">
        <v>1326</v>
      </c>
      <c r="H63" s="56"/>
      <c r="I63" s="56" t="s">
        <v>1370</v>
      </c>
      <c r="J63" s="56" t="s">
        <v>1371</v>
      </c>
      <c r="K63" s="59" t="s">
        <v>1372</v>
      </c>
      <c r="L63" s="102" t="str">
        <f t="shared" si="0"/>
        <v>MCI-00747</v>
      </c>
      <c r="M63" s="102" t="str">
        <f>IFERROR(LOOKUP(2,1/(COUNTIF($M$10:M62,$E$12:$E$249)=0),$E$12:$E$249),IF($M$12=M62,"",IF(M62&lt;&gt;"",$M$12,"")))</f>
        <v>Reducción de la discriminación de género relacionada con el VIH, las normas de género perjudiciales y la violencia contra las mujeres y las niñas en toda su diversidad</v>
      </c>
      <c r="N63" s="102" t="b">
        <v>1</v>
      </c>
    </row>
    <row r="64" spans="2:14" x14ac:dyDescent="0.35">
      <c r="B64" s="59" t="s">
        <v>1373</v>
      </c>
      <c r="C64" s="57" t="s">
        <v>1091</v>
      </c>
      <c r="D64" s="56"/>
      <c r="E64" s="102" t="str">
        <f>IF(OR(TranslatemoduleName="[Name - FR]",TranslatemoduleName="[Name - ES]"),"",IF(InterventionsTranslate="[Name]","",InterventionsTranslate))</f>
        <v>Poblaciones clave (TB/VIH): otros</v>
      </c>
      <c r="F64" s="56" t="s">
        <v>1374</v>
      </c>
      <c r="G64" s="57" t="s">
        <v>1326</v>
      </c>
      <c r="H64" s="56"/>
      <c r="I64" s="56" t="s">
        <v>1375</v>
      </c>
      <c r="J64" s="56" t="s">
        <v>1376</v>
      </c>
      <c r="K64" s="59" t="s">
        <v>1377</v>
      </c>
      <c r="L64" s="102" t="str">
        <f t="shared" si="0"/>
        <v>MCI-00748</v>
      </c>
      <c r="M64" s="102" t="str">
        <f>IFERROR(LOOKUP(2,1/(COUNTIF($M$10:M63,$E$12:$E$249)=0),$E$12:$E$249),IF($M$12=M63,"",IF(M63&lt;&gt;"",$M$12,"")))</f>
        <v>Movilización y promoción comunitarias (VIH/TB)</v>
      </c>
      <c r="N64" s="102" t="b">
        <v>1</v>
      </c>
    </row>
    <row r="65" spans="2:14" x14ac:dyDescent="0.35">
      <c r="B65" s="59" t="s">
        <v>388</v>
      </c>
      <c r="C65" s="57" t="s">
        <v>1091</v>
      </c>
      <c r="D65" s="56"/>
      <c r="E65" s="102" t="str">
        <f>IF(OR(TranslatemoduleName="[Name - FR]",TranslatemoduleName="[Name - ES]"),"",IF(InterventionsTranslate="[Name]","",InterventionsTranslate))</f>
        <v>Actividades de colaboración con otros programas y sectores (TB/VIH)</v>
      </c>
      <c r="F65" s="56" t="s">
        <v>1378</v>
      </c>
      <c r="G65" s="57" t="s">
        <v>1326</v>
      </c>
      <c r="H65" s="56"/>
      <c r="I65" s="56" t="s">
        <v>1379</v>
      </c>
      <c r="J65" s="56" t="s">
        <v>555</v>
      </c>
      <c r="K65" s="59" t="s">
        <v>1380</v>
      </c>
      <c r="L65" s="102" t="str">
        <f t="shared" si="0"/>
        <v>MCI-00749</v>
      </c>
      <c r="M65" s="102" t="str">
        <f>IFERROR(LOOKUP(2,1/(COUNTIF($M$10:M64,$E$12:$E$249)=0),$E$12:$E$249),IF($M$12=M64,"",IF(M64&lt;&gt;"",$M$12,"")))</f>
        <v>Mejora de leyes, reglamentos y políticas relacionadas con el VIH y la TB/VIH</v>
      </c>
      <c r="N65" s="102" t="b">
        <v>1</v>
      </c>
    </row>
    <row r="66" spans="2:14" x14ac:dyDescent="0.35">
      <c r="B66" s="59" t="s">
        <v>1381</v>
      </c>
      <c r="C66" s="57" t="s">
        <v>1093</v>
      </c>
      <c r="D66" s="56"/>
      <c r="E66" s="102" t="str">
        <f>IF(OR(TranslatemoduleName="[Name - FR]",TranslatemoduleName="[Name - ES]"),"",IF(InterventionsTranslate="[Name]","",InterventionsTranslate))</f>
        <v>Coordinación y gestión de los programas nacionales de control de enfermedades</v>
      </c>
      <c r="F66" s="56" t="s">
        <v>1382</v>
      </c>
      <c r="G66" s="57" t="s">
        <v>1383</v>
      </c>
      <c r="H66" s="56"/>
      <c r="I66" s="56" t="s">
        <v>1384</v>
      </c>
      <c r="J66" s="56" t="s">
        <v>1385</v>
      </c>
      <c r="K66" s="59" t="s">
        <v>1386</v>
      </c>
      <c r="L66" s="102" t="str">
        <f t="shared" si="0"/>
        <v>MCI-00778</v>
      </c>
      <c r="M66" s="102" t="str">
        <f>IFERROR(LOOKUP(2,1/(COUNTIF($M$10:M65,$E$12:$E$249)=0),$E$12:$E$249),IF($M$12=M65,"",IF(M65&lt;&gt;"",$M$12,"")))</f>
        <v>Sensibilización de los cuerpos de seguridad y cuerpos de seguridad</v>
      </c>
      <c r="N66" s="102" t="b">
        <v>1</v>
      </c>
    </row>
    <row r="67" spans="2:14" x14ac:dyDescent="0.35">
      <c r="B67" s="59" t="s">
        <v>424</v>
      </c>
      <c r="C67" s="57" t="s">
        <v>1093</v>
      </c>
      <c r="D67" s="56"/>
      <c r="E67" s="102" t="str">
        <f>IF(OR(TranslatemoduleName="[Name - FR]",TranslatemoduleName="[Name - ES]"),"",IF(InterventionsTranslate="[Name]","",InterventionsTranslate))</f>
        <v>Gestión de subvenciones</v>
      </c>
      <c r="F67" s="56" t="s">
        <v>1387</v>
      </c>
      <c r="G67" s="57" t="s">
        <v>1383</v>
      </c>
      <c r="H67" s="56"/>
      <c r="I67" s="56" t="s">
        <v>590</v>
      </c>
      <c r="J67" s="56" t="s">
        <v>591</v>
      </c>
      <c r="K67" s="59" t="s">
        <v>1388</v>
      </c>
      <c r="L67" s="102" t="str">
        <f t="shared" si="0"/>
        <v>MCI-00779</v>
      </c>
      <c r="M67" s="102" t="str">
        <f>IFERROR(LOOKUP(2,1/(COUNTIF($M$10:M66,$E$12:$E$249)=0),$E$12:$E$249),IF($M$12=M66,"",IF(M66&lt;&gt;"",$M$12,"")))</f>
        <v>Servicios jurídicos relacionados con el VIH y la TB/VIH</v>
      </c>
      <c r="N67" s="102" t="b">
        <v>1</v>
      </c>
    </row>
    <row r="68" spans="2:14" x14ac:dyDescent="0.35">
      <c r="B68" s="59" t="s">
        <v>1389</v>
      </c>
      <c r="C68" s="57" t="s">
        <v>1095</v>
      </c>
      <c r="D68" s="56"/>
      <c r="E68" s="102" t="str">
        <f>IF(OR(TranslatemoduleName="[Name - FR]",TranslatemoduleName="[Name - ES]"),"",IF(InterventionsTranslate="[Name]","",InterventionsTranslate))</f>
        <v>Política, estrategia, gobernanza</v>
      </c>
      <c r="F68" s="56" t="s">
        <v>1390</v>
      </c>
      <c r="G68" s="57" t="s">
        <v>1391</v>
      </c>
      <c r="H68" s="56"/>
      <c r="I68" s="56" t="s">
        <v>1392</v>
      </c>
      <c r="J68" s="56" t="s">
        <v>1393</v>
      </c>
      <c r="K68" s="59" t="s">
        <v>1394</v>
      </c>
      <c r="L68" s="102" t="str">
        <f t="shared" si="0"/>
        <v>MCI-00780</v>
      </c>
      <c r="M68" s="102" t="str">
        <f>IFERROR(LOOKUP(2,1/(COUNTIF($M$10:M67,$E$12:$E$249)=0),$E$12:$E$249),IF($M$12=M67,"",IF(M67&lt;&gt;"",$M$12,"")))</f>
        <v>Derechos humanos y ética médica en relación con el VIH y la tuberculosis y el VIH para personal sanitario</v>
      </c>
      <c r="N68" s="102" t="b">
        <v>1</v>
      </c>
    </row>
    <row r="69" spans="2:14" x14ac:dyDescent="0.35">
      <c r="B69" s="59" t="s">
        <v>1395</v>
      </c>
      <c r="C69" s="57" t="s">
        <v>1095</v>
      </c>
      <c r="D69" s="56"/>
      <c r="E69" s="102" t="str">
        <f>IF(OR(TranslatemoduleName="[Name - FR]",TranslatemoduleName="[Name - ES]"),"",IF(InterventionsTranslate="[Name]","",InterventionsTranslate))</f>
        <v>Capacidad de almacenamiento y distribución</v>
      </c>
      <c r="F69" s="56" t="s">
        <v>1396</v>
      </c>
      <c r="G69" s="57" t="s">
        <v>1391</v>
      </c>
      <c r="H69" s="56"/>
      <c r="I69" s="56" t="s">
        <v>1397</v>
      </c>
      <c r="J69" s="56" t="s">
        <v>1398</v>
      </c>
      <c r="K69" s="59" t="s">
        <v>1399</v>
      </c>
      <c r="L69" s="102" t="str">
        <f t="shared" si="0"/>
        <v>MCI-00781</v>
      </c>
      <c r="M69" s="102" t="str">
        <f>IFERROR(LOOKUP(2,1/(COUNTIF($M$10:M68,$E$12:$E$249)=0),$E$12:$E$249),IF($M$12=M68,"",IF(M68&lt;&gt;"",$M$12,"")))</f>
        <v>Conocimientos jurídicos («Conoce tus derechos»)</v>
      </c>
      <c r="N69" s="102" t="b">
        <v>1</v>
      </c>
    </row>
    <row r="70" spans="2:14" x14ac:dyDescent="0.35">
      <c r="B70" s="59" t="s">
        <v>1400</v>
      </c>
      <c r="C70" s="57" t="s">
        <v>1095</v>
      </c>
      <c r="D70" s="56"/>
      <c r="E70" s="102" t="str">
        <f>IF(OR(TranslatemoduleName="[Name - FR]",TranslatemoduleName="[Name - ES]"),"",IF(InterventionsTranslate="[Name]","",InterventionsTranslate))</f>
        <v>Capacidad de adquisición</v>
      </c>
      <c r="F70" s="56" t="s">
        <v>1401</v>
      </c>
      <c r="G70" s="57" t="s">
        <v>1391</v>
      </c>
      <c r="H70" s="56"/>
      <c r="I70" s="56" t="s">
        <v>1402</v>
      </c>
      <c r="J70" s="56" t="s">
        <v>1403</v>
      </c>
      <c r="K70" s="59" t="s">
        <v>1404</v>
      </c>
      <c r="L70" s="102" t="str">
        <f t="shared" si="0"/>
        <v>MCI-00782</v>
      </c>
      <c r="M70" s="102" t="str">
        <f>IFERROR(LOOKUP(2,1/(COUNTIF($M$10:M69,$E$12:$E$249)=0),$E$12:$E$249),IF($M$12=M69,"",IF(M69&lt;&gt;"",$M$12,"")))</f>
        <v>Reducción del estigma y la discriminación (VIH/TB)</v>
      </c>
      <c r="N70" s="102" t="b">
        <v>1</v>
      </c>
    </row>
    <row r="71" spans="2:14" x14ac:dyDescent="0.35">
      <c r="B71" s="59" t="s">
        <v>1405</v>
      </c>
      <c r="C71" s="57" t="s">
        <v>1095</v>
      </c>
      <c r="D71" s="56"/>
      <c r="E71" s="102" t="str">
        <f>IF(OR(TranslatemoduleName="[Name - FR]",TranslatemoduleName="[Name - ES]"),"",IF(InterventionsTranslate="[Name]","",InterventionsTranslate))</f>
        <v>Apoyo regulador/aseguramiento de la calidad</v>
      </c>
      <c r="F71" s="56" t="s">
        <v>1406</v>
      </c>
      <c r="G71" s="57" t="s">
        <v>1391</v>
      </c>
      <c r="H71" s="56"/>
      <c r="I71" s="56" t="s">
        <v>1407</v>
      </c>
      <c r="J71" s="56" t="s">
        <v>1408</v>
      </c>
      <c r="K71" s="59" t="s">
        <v>1409</v>
      </c>
      <c r="L71" s="102" t="str">
        <f t="shared" si="0"/>
        <v>MCI-00783</v>
      </c>
      <c r="M71" s="102" t="str">
        <f>IFERROR(LOOKUP(2,1/(COUNTIF($M$10:M70,$E$12:$E$249)=0),$E$12:$E$249),IF($M$12=M70,"",IF(M70&lt;&gt;"",$M$12,"")))</f>
        <v>Paquete para huérfanos y niños vulnerables</v>
      </c>
      <c r="N71" s="102" t="b">
        <v>1</v>
      </c>
    </row>
    <row r="72" spans="2:14" x14ac:dyDescent="0.35">
      <c r="B72" s="59" t="s">
        <v>1410</v>
      </c>
      <c r="C72" s="57" t="s">
        <v>1095</v>
      </c>
      <c r="D72" s="56"/>
      <c r="E72" s="102" t="str">
        <f>IF(OR(TranslatemoduleName="[Name - FR]",TranslatemoduleName="[Name - ES]"),"",IF(InterventionsTranslate="[Name]","",InterventionsTranslate))</f>
        <v>Gestión de los residuos de la atención sanitaria</v>
      </c>
      <c r="F72" s="56" t="s">
        <v>1411</v>
      </c>
      <c r="G72" s="57" t="s">
        <v>1391</v>
      </c>
      <c r="H72" s="56"/>
      <c r="I72" s="56" t="s">
        <v>1412</v>
      </c>
      <c r="J72" s="56" t="s">
        <v>1413</v>
      </c>
      <c r="K72" s="59" t="s">
        <v>1414</v>
      </c>
      <c r="L72" s="102" t="str">
        <f t="shared" si="0"/>
        <v>MCI-00784</v>
      </c>
      <c r="M72" s="102" t="str">
        <f>IFERROR(LOOKUP(2,1/(COUNTIF($M$10:M71,$E$12:$E$249)=0),$E$12:$E$249),IF($M$12=M71,"",IF(M71&lt;&gt;"",$M$12,"")))</f>
        <v>Consejería y apoyo psicosocial</v>
      </c>
      <c r="N72" s="102" t="b">
        <v>1</v>
      </c>
    </row>
    <row r="73" spans="2:14" x14ac:dyDescent="0.35">
      <c r="B73" s="59" t="s">
        <v>580</v>
      </c>
      <c r="C73" s="57" t="s">
        <v>1109</v>
      </c>
      <c r="D73" s="56"/>
      <c r="E73" s="102" t="str">
        <f>IF(OR(TranslatemoduleName="[Name - FR]",TranslatemoduleName="[Name - ES]"),"",IF(InterventionsTranslate="[Name]","",InterventionsTranslate))</f>
        <v>Informes rutinarios</v>
      </c>
      <c r="F73" s="56" t="s">
        <v>1415</v>
      </c>
      <c r="G73" s="57" t="s">
        <v>1416</v>
      </c>
      <c r="H73" s="56"/>
      <c r="I73" s="56" t="s">
        <v>716</v>
      </c>
      <c r="J73" s="56" t="s">
        <v>1417</v>
      </c>
      <c r="K73" s="59" t="s">
        <v>1418</v>
      </c>
      <c r="L73" s="102" t="str">
        <f t="shared" si="0"/>
        <v>MCI-00785</v>
      </c>
      <c r="M73" s="102" t="str">
        <f>IFERROR(LOOKUP(2,1/(COUNTIF($M$10:M72,$E$12:$E$249)=0),$E$12:$E$249),IF($M$12=M72,"",IF(M72&lt;&gt;"",$M$12,"")))</f>
        <v>Prevención y manejo de coinfecciones y comorbilidades (Tratamiento, atención y apoyo)</v>
      </c>
      <c r="N73" s="102" t="b">
        <v>1</v>
      </c>
    </row>
    <row r="74" spans="2:14" x14ac:dyDescent="0.35">
      <c r="B74" s="59" t="s">
        <v>583</v>
      </c>
      <c r="C74" s="57" t="s">
        <v>1109</v>
      </c>
      <c r="D74" s="56"/>
      <c r="E74" s="102" t="str">
        <f>IF(OR(TranslatemoduleName="[Name - FR]",TranslatemoduleName="[Name - ES]"),"",IF(InterventionsTranslate="[Name]","",InterventionsTranslate))</f>
        <v>Calidad del programa y los datos</v>
      </c>
      <c r="F74" s="56" t="s">
        <v>1419</v>
      </c>
      <c r="G74" s="57" t="s">
        <v>1416</v>
      </c>
      <c r="H74" s="56"/>
      <c r="I74" s="56" t="s">
        <v>1420</v>
      </c>
      <c r="J74" s="56" t="s">
        <v>1421</v>
      </c>
      <c r="K74" s="59" t="s">
        <v>1422</v>
      </c>
      <c r="L74" s="102" t="str">
        <f t="shared" si="0"/>
        <v>MCI-00786</v>
      </c>
      <c r="M74" s="102" t="str">
        <f>IFERROR(LOOKUP(2,1/(COUNTIF($M$10:M73,$E$12:$E$249)=0),$E$12:$E$249),IF($M$12=M73,"",IF(M73&lt;&gt;"",$M$12,"")))</f>
        <v>Seguimiento del tratamiento: carga viral</v>
      </c>
      <c r="N74" s="102" t="b">
        <v>1</v>
      </c>
    </row>
    <row r="75" spans="2:14" x14ac:dyDescent="0.35">
      <c r="B75" s="59" t="s">
        <v>1423</v>
      </c>
      <c r="C75" s="57" t="s">
        <v>1109</v>
      </c>
      <c r="D75" s="56"/>
      <c r="E75" s="102" t="str">
        <f>IF(OR(TranslatemoduleName="[Name - FR]",TranslatemoduleName="[Name - ES]"),"",IF(InterventionsTranslate="[Name]","",InterventionsTranslate))</f>
        <v>Análisis, evaluaciones, revisión y transparencia</v>
      </c>
      <c r="F75" s="56" t="s">
        <v>1424</v>
      </c>
      <c r="G75" s="57" t="s">
        <v>1416</v>
      </c>
      <c r="H75" s="56"/>
      <c r="I75" s="56" t="s">
        <v>1425</v>
      </c>
      <c r="J75" s="56" t="s">
        <v>1426</v>
      </c>
      <c r="K75" s="59" t="s">
        <v>1427</v>
      </c>
      <c r="L75" s="102" t="str">
        <f t="shared" si="0"/>
        <v>MCI-00787</v>
      </c>
      <c r="M75" s="102" t="str">
        <f>IFERROR(LOOKUP(2,1/(COUNTIF($M$10:M74,$E$12:$E$249)=0),$E$12:$E$249),IF($M$12=M74,"",IF(M74&lt;&gt;"",$M$12,"")))</f>
        <v>Seguimiento del tratamiento: toxicidad de la terapia antirretroviral</v>
      </c>
      <c r="N75" s="102" t="b">
        <v>1</v>
      </c>
    </row>
    <row r="76" spans="2:14" x14ac:dyDescent="0.35">
      <c r="B76" s="59" t="s">
        <v>589</v>
      </c>
      <c r="C76" s="57" t="s">
        <v>1109</v>
      </c>
      <c r="D76" s="56"/>
      <c r="E76" s="102" t="str">
        <f>IF(OR(TranslatemoduleName="[Name - FR]",TranslatemoduleName="[Name - ES]"),"",IF(InterventionsTranslate="[Name]","",InterventionsTranslate))</f>
        <v>Encuestas</v>
      </c>
      <c r="F76" s="56" t="s">
        <v>1428</v>
      </c>
      <c r="G76" s="57" t="s">
        <v>1416</v>
      </c>
      <c r="H76" s="56"/>
      <c r="I76" s="56" t="s">
        <v>722</v>
      </c>
      <c r="J76" s="56" t="s">
        <v>723</v>
      </c>
      <c r="K76" s="59" t="s">
        <v>1429</v>
      </c>
      <c r="L76" s="102" t="str">
        <f t="shared" si="0"/>
        <v>MCI-00788</v>
      </c>
      <c r="M76" s="102" t="str">
        <f>IFERROR(LOOKUP(2,1/(COUNTIF($M$10:M75,$E$12:$E$249)=0),$E$12:$E$249),IF($M$12=M75,"",IF(M75&lt;&gt;"",$M$12,"")))</f>
        <v>Seguimiento del tratamiento: farmacorresistencia</v>
      </c>
      <c r="N76" s="102" t="b">
        <v>1</v>
      </c>
    </row>
    <row r="77" spans="2:14" x14ac:dyDescent="0.35">
      <c r="B77" s="59" t="s">
        <v>1430</v>
      </c>
      <c r="C77" s="57" t="s">
        <v>1109</v>
      </c>
      <c r="D77" s="56"/>
      <c r="E77" s="102" t="str">
        <f>IF(OR(TranslatemoduleName="[Name - FR]",TranslatemoduleName="[Name - ES]"),"",IF(InterventionsTranslate="[Name]","",InterventionsTranslate))</f>
        <v>Fuentes de los datos financieros y administrativos</v>
      </c>
      <c r="F77" s="56" t="s">
        <v>1431</v>
      </c>
      <c r="G77" s="57" t="s">
        <v>1416</v>
      </c>
      <c r="H77" s="56"/>
      <c r="I77" s="56" t="s">
        <v>724</v>
      </c>
      <c r="J77" s="56" t="s">
        <v>1432</v>
      </c>
      <c r="K77" s="59" t="s">
        <v>1433</v>
      </c>
      <c r="L77" s="102" t="str">
        <f t="shared" ref="L77:L104" si="1">F77</f>
        <v>MCI-00789</v>
      </c>
      <c r="M77" s="102" t="str">
        <f>IFERROR(LOOKUP(2,1/(COUNTIF($M$10:M76,$E$12:$E$249)=0),$E$12:$E$249),IF($M$12=M76,"",IF(M76&lt;&gt;"",$M$12,"")))</f>
        <v>Prestación de servicios diferenciados de tratamiento antirretroviral y atención para el VIH</v>
      </c>
      <c r="N77" s="102" t="b">
        <v>1</v>
      </c>
    </row>
    <row r="78" spans="2:14" x14ac:dyDescent="0.35">
      <c r="B78" s="59" t="s">
        <v>1434</v>
      </c>
      <c r="C78" s="57" t="s">
        <v>1109</v>
      </c>
      <c r="D78" s="56"/>
      <c r="E78" s="102" t="str">
        <f>IF(OR(TranslatemoduleName="[Name - FR]",TranslatemoduleName="[Name - ES]"),"",IF(InterventionsTranslate="[Name]","",InterventionsTranslate))</f>
        <v>Registro civil y estadísticas vitales</v>
      </c>
      <c r="F78" s="56" t="s">
        <v>1435</v>
      </c>
      <c r="G78" s="57" t="s">
        <v>1416</v>
      </c>
      <c r="H78" s="56"/>
      <c r="I78" s="56" t="s">
        <v>1436</v>
      </c>
      <c r="J78" s="56" t="s">
        <v>1437</v>
      </c>
      <c r="K78" s="59" t="s">
        <v>1438</v>
      </c>
      <c r="L78" s="102" t="str">
        <f t="shared" si="1"/>
        <v>MCI-00790</v>
      </c>
      <c r="M78" s="102" t="str">
        <f>IFERROR(LOOKUP(2,1/(COUNTIF($M$10:M77,$E$12:$E$249)=0),$E$12:$E$249),IF($M$12=M77,"",IF(M77&lt;&gt;"",$M$12,"")))</f>
        <v>Autoprueba (self testing)</v>
      </c>
      <c r="N78" s="102" t="b">
        <v>1</v>
      </c>
    </row>
    <row r="79" spans="2:14" x14ac:dyDescent="0.35">
      <c r="B79" s="59" t="s">
        <v>1439</v>
      </c>
      <c r="C79" s="57" t="s">
        <v>1124</v>
      </c>
      <c r="D79" s="56"/>
      <c r="E79" s="102" t="str">
        <f>IF(OR(TranslatemoduleName="[Name - FR]",TranslatemoduleName="[Name - ES]"),"",IF(InterventionsTranslate="[Name]","",InterventionsTranslate))</f>
        <v>Educación y producción de nuevos trabajadores de  salud (excepto los trabajadores de la salud comunitarios)</v>
      </c>
      <c r="F79" s="56" t="s">
        <v>1440</v>
      </c>
      <c r="G79" s="57" t="s">
        <v>1441</v>
      </c>
      <c r="H79" s="56"/>
      <c r="I79" s="56" t="s">
        <v>1442</v>
      </c>
      <c r="J79" s="56" t="s">
        <v>1443</v>
      </c>
      <c r="K79" s="59" t="s">
        <v>1444</v>
      </c>
      <c r="L79" s="102" t="str">
        <f t="shared" si="1"/>
        <v>MCI-00791</v>
      </c>
      <c r="M79" s="102" t="str">
        <f>IFERROR(LOOKUP(2,1/(COUNTIF($M$10:M78,$E$12:$E$249)=0),$E$12:$E$249),IF($M$12=M78,"",IF(M78&lt;&gt;"",$M$12,"")))</f>
        <v>Pruebas a nivel comunitario</v>
      </c>
      <c r="N79" s="102" t="b">
        <v>1</v>
      </c>
    </row>
    <row r="80" spans="2:14" x14ac:dyDescent="0.35">
      <c r="B80" s="59" t="s">
        <v>1445</v>
      </c>
      <c r="C80" s="57" t="s">
        <v>1124</v>
      </c>
      <c r="D80" s="56"/>
      <c r="E80" s="102" t="str">
        <f>IF(OR(TranslatemoduleName="[Name - FR]",TranslatemoduleName="[Name - ES]"),"",IF(InterventionsTranslate="[Name]","",InterventionsTranslate))</f>
        <v>Remuneración y despliegue de personal nuevo/existente (excepto los trabajadores de la salud comunitarios)</v>
      </c>
      <c r="F80" s="56" t="s">
        <v>1446</v>
      </c>
      <c r="G80" s="57" t="s">
        <v>1441</v>
      </c>
      <c r="H80" s="56"/>
      <c r="I80" s="56" t="s">
        <v>1447</v>
      </c>
      <c r="J80" s="56" t="s">
        <v>1448</v>
      </c>
      <c r="K80" s="59" t="s">
        <v>1449</v>
      </c>
      <c r="L80" s="102" t="str">
        <f t="shared" si="1"/>
        <v>MCI-00792</v>
      </c>
      <c r="M80" s="102" t="str">
        <f>IFERROR(LOOKUP(2,1/(COUNTIF($M$10:M79,$E$12:$E$249)=0),$E$12:$E$249),IF($M$12=M79,"",IF(M79&lt;&gt;"",$M$12,"")))</f>
        <v>Pruebas a nivel de establecimientos de salud</v>
      </c>
      <c r="N80" s="102" t="b">
        <v>1</v>
      </c>
    </row>
    <row r="81" spans="2:14" x14ac:dyDescent="0.35">
      <c r="B81" s="59" t="s">
        <v>1450</v>
      </c>
      <c r="C81" s="57" t="s">
        <v>1124</v>
      </c>
      <c r="D81" s="56"/>
      <c r="E81" s="102" t="str">
        <f>IF(OR(TranslatemoduleName="[Name - FR]",TranslatemoduleName="[Name - ES]"),"",IF(InterventionsTranslate="[Name]","",InterventionsTranslate))</f>
        <v>Formación durante la prestación de servicios (excepto los trabajadores de  salud comunitarios)</v>
      </c>
      <c r="F81" s="56" t="s">
        <v>1451</v>
      </c>
      <c r="G81" s="57" t="s">
        <v>1441</v>
      </c>
      <c r="H81" s="56"/>
      <c r="I81" s="56" t="s">
        <v>1452</v>
      </c>
      <c r="J81" s="56" t="s">
        <v>1453</v>
      </c>
      <c r="K81" s="59" t="s">
        <v>1454</v>
      </c>
      <c r="L81" s="102" t="str">
        <f t="shared" si="1"/>
        <v>MCI-00793</v>
      </c>
      <c r="M81" s="102" t="str">
        <f>IFERROR(LOOKUP(2,1/(COUNTIF($M$10:M80,$E$12:$E$249)=0),$E$12:$E$249),IF($M$12=M80,"",IF(M80&lt;&gt;"",$M$12,"")))</f>
        <v>Vertiente 3: Prevención de la transmisión vertical del VIH</v>
      </c>
      <c r="N81" s="102" t="b">
        <v>1</v>
      </c>
    </row>
    <row r="82" spans="2:14" x14ac:dyDescent="0.35">
      <c r="B82" s="59" t="s">
        <v>1455</v>
      </c>
      <c r="C82" s="57" t="s">
        <v>1124</v>
      </c>
      <c r="D82" s="56"/>
      <c r="E82" s="102" t="str">
        <f>IF(OR(TranslatemoduleName="[Name - FR]",TranslatemoduleName="[Name - ES]"),"",IF(InterventionsTranslate="[Name]","",InterventionsTranslate))</f>
        <v>Política y gobernanza de Recursos Humanos de Salud</v>
      </c>
      <c r="F82" s="56" t="s">
        <v>1456</v>
      </c>
      <c r="G82" s="57" t="s">
        <v>1441</v>
      </c>
      <c r="H82" s="56"/>
      <c r="I82" s="56" t="s">
        <v>1457</v>
      </c>
      <c r="J82" s="56" t="s">
        <v>1458</v>
      </c>
      <c r="K82" s="59" t="s">
        <v>1459</v>
      </c>
      <c r="L82" s="102" t="str">
        <f t="shared" si="1"/>
        <v>MCI-00794</v>
      </c>
      <c r="M82" s="102" t="str">
        <f>IFERROR(LOOKUP(2,1/(COUNTIF($M$10:M81,$E$12:$E$249)=0),$E$12:$E$249),IF($M$12=M81,"",IF(M81&lt;&gt;"",$M$12,"")))</f>
        <v>Vertiente 4: Tratamiento, atención y apoyo para madres que viven con el VIH, así como para sus hijos y familias</v>
      </c>
      <c r="N82" s="102" t="b">
        <v>1</v>
      </c>
    </row>
    <row r="83" spans="2:14" x14ac:dyDescent="0.35">
      <c r="B83" s="59" t="s">
        <v>1460</v>
      </c>
      <c r="C83" s="57" t="s">
        <v>1124</v>
      </c>
      <c r="D83" s="56"/>
      <c r="E83" s="102" t="str">
        <f>IF(OR(TranslatemoduleName="[Name - FR]",TranslatemoduleName="[Name - ES]"),"",IF(InterventionsTranslate="[Name]","",InterventionsTranslate))</f>
        <v>Trabajadores de salud comunitarios: educación y producción</v>
      </c>
      <c r="F83" s="56" t="s">
        <v>1461</v>
      </c>
      <c r="G83" s="57" t="s">
        <v>1441</v>
      </c>
      <c r="H83" s="56"/>
      <c r="I83" s="56" t="s">
        <v>1462</v>
      </c>
      <c r="J83" s="56" t="s">
        <v>1463</v>
      </c>
      <c r="K83" s="59" t="s">
        <v>1464</v>
      </c>
      <c r="L83" s="102" t="str">
        <f t="shared" si="1"/>
        <v>MCI-00795</v>
      </c>
      <c r="M83" s="102" t="str">
        <f>IFERROR(LOOKUP(2,1/(COUNTIF($M$10:M82,$E$12:$E$249)=0),$E$12:$E$249),IF($M$12=M82,"",IF(M82&lt;&gt;"",$M$12,"")))</f>
        <v>Vertiente 2: Prevención de embarazos no deseados en mujeres que viven con el VIH</v>
      </c>
      <c r="N83" s="102" t="b">
        <v>1</v>
      </c>
    </row>
    <row r="84" spans="2:14" x14ac:dyDescent="0.35">
      <c r="B84" s="59" t="s">
        <v>1465</v>
      </c>
      <c r="C84" s="57" t="s">
        <v>1124</v>
      </c>
      <c r="D84" s="56"/>
      <c r="E84" s="102" t="str">
        <f>IF(OR(TranslatemoduleName="[Name - FR]",TranslatemoduleName="[Name - ES]"),"",IF(InterventionsTranslate="[Name]","",InterventionsTranslate))</f>
        <v>Trabajadores de salud comunitarios: remuneración y despliegue</v>
      </c>
      <c r="F84" s="56" t="s">
        <v>1466</v>
      </c>
      <c r="G84" s="57" t="s">
        <v>1441</v>
      </c>
      <c r="H84" s="56"/>
      <c r="I84" s="56" t="s">
        <v>1467</v>
      </c>
      <c r="J84" s="56" t="s">
        <v>1468</v>
      </c>
      <c r="K84" s="59" t="s">
        <v>1469</v>
      </c>
      <c r="L84" s="102" t="str">
        <f t="shared" si="1"/>
        <v>MCI-00796</v>
      </c>
      <c r="M84" s="102" t="str">
        <f>IFERROR(LOOKUP(2,1/(COUNTIF($M$10:M83,$E$12:$E$249)=0),$E$12:$E$249),IF($M$12=M83,"",IF(M83&lt;&gt;"",$M$12,"")))</f>
        <v>Vertiente 1: Prevención primaria de la infección por el VIH en mujeres en edad fecunda</v>
      </c>
      <c r="N84" s="102" t="b">
        <v>1</v>
      </c>
    </row>
    <row r="85" spans="2:14" x14ac:dyDescent="0.35">
      <c r="B85" s="59" t="s">
        <v>1470</v>
      </c>
      <c r="C85" s="57" t="s">
        <v>1124</v>
      </c>
      <c r="D85" s="56"/>
      <c r="E85" s="102" t="str">
        <f>IF(OR(TranslatemoduleName="[Name - FR]",TranslatemoduleName="[Name - ES]"),"",IF(InterventionsTranslate="[Name]","",InterventionsTranslate))</f>
        <v>Trabajadores de salud comunitarios: formación durante la prestación de los servicios</v>
      </c>
      <c r="F85" s="56" t="s">
        <v>1471</v>
      </c>
      <c r="G85" s="57" t="s">
        <v>1441</v>
      </c>
      <c r="H85" s="56"/>
      <c r="I85" s="56" t="s">
        <v>1472</v>
      </c>
      <c r="J85" s="56" t="s">
        <v>1473</v>
      </c>
      <c r="K85" s="59" t="s">
        <v>1474</v>
      </c>
      <c r="L85" s="102" t="str">
        <f t="shared" si="1"/>
        <v>MCI-00797</v>
      </c>
      <c r="M85" s="102" t="str">
        <f>IFERROR(LOOKUP(2,1/(COUNTIF($M$10:M84,$E$12:$E$249)=0),$E$12:$E$249),IF($M$12=M84,"",IF(M84&lt;&gt;"",$M$12,"")))</f>
        <v>Prevención y manejo de coinfecciones y comorbilidades (Prevención)</v>
      </c>
      <c r="N85" s="102" t="b">
        <v>1</v>
      </c>
    </row>
    <row r="86" spans="2:14" x14ac:dyDescent="0.35">
      <c r="B86" s="59" t="s">
        <v>1475</v>
      </c>
      <c r="C86" s="57" t="s">
        <v>1098</v>
      </c>
      <c r="D86" s="56"/>
      <c r="E86" s="102" t="str">
        <f>IF(OR(TranslatemoduleName="[Name - FR]",TranslatemoduleName="[Name - ES]"),"",IF(InterventionsTranslate="[Name]","",InterventionsTranslate))</f>
        <v>Calidad de la atención</v>
      </c>
      <c r="F86" s="56" t="s">
        <v>1476</v>
      </c>
      <c r="G86" s="57" t="s">
        <v>1477</v>
      </c>
      <c r="H86" s="56"/>
      <c r="I86" s="56" t="s">
        <v>1478</v>
      </c>
      <c r="J86" s="56" t="s">
        <v>1479</v>
      </c>
      <c r="K86" s="59" t="s">
        <v>1480</v>
      </c>
      <c r="L86" s="102" t="str">
        <f t="shared" si="1"/>
        <v>MCI-00798</v>
      </c>
      <c r="M86" s="102" t="str">
        <f>IFERROR(LOOKUP(2,1/(COUNTIF($M$10:M85,$E$12:$E$249)=0),$E$12:$E$249),IF($M$12=M85,"",IF(M85&lt;&gt;"",$M$12,"")))</f>
        <v>Integración de los programas de VIH y la salud reproductiva, materna, adolescente, infantil y neonatal</v>
      </c>
      <c r="N86" s="102" t="b">
        <v>1</v>
      </c>
    </row>
    <row r="87" spans="2:14" x14ac:dyDescent="0.35">
      <c r="B87" s="59" t="s">
        <v>613</v>
      </c>
      <c r="C87" s="57" t="s">
        <v>1098</v>
      </c>
      <c r="D87" s="56"/>
      <c r="E87" s="102" t="str">
        <f>IF(OR(TranslatemoduleName="[Name - FR]",TranslatemoduleName="[Name - ES]"),"",IF(InterventionsTranslate="[Name]","",InterventionsTranslate))</f>
        <v>Organización de los servicios y gestión de establecimientos de salud</v>
      </c>
      <c r="F87" s="56" t="s">
        <v>1481</v>
      </c>
      <c r="G87" s="57" t="s">
        <v>1477</v>
      </c>
      <c r="H87" s="56"/>
      <c r="I87" s="56" t="s">
        <v>1482</v>
      </c>
      <c r="J87" s="56" t="s">
        <v>1483</v>
      </c>
      <c r="K87" s="59" t="s">
        <v>1484</v>
      </c>
      <c r="L87" s="102" t="str">
        <f t="shared" si="1"/>
        <v>MCI-00799</v>
      </c>
      <c r="M87" s="102" t="str">
        <f>IFERROR(LOOKUP(2,1/(COUNTIF($M$10:M86,$E$12:$E$249)=0),$E$12:$E$249),IF($M$12=M86,"",IF(M86&lt;&gt;"",$M$12,"")))</f>
        <v>Gestión de programas nacionales para preservativos</v>
      </c>
      <c r="N87" s="102" t="b">
        <v>1</v>
      </c>
    </row>
    <row r="88" spans="2:14" x14ac:dyDescent="0.35">
      <c r="B88" s="59" t="s">
        <v>1485</v>
      </c>
      <c r="C88" s="57" t="s">
        <v>1098</v>
      </c>
      <c r="D88" s="56"/>
      <c r="E88" s="102" t="str">
        <f>IF(OR(TranslatemoduleName="[Name - FR]",TranslatemoduleName="[Name - ES]"),"",IF(InterventionsTranslate="[Name]","",InterventionsTranslate))</f>
        <v>Infraestructura de la prestación de servicios</v>
      </c>
      <c r="F88" s="56" t="s">
        <v>1486</v>
      </c>
      <c r="G88" s="57" t="s">
        <v>1477</v>
      </c>
      <c r="H88" s="56"/>
      <c r="I88" s="56" t="s">
        <v>1487</v>
      </c>
      <c r="J88" s="56" t="s">
        <v>1488</v>
      </c>
      <c r="K88" s="59" t="s">
        <v>1489</v>
      </c>
      <c r="L88" s="102" t="str">
        <f t="shared" si="1"/>
        <v>MCI-00800</v>
      </c>
      <c r="M88" s="102" t="str">
        <f>IFERROR(LOOKUP(2,1/(COUNTIF($M$10:M87,$E$12:$E$249)=0),$E$12:$E$249),IF($M$12=M87,"",IF(M87&lt;&gt;"",$M$12,"")))</f>
        <v>Circuncisión médica masculina voluntaria</v>
      </c>
      <c r="N88" s="102" t="b">
        <v>1</v>
      </c>
    </row>
    <row r="89" spans="2:14" x14ac:dyDescent="0.35">
      <c r="B89" s="59" t="s">
        <v>1490</v>
      </c>
      <c r="C89" s="57" t="s">
        <v>1101</v>
      </c>
      <c r="D89" s="56"/>
      <c r="E89" s="102" t="str">
        <f>IF(OR(TranslatemoduleName="[Name - FR]",TranslatemoduleName="[Name - ES]"),"",IF(InterventionsTranslate="[Name]","",InterventionsTranslate))</f>
        <v>Sistemas de gestión financiera pública (nacionales o armonizados de donantes)</v>
      </c>
      <c r="F89" s="56" t="s">
        <v>1491</v>
      </c>
      <c r="G89" s="57" t="s">
        <v>1492</v>
      </c>
      <c r="H89" s="56"/>
      <c r="I89" s="56" t="s">
        <v>1493</v>
      </c>
      <c r="J89" s="56" t="s">
        <v>1494</v>
      </c>
      <c r="K89" s="59" t="s">
        <v>1495</v>
      </c>
      <c r="L89" s="102" t="str">
        <f t="shared" si="1"/>
        <v>MCI-00801</v>
      </c>
      <c r="M89" s="102" t="str">
        <f>IFERROR(LOOKUP(2,1/(COUNTIF($M$10:M88,$E$12:$E$249)=0),$E$12:$E$249),IF($M$12=M88,"",IF(M88&lt;&gt;"",$M$12,"")))</f>
        <v>Integración de los programas para niñas adolescentes y mujeres jóvenes en las respuestas nacionales multisectoriales</v>
      </c>
      <c r="N89" s="102" t="b">
        <v>1</v>
      </c>
    </row>
    <row r="90" spans="2:14" x14ac:dyDescent="0.35">
      <c r="B90" s="59" t="s">
        <v>1496</v>
      </c>
      <c r="C90" s="57" t="s">
        <v>1101</v>
      </c>
      <c r="D90" s="56"/>
      <c r="E90" s="102" t="str">
        <f>IF(OR(TranslatemoduleName="[Name - FR]",TranslatemoduleName="[Name - ES]"),"",IF(InterventionsTranslate="[Name]","",InterventionsTranslate))</f>
        <v>Gestión financiera ordinaria de las subvenciones</v>
      </c>
      <c r="F90" s="56" t="s">
        <v>1497</v>
      </c>
      <c r="G90" s="57" t="s">
        <v>1492</v>
      </c>
      <c r="H90" s="56"/>
      <c r="I90" s="56" t="s">
        <v>1498</v>
      </c>
      <c r="J90" s="56" t="s">
        <v>1499</v>
      </c>
      <c r="K90" s="59" t="s">
        <v>1500</v>
      </c>
      <c r="L90" s="102" t="str">
        <f t="shared" si="1"/>
        <v>MCI-00802</v>
      </c>
      <c r="M90" s="102" t="str">
        <f>IFERROR(LOOKUP(2,1/(COUNTIF($M$10:M89,$E$12:$E$249)=0),$E$12:$E$249),IF($M$12=M89,"",IF(M89&lt;&gt;"",$M$12,"")))</f>
        <v>Intervenciones de protección social</v>
      </c>
      <c r="N90" s="102" t="b">
        <v>1</v>
      </c>
    </row>
    <row r="91" spans="2:14" x14ac:dyDescent="0.35">
      <c r="B91" s="59" t="s">
        <v>1501</v>
      </c>
      <c r="C91" s="57" t="s">
        <v>1105</v>
      </c>
      <c r="D91" s="56"/>
      <c r="E91" s="102" t="str">
        <f>IF(OR(TranslatemoduleName="[Name - FR]",TranslatemoduleName="[Name - ES]"),"",IF(InterventionsTranslate="[Name]","",InterventionsTranslate))</f>
        <v>Estrategias y financiamiento del sector nacional de la salud</v>
      </c>
      <c r="F91" s="56" t="s">
        <v>1502</v>
      </c>
      <c r="G91" s="57" t="s">
        <v>1503</v>
      </c>
      <c r="H91" s="56"/>
      <c r="I91" s="56" t="s">
        <v>1504</v>
      </c>
      <c r="J91" s="56" t="s">
        <v>1505</v>
      </c>
      <c r="K91" s="59" t="s">
        <v>1506</v>
      </c>
      <c r="L91" s="102" t="str">
        <f t="shared" si="1"/>
        <v>MCI-00803</v>
      </c>
      <c r="M91" s="102" t="str">
        <f>IFERROR(LOOKUP(2,1/(COUNTIF($M$10:M90,$E$12:$E$249)=0),$E$12:$E$249),IF($M$12=M90,"",IF(M90&lt;&gt;"",$M$12,"")))</f>
        <v>Prevención de la violencia de género y atención posterior a un episodio de violencia</v>
      </c>
      <c r="N91" s="102" t="b">
        <v>1</v>
      </c>
    </row>
    <row r="92" spans="2:14" x14ac:dyDescent="0.35">
      <c r="B92" s="59" t="s">
        <v>1507</v>
      </c>
      <c r="C92" s="57" t="s">
        <v>1105</v>
      </c>
      <c r="D92" s="56"/>
      <c r="E92" s="102" t="str">
        <f>IF(OR(TranslatemoduleName="[Name - FR]",TranslatemoduleName="[Name - ES]"),"",IF(InterventionsTranslate="[Name]","",InterventionsTranslate))</f>
        <v>Política y planificación para los programas nacionales de control de enfermedades</v>
      </c>
      <c r="F92" s="56" t="s">
        <v>1508</v>
      </c>
      <c r="G92" s="57" t="s">
        <v>1503</v>
      </c>
      <c r="H92" s="56"/>
      <c r="I92" s="56" t="s">
        <v>1509</v>
      </c>
      <c r="J92" s="56" t="s">
        <v>1510</v>
      </c>
      <c r="K92" s="59" t="s">
        <v>1511</v>
      </c>
      <c r="L92" s="102" t="str">
        <f t="shared" si="1"/>
        <v>MCI-00804</v>
      </c>
      <c r="M92" s="102" t="str">
        <f>IFERROR(LOOKUP(2,1/(COUNTIF($M$10:M91,$E$12:$E$249)=0),$E$12:$E$249),IF($M$12=M91,"",IF(M91&lt;&gt;"",$M$12,"")))</f>
        <v>Educación sexual integral</v>
      </c>
      <c r="N92" s="102" t="b">
        <v>1</v>
      </c>
    </row>
    <row r="93" spans="2:14" x14ac:dyDescent="0.35">
      <c r="B93" s="59" t="s">
        <v>643</v>
      </c>
      <c r="C93" s="57" t="s">
        <v>1113</v>
      </c>
      <c r="D93" s="56"/>
      <c r="E93" s="102" t="str">
        <f>IF(OR(TranslatemoduleName="[Name - FR]",TranslatemoduleName="[Name - ES]"),"",IF(InterventionsTranslate="[Name]","",InterventionsTranslate))</f>
        <v>Monitoreo a nivel comunitario</v>
      </c>
      <c r="F93" s="56" t="s">
        <v>1512</v>
      </c>
      <c r="G93" s="57" t="s">
        <v>1513</v>
      </c>
      <c r="H93" s="56"/>
      <c r="I93" s="56" t="s">
        <v>1514</v>
      </c>
      <c r="J93" s="56" t="s">
        <v>759</v>
      </c>
      <c r="K93" s="59" t="s">
        <v>1515</v>
      </c>
      <c r="L93" s="102" t="str">
        <f t="shared" si="1"/>
        <v>MCI-00805</v>
      </c>
      <c r="M93" s="102" t="str">
        <f>IFERROR(LOOKUP(2,1/(COUNTIF($M$10:M92,$E$12:$E$249)=0),$E$12:$E$249),IF($M$12=M92,"",IF(M92&lt;&gt;"",$M$12,"")))</f>
        <v>Intervenciones para poblaciones jóvenes clave</v>
      </c>
      <c r="N93" s="102" t="b">
        <v>1</v>
      </c>
    </row>
    <row r="94" spans="2:14" x14ac:dyDescent="0.35">
      <c r="B94" s="59" t="s">
        <v>1516</v>
      </c>
      <c r="C94" s="57" t="s">
        <v>1113</v>
      </c>
      <c r="D94" s="56"/>
      <c r="E94" s="102" t="str">
        <f>IF(OR(TranslatemoduleName="[Name - FR]",TranslatemoduleName="[Name - ES]"),"",IF(InterventionsTranslate="[Name]","",InterventionsTranslate))</f>
        <v>Sensibilización e investigación dirigidas por la comunidad</v>
      </c>
      <c r="F94" s="56" t="s">
        <v>1517</v>
      </c>
      <c r="G94" s="57" t="s">
        <v>1513</v>
      </c>
      <c r="H94" s="56"/>
      <c r="I94" s="56" t="s">
        <v>1518</v>
      </c>
      <c r="J94" s="56" t="s">
        <v>1519</v>
      </c>
      <c r="K94" s="59" t="s">
        <v>1520</v>
      </c>
      <c r="L94" s="102" t="str">
        <f t="shared" si="1"/>
        <v>MCI-00806</v>
      </c>
      <c r="M94" s="102" t="str">
        <f>IFERROR(LOOKUP(2,1/(COUNTIF($M$10:M93,$E$12:$E$249)=0),$E$12:$E$249),IF($M$12=M93,"",IF(M93&lt;&gt;"",$M$12,"")))</f>
        <v>Abordaje del estigma, la discriminación y la violencia</v>
      </c>
      <c r="N94" s="102" t="b">
        <v>1</v>
      </c>
    </row>
    <row r="95" spans="2:14" x14ac:dyDescent="0.35">
      <c r="B95" s="59" t="s">
        <v>1521</v>
      </c>
      <c r="C95" s="57" t="s">
        <v>1113</v>
      </c>
      <c r="D95" s="56"/>
      <c r="E95" s="102" t="str">
        <f>IF(OR(TranslatemoduleName="[Name - FR]",TranslatemoduleName="[Name - ES]"),"",IF(InterventionsTranslate="[Name]","",InterventionsTranslate))</f>
        <v>Movilización social, creación de vínculos comunitarios y coordinación</v>
      </c>
      <c r="F95" s="56" t="s">
        <v>1522</v>
      </c>
      <c r="G95" s="57" t="s">
        <v>1513</v>
      </c>
      <c r="H95" s="56"/>
      <c r="I95" s="56" t="s">
        <v>1523</v>
      </c>
      <c r="J95" s="56" t="s">
        <v>1524</v>
      </c>
      <c r="K95" s="59" t="s">
        <v>1525</v>
      </c>
      <c r="L95" s="102" t="str">
        <f t="shared" si="1"/>
        <v>MCI-00807</v>
      </c>
      <c r="M95" s="102" t="str">
        <f>IFERROR(LOOKUP(2,1/(COUNTIF($M$10:M94,$E$12:$E$249)=0),$E$12:$E$249),IF($M$12=M94,"",IF(M94&lt;&gt;"",$M$12,"")))</f>
        <v>Prevención y tratamiento de la sobredosis</v>
      </c>
      <c r="N95" s="102" t="b">
        <v>1</v>
      </c>
    </row>
    <row r="96" spans="2:14" x14ac:dyDescent="0.35">
      <c r="B96" s="59" t="s">
        <v>652</v>
      </c>
      <c r="C96" s="57" t="s">
        <v>1113</v>
      </c>
      <c r="D96" s="56"/>
      <c r="E96" s="102" t="str">
        <f>IF(OR(TranslatemoduleName="[Name - FR]",TranslatemoduleName="[Name - ES]"),"",IF(InterventionsTranslate="[Name]","",InterventionsTranslate))</f>
        <v>Creación de capacidad institucional, planificación y desarrollo del liderazgo</v>
      </c>
      <c r="F96" s="56" t="s">
        <v>1526</v>
      </c>
      <c r="G96" s="57" t="s">
        <v>1513</v>
      </c>
      <c r="H96" s="56"/>
      <c r="I96" s="56" t="s">
        <v>1527</v>
      </c>
      <c r="J96" s="56" t="s">
        <v>1528</v>
      </c>
      <c r="K96" s="59" t="s">
        <v>1529</v>
      </c>
      <c r="L96" s="102" t="str">
        <f t="shared" si="1"/>
        <v>MCI-00808</v>
      </c>
      <c r="M96" s="102" t="str">
        <f>IFERROR(LOOKUP(2,1/(COUNTIF($M$10:M95,$E$12:$E$249)=0),$E$12:$E$249),IF($M$12=M95,"",IF(M95&lt;&gt;"",$M$12,"")))</f>
        <v>Tratamiento de sustitución de opiáceos y otros tratamientos de la drogodependencia que requieren atención médica</v>
      </c>
      <c r="N96" s="102" t="b">
        <v>1</v>
      </c>
    </row>
    <row r="97" spans="2:14" x14ac:dyDescent="0.35">
      <c r="B97" s="59" t="s">
        <v>1530</v>
      </c>
      <c r="C97" s="57" t="s">
        <v>1117</v>
      </c>
      <c r="D97" s="56"/>
      <c r="E97" s="102" t="str">
        <f>IF(OR(TranslatemoduleName="[Name - FR]",TranslatemoduleName="[Name - ES]"),"",IF(InterventionsTranslate="[Name]","",InterventionsTranslate))</f>
        <v>Estructuras de gestión y gobernanza de los laboratorios nacionales</v>
      </c>
      <c r="F97" s="56" t="s">
        <v>1531</v>
      </c>
      <c r="G97" s="57" t="s">
        <v>1532</v>
      </c>
      <c r="H97" s="56"/>
      <c r="I97" s="56" t="s">
        <v>1533</v>
      </c>
      <c r="J97" s="56" t="s">
        <v>1534</v>
      </c>
      <c r="K97" s="59" t="s">
        <v>1535</v>
      </c>
      <c r="L97" s="102" t="str">
        <f t="shared" si="1"/>
        <v>MCI-00809</v>
      </c>
      <c r="M97" s="102" t="str">
        <f>IFERROR(LOOKUP(2,1/(COUNTIF($M$10:M96,$E$12:$E$249)=0),$E$12:$E$249),IF($M$12=M96,"",IF(M96&lt;&gt;"",$M$12,"")))</f>
        <v>Programas de agujas y jeringuillas</v>
      </c>
      <c r="N97" s="102" t="b">
        <v>1</v>
      </c>
    </row>
    <row r="98" spans="2:14" x14ac:dyDescent="0.35">
      <c r="B98" s="59" t="s">
        <v>1536</v>
      </c>
      <c r="C98" s="57" t="s">
        <v>1117</v>
      </c>
      <c r="D98" s="56"/>
      <c r="E98" s="102" t="str">
        <f>IF(OR(TranslatemoduleName="[Name - FR]",TranslatemoduleName="[Name - ES]"),"",IF(InterventionsTranslate="[Name]","",InterventionsTranslate))</f>
        <v>Sistemas de gestión de infraestructuras y equipos</v>
      </c>
      <c r="F98" s="56" t="s">
        <v>1537</v>
      </c>
      <c r="G98" s="57" t="s">
        <v>1532</v>
      </c>
      <c r="H98" s="56"/>
      <c r="I98" s="56" t="s">
        <v>1538</v>
      </c>
      <c r="J98" s="56" t="s">
        <v>1539</v>
      </c>
      <c r="K98" s="59" t="s">
        <v>1540</v>
      </c>
      <c r="L98" s="102" t="str">
        <f t="shared" si="1"/>
        <v>MCI-00810</v>
      </c>
      <c r="M98" s="102" t="str">
        <f>IFERROR(LOOKUP(2,1/(COUNTIF($M$10:M97,$E$12:$E$249)=0),$E$12:$E$249),IF($M$12=M97,"",IF(M97&lt;&gt;"",$M$12,"")))</f>
        <v>Intervenciones de reducción de daño por consumo de drogas</v>
      </c>
      <c r="N98" s="102" t="b">
        <v>1</v>
      </c>
    </row>
    <row r="99" spans="2:14" x14ac:dyDescent="0.35">
      <c r="B99" s="59" t="s">
        <v>1541</v>
      </c>
      <c r="C99" s="57" t="s">
        <v>1117</v>
      </c>
      <c r="D99" s="56"/>
      <c r="E99" s="102" t="str">
        <f>IF(OR(TranslatemoduleName="[Name - FR]",TranslatemoduleName="[Name - ES]"),"",IF(InterventionsTranslate="[Name]","",InterventionsTranslate))</f>
        <v>Sistemas de gestión de la calidad y acreditación</v>
      </c>
      <c r="F99" s="56" t="s">
        <v>1542</v>
      </c>
      <c r="G99" s="57" t="s">
        <v>1532</v>
      </c>
      <c r="H99" s="56"/>
      <c r="I99" s="56" t="s">
        <v>1543</v>
      </c>
      <c r="J99" s="56" t="s">
        <v>1544</v>
      </c>
      <c r="K99" s="59" t="s">
        <v>1545</v>
      </c>
      <c r="L99" s="102" t="str">
        <f t="shared" si="1"/>
        <v>MCI-00811</v>
      </c>
      <c r="M99" s="102" t="str">
        <f>IFERROR(LOOKUP(2,1/(COUNTIF($M$10:M98,$E$12:$E$249)=0),$E$12:$E$249),IF($M$12=M98,"",IF(M98&lt;&gt;"",$M$12,"")))</f>
        <v>Servicios de salud sexual y reproductiva, incluyendo las ITS</v>
      </c>
      <c r="N99" s="102" t="b">
        <v>1</v>
      </c>
    </row>
    <row r="100" spans="2:14" x14ac:dyDescent="0.35">
      <c r="B100" s="59" t="s">
        <v>1546</v>
      </c>
      <c r="C100" s="57" t="s">
        <v>1117</v>
      </c>
      <c r="D100" s="56"/>
      <c r="E100" s="102" t="str">
        <f>IF(OR(TranslatemoduleName="[Name - FR]",TranslatemoduleName="[Name - ES]"),"",IF(InterventionsTranslate="[Name]","",InterventionsTranslate))</f>
        <v>Sistemas de información y redes de transporte de muestras integradas</v>
      </c>
      <c r="F100" s="56" t="s">
        <v>1547</v>
      </c>
      <c r="G100" s="57" t="s">
        <v>1532</v>
      </c>
      <c r="H100" s="56"/>
      <c r="I100" s="56" t="s">
        <v>1548</v>
      </c>
      <c r="J100" s="56" t="s">
        <v>1549</v>
      </c>
      <c r="K100" s="59" t="s">
        <v>1550</v>
      </c>
      <c r="L100" s="102" t="str">
        <f t="shared" si="1"/>
        <v>MCI-00812</v>
      </c>
      <c r="M100" s="102" t="str">
        <f>IFERROR(LOOKUP(2,1/(COUNTIF($M$10:M99,$E$12:$E$249)=0),$E$12:$E$249),IF($M$12=M99,"",IF(M99&lt;&gt;"",$M$12,"")))</f>
        <v>Empoderamiento comunitario</v>
      </c>
      <c r="N100" s="102" t="b">
        <v>1</v>
      </c>
    </row>
    <row r="101" spans="2:14" x14ac:dyDescent="0.35">
      <c r="B101" s="59" t="s">
        <v>1551</v>
      </c>
      <c r="C101" s="57" t="s">
        <v>1117</v>
      </c>
      <c r="D101" s="56"/>
      <c r="E101" s="102" t="str">
        <f>IF(OR(TranslatemoduleName="[Name - FR]",TranslatemoduleName="[Name - ES]"),"",IF(InterventionsTranslate="[Name]","",InterventionsTranslate))</f>
        <v>Sistemas de cadena de suministros para los laboratorios</v>
      </c>
      <c r="F101" s="56" t="s">
        <v>1552</v>
      </c>
      <c r="G101" s="57" t="s">
        <v>1532</v>
      </c>
      <c r="H101" s="56"/>
      <c r="I101" s="56" t="s">
        <v>1553</v>
      </c>
      <c r="J101" s="56" t="s">
        <v>1554</v>
      </c>
      <c r="K101" s="59" t="s">
        <v>1555</v>
      </c>
      <c r="L101" s="102" t="str">
        <f t="shared" si="1"/>
        <v>MCI-00813</v>
      </c>
      <c r="M101" s="102" t="str">
        <f>IFERROR(LOOKUP(2,1/(COUNTIF($M$10:M100,$E$12:$E$249)=0),$E$12:$E$249),IF($M$12=M100,"",IF(M100&lt;&gt;"",$M$12,"")))</f>
        <v>Intervenciones para cambio de comportamiento</v>
      </c>
      <c r="N101" s="102" t="b">
        <v>1</v>
      </c>
    </row>
    <row r="102" spans="2:14" x14ac:dyDescent="0.35">
      <c r="B102" s="59" t="s">
        <v>1120</v>
      </c>
      <c r="C102" s="57" t="s">
        <v>1121</v>
      </c>
      <c r="D102" s="56"/>
      <c r="E102" s="102" t="str">
        <f>IF(OR(TranslatemoduleName="[Name - FR]",TranslatemoduleName="[Name - ES]"),"",IF(InterventionsTranslate="[Name]","",InterventionsTranslate))</f>
        <v>Financiación basada en los resultados</v>
      </c>
      <c r="F102" s="56" t="s">
        <v>1556</v>
      </c>
      <c r="G102" s="57" t="s">
        <v>1557</v>
      </c>
      <c r="H102" s="56"/>
      <c r="I102" s="56" t="s">
        <v>1122</v>
      </c>
      <c r="J102" s="56" t="s">
        <v>1123</v>
      </c>
      <c r="K102" s="59" t="s">
        <v>1558</v>
      </c>
      <c r="L102" s="102" t="str">
        <f t="shared" si="1"/>
        <v>MCI-00814</v>
      </c>
      <c r="M102" s="102" t="str">
        <f>IFERROR(LOOKUP(2,1/(COUNTIF($M$10:M101,$E$12:$E$249)=0),$E$12:$E$249),IF($M$12=M101,"",IF(M101&lt;&gt;"",$M$12,"")))</f>
        <v>PrEP</v>
      </c>
      <c r="N102" s="102" t="b">
        <v>1</v>
      </c>
    </row>
    <row r="103" spans="2:14" x14ac:dyDescent="0.35">
      <c r="B103" s="59" t="s">
        <v>1559</v>
      </c>
      <c r="C103" s="57" t="s">
        <v>1128</v>
      </c>
      <c r="D103" s="56"/>
      <c r="E103" s="102" t="str">
        <f>IF(OR(TranslatemoduleName="[Name - FR]",TranslatemoduleName="[Name - ES]"),"",IF(InterventionsTranslate="[Name]","",InterventionsTranslate))</f>
        <v>Control y contención relacionada a COVID-19, incluyendo el fortalecimiento de los sistemas de salud</v>
      </c>
      <c r="F103" s="56" t="s">
        <v>1560</v>
      </c>
      <c r="G103" s="57" t="s">
        <v>1561</v>
      </c>
      <c r="H103" s="56"/>
      <c r="I103" s="56" t="s">
        <v>1562</v>
      </c>
      <c r="J103" s="56" t="s">
        <v>1563</v>
      </c>
      <c r="K103" s="59" t="s">
        <v>1564</v>
      </c>
      <c r="L103" s="102" t="str">
        <f t="shared" si="1"/>
        <v>MCI-01237</v>
      </c>
      <c r="M103" s="102" t="str">
        <f>IFERROR(LOOKUP(2,1/(COUNTIF($M$10:M102,$E$12:$E$249)=0),$E$12:$E$249),IF($M$12=M102,"",IF(M102&lt;&gt;"",$M$12,"")))</f>
        <v>Programas de preservativos y lubricantes</v>
      </c>
      <c r="N103" s="102" t="b">
        <v>1</v>
      </c>
    </row>
    <row r="104" spans="2:14" x14ac:dyDescent="0.35">
      <c r="B104" s="59" t="s">
        <v>1565</v>
      </c>
      <c r="C104" s="57" t="s">
        <v>1128</v>
      </c>
      <c r="D104" s="56"/>
      <c r="E104" s="102" t="str">
        <f>IF(OR(TranslatemoduleName="[Name - FR]",TranslatemoduleName="[Name - ES]"),"",IF(InterventionsTranslate="[Name]","",InterventionsTranslate))</f>
        <v>Mitigación de riesgos para los programas de las enfermedades</v>
      </c>
      <c r="F104" s="56" t="s">
        <v>1566</v>
      </c>
      <c r="G104" s="57" t="s">
        <v>1561</v>
      </c>
      <c r="H104" s="56"/>
      <c r="I104" s="56" t="s">
        <v>1567</v>
      </c>
      <c r="J104" s="56" t="s">
        <v>1568</v>
      </c>
      <c r="K104" s="59" t="s">
        <v>1569</v>
      </c>
      <c r="L104" s="102" t="str">
        <f t="shared" si="1"/>
        <v>MCI-01238</v>
      </c>
      <c r="M104" s="102" t="str">
        <f>IFERROR(LOOKUP(2,1/(COUNTIF($M$10:M103,$E$12:$E$249)=0),$E$12:$E$249),IF($M$12=M103,"",IF(M103&lt;&gt;"",$M$12,"")))</f>
        <v>[Name - ES]</v>
      </c>
      <c r="N104" s="102" t="b">
        <v>1</v>
      </c>
    </row>
    <row r="105" spans="2:14" x14ac:dyDescent="0.35">
      <c r="C105" s="52"/>
      <c r="D105" s="52"/>
      <c r="E105" s="52"/>
      <c r="F105" s="52"/>
      <c r="G105" s="52"/>
      <c r="H105" s="52"/>
      <c r="I105" s="52"/>
      <c r="J105" s="52"/>
    </row>
  </sheetData>
  <dataValidations count="2">
    <dataValidation type="custom" allowBlank="1" showInputMessage="1" showErrorMessage="1" errorTitle="X-Author for Excel" error="Id and Lookup fields are not editable." promptTitle="X-Author for Excel" sqref="G12:G104" xr:uid="{00000000-0002-0000-0600-000000000000}">
      <formula1>""</formula1>
    </dataValidation>
    <dataValidation type="list" allowBlank="1" showInputMessage="1" showErrorMessage="1" errorTitle="X-Author for Excel" error="Please select either TRUE or FALSE from the dropdown." promptTitle="X-Author for Excel" sqref="N12:N104" xr:uid="{E993696F-703C-4A32-98C0-6E5CB638B68A}">
      <formula1>"TRUE,FALSE"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B82F3FDC0493647B521A7A424B5B012" ma:contentTypeVersion="5" ma:contentTypeDescription=" Working Document (0 years retention period)" ma:contentTypeScope="" ma:versionID="988ef2041f9b574b4153810260189b2d">
  <xsd:schema xmlns:xsd="http://www.w3.org/2001/XMLSchema" xmlns:xs="http://www.w3.org/2001/XMLSchema" xmlns:p="http://schemas.microsoft.com/office/2006/metadata/properties" xmlns:ns2="a03ac030-8fc0-429e-a59d-aec15056182b" xmlns:ns3="http://schemas.microsoft.com/sharepoint/v4" xmlns:ns4="2219519e-2df8-4e68-9bc8-47ece53c639c" targetNamespace="http://schemas.microsoft.com/office/2006/metadata/properties" ma:root="true" ma:fieldsID="ccd14a736a2985a4fd4c1287b5566216" ns2:_="" ns3:_="" ns4:_="">
    <xsd:import namespace="a03ac030-8fc0-429e-a59d-aec15056182b"/>
    <xsd:import namespace="http://schemas.microsoft.com/sharepoint/v4"/>
    <xsd:import namespace="2219519e-2df8-4e68-9bc8-47ece53c639c"/>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19519e-2df8-4e68-9bc8-47ece53c639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3NAZ7T4E3CZ3-539361286-687</_dlc_DocId>
    <_dlc_DocIdUrl xmlns="a03ac030-8fc0-429e-a59d-aec15056182b">
      <Url>https://tgf.sharepoint.com/sites/TSA2F1/A2FD/_layouts/15/DocIdRedir.aspx?ID=3NAZ7T4E3CZ3-539361286-687</Url>
      <Description>3NAZ7T4E3CZ3-539361286-687</Description>
    </_dlc_DocIdUrl>
    <IconOverlay xmlns="http://schemas.microsoft.com/sharepoint/v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D a t a M a s h u p   x m l n s = " h t t p : / / s c h e m a s . m i c r o s o f t . c o m / D a t a M a s h u p " > A A A A A C U E A A B Q S w M E F A A C A A g A z 1 P s 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z 1 P s 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T 7 E 7 I u T g v H A E A A A w D A A A T A B w A R m 9 y b X V s Y X M v U 2 V j d G l v b j E u b S C i G A A o o B Q A A A A A A A A A A A A A A A A A A A A A A A A A A A D V k U 9 r h D A Q x e + C 3 y H Y i 4 I s L D 0 u H o p b 6 K V / q E I P I i W b n V b Z m C y T S d k i f v f G V V o r L j 0 3 l 8 D M 5 P c m 7 x k Q V G v F s u F e b 3 z P 9 0 z F E f b s X u + t h N c H 3 g B L m A T y P e Z O p i 2 K v n J 7 E i B X q U U E R S 8 a D z u t D 2 H U F v 2 L J M j 5 T s J 1 U H Z F q h W 5 k T I e A F d B W n H 1 7 h T y z y M E j n Q e X e X I l X n T 2 K R a 2 k b 1 T R M O a n H b B u M + r K c H M S P X Z g Q n 6 r r o G / w M j f 5 w 4 E e q A N n A M T 8 K G U j 3 z 7 E c z v a I Z x I T 7 B P q R p M b v A O + B 5 w Q x 8 5 Y D y 9 t E L N i n L y R M h N c c j Q J o Y U y W j R l / Y c r C y v 1 F p 2 d L 2 f m + F 6 t l j W m Y Q 9 p / b e c t / Y o a 8 E J J p F s a 0 O 1 E j T P 9 5 c R C 4 D N F 1 B L A Q I t A B Q A A g A I A M 9 T 7 E 7 G r a w E p w A A A P g A A A A S A A A A A A A A A A A A A A A A A A A A A A B D b 2 5 m a W c v U G F j a 2 F n Z S 5 4 b W x Q S w E C L Q A U A A I A C A D P U + x O D 8 r p q 6 Q A A A D p A A A A E w A A A A A A A A A A A A A A A A D z A A A A W 0 N v b n R l b n R f V H l w Z X N d L n h t b F B L A Q I t A B Q A A g A I A M 9 T 7 E 7 I u T g v H A E A A A w D A A A T A A A A A A A A A A A A A A A A A O Q B A A B G b 3 J t d W x h c y 9 T Z W N 0 a W 9 u M S 5 t U E s F B g A A A A A D A A M A w g A A A E 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h k S A A A A A A A A 9 x 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v Z H V s Z V 9 O Y W 1 l 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x O S 0 w N y 0 w M V Q x N D o y N D o 0 N i 4 3 N T E y M z I y W i I g L z 4 8 R W 5 0 c n k g V H l w Z T 0 i R m l s b E N v b H V t b l R 5 c G V z I i B W Y W x 1 Z T 0 i c 0 J n P T 0 i I C 8 + P E V u d H J 5 I F R 5 c G U 9 I k Z p b G x D b 2 x 1 b W 5 O Y W 1 l c y I g V m F s d W U 9 I n N b J n F 1 b 3 Q 7 W 0 5 h b W V d 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T W 9 k d W x l X 0 5 h b W U v Q 2 h h b m d l Z C B U e X B l M S 5 7 W 0 5 h b W V d L D B 9 J n F 1 b 3 Q 7 X S w m c X V v d D t D b 2 x 1 b W 5 D b 3 V u d C Z x d W 9 0 O z o x L C Z x d W 9 0 O 0 t l e U N v b H V t b k 5 h b W V z J n F 1 b 3 Q 7 O l t d L C Z x d W 9 0 O 0 N v b H V t b k l k Z W 5 0 a X R p Z X M m c X V v d D s 6 W y Z x d W 9 0 O 1 N l Y 3 R p b 2 4 x L 0 1 v Z H V s Z V 9 O Y W 1 l L 0 N o Y W 5 n Z W Q g V H l w Z T E u e 1 t O Y W 1 l X S w w f S Z x d W 9 0 O 1 0 s J n F 1 b 3 Q 7 U m V s Y X R p b 2 5 z a G l w S W 5 m b y Z x d W 9 0 O z p b X X 0 i I C 8 + P C 9 T d G F i b G V F b n R y a W V z P j w v S X R l b T 4 8 S X R l b T 4 8 S X R l b U x v Y 2 F 0 a W 9 u P j x J d G V t V H l w Z T 5 G b 3 J t d W x h P C 9 J d G V t V H l w Z T 4 8 S X R l b V B h d G g + U 2 V j d G l v b j E v T W 9 k d W x l X 0 5 h b W U v U 2 9 1 c m N l P C 9 J d G V t U G F 0 a D 4 8 L 0 l 0 Z W 1 M b 2 N h d G l v b j 4 8 U 3 R h Y m x l R W 5 0 c m l l c y A v P j w v S X R l b T 4 8 S X R l b T 4 8 S X R l b U x v Y 2 F 0 a W 9 u P j x J d G V t V H l w Z T 5 G b 3 J t d W x h P C 9 J d G V t V H l w Z T 4 8 S X R l b V B h d G g + U 2 V j d G l v b j E v T W 9 k d W x l X 0 5 h b W U v Q 2 h h b m d l Z C U y M F R 5 c G U 8 L 0 l 0 Z W 1 Q Y X R o P j w v S X R l b U x v Y 2 F 0 a W 9 u P j x T d G F i b G V F b n R y a W V z I C 8 + P C 9 J d G V t P j x J d G V t P j x J d G V t T G 9 j Y X R p b 2 4 + P E l 0 Z W 1 U e X B l P k Z v c m 1 1 b G E 8 L 0 l 0 Z W 1 U e X B l P j x J d G V t U G F 0 a D 5 T Z W N 0 a W 9 u M S 9 N b 2 R 1 b G V f T m F t Z S 9 S Z W 1 v d m V k J T I w T 3 R o Z X I l M j B D b 2 x 1 b W 5 z P C 9 J d G V t U G F 0 a D 4 8 L 0 l 0 Z W 1 M b 2 N h d G l v b j 4 8 U 3 R h Y m x l R W 5 0 c m l l c y A v P j w v S X R l b T 4 8 S X R l b T 4 8 S X R l b U x v Y 2 F 0 a W 9 u P j x J d G V t V H l w Z T 5 G b 3 J t d W x h P C 9 J d G V t V H l w Z T 4 8 S X R l b V B h d G g + U 2 V j d G l v b j E v T W 9 k d W x l X 0 5 h b W U v U H J v b W 9 0 Z W Q l M j B I Z W F k Z X J z P C 9 J d G V t U G F 0 a D 4 8 L 0 l 0 Z W 1 M b 2 N h d G l v b j 4 8 U 3 R h Y m x l R W 5 0 c m l l c y A v P j w v S X R l b T 4 8 S X R l b T 4 8 S X R l b U x v Y 2 F 0 a W 9 u P j x J d G V t V H l w Z T 5 G b 3 J t d W x h P C 9 J d G V t V H l w Z T 4 8 S X R l b V B h d G g + U 2 V j d G l v b j E v T W 9 k d W x l X 0 5 h b W U v Q 2 h h b m d l Z C U y M F R 5 c G U x P C 9 J d G V t U G F 0 a D 4 8 L 0 l 0 Z W 1 M b 2 N h d G l v b j 4 8 U 3 R h Y m x l R W 5 0 c m l l c y A v P j w v S X R l b T 4 8 S X R l b T 4 8 S X R l b U x v Y 2 F 0 a W 9 u P j x J d G V t V H l w Z T 5 G b 3 J t d W x h P C 9 J d G V t V H l w Z T 4 8 S X R l b V B h d G g + U 2 V j d G l v b j E v V G F i b G U z 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E 5 L T A 3 L T E y V D A 4 O j E 2 O j A x L j g 5 M j M 2 M T Z a I i A v P j x F b n R y e S B U e X B l P S J G a W x s Q 2 9 s d W 1 u V H l w Z X M i I F Z h b H V l P S J z Q m c 9 P S I g L z 4 8 R W 5 0 c n k g V H l w Z T 0 i R m l s b E N v b H V t b k 5 h b W V z I i B W Y W x 1 Z T 0 i c 1 s m c X V v d D s g T W 9 k d W x l I E 5 h b W U m c X V v d D t d I i A v P j x F b n R y e S B U e X B l P S J G a W x s U 3 R h d H V z I i B W Y W x 1 Z T 0 i c 0 N v b X B s Z X R l I i A v P j x F b n R y e S B U e X B l P S J S Z W x h d G l v b n N o a X B J b m Z v Q 2 9 u d G F p b m V y I i B W Y W x 1 Z T 0 i c 3 s m c X V v d D t j b 2 x 1 b W 5 D b 3 V u d C Z x d W 9 0 O z o x L C Z x d W 9 0 O 2 t l e U N v b H V t b k 5 h b W V z J n F 1 b 3 Q 7 O l s m c X V v d D s g T W 9 k d W x l I E 5 h b W U m c X V v d D t d L C Z x d W 9 0 O 3 F 1 Z X J 5 U m V s Y X R p b 2 5 z a G l w c y Z x d W 9 0 O z p b X S w m c X V v d D t j b 2 x 1 b W 5 J Z G V u d G l 0 a W V z J n F 1 b 3 Q 7 O l s m c X V v d D t T Z W N 0 a W 9 u M S 9 U Y W J s Z T M v Q 2 h h b m d l Z C B U e X B l L n s g T W 9 k d W x l I E 5 h b W U s M H 0 m c X V v d D t d L C Z x d W 9 0 O 0 N v b H V t b k N v d W 5 0 J n F 1 b 3 Q 7 O j E s J n F 1 b 3 Q 7 S 2 V 5 Q 2 9 s d W 1 u T m F t Z X M m c X V v d D s 6 W y Z x d W 9 0 O y B N b 2 R 1 b G U g T m F t Z S Z x d W 9 0 O 1 0 s J n F 1 b 3 Q 7 Q 2 9 s d W 1 u S W R l b n R p d G l l c y Z x d W 9 0 O z p b J n F 1 b 3 Q 7 U 2 V j d G l v b j E v V G F i b G U z L 0 N o Y W 5 n Z W Q g V H l w Z S 5 7 I E 1 v Z H V s Z S B O Y W 1 l 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z L 1 J l b W 9 2 Z W Q l M j B E d X B s a W N h d G V z P C 9 J d G V t U G F 0 a D 4 8 L 0 l 0 Z W 1 M b 2 N h d G l v b j 4 8 U 3 R h Y m x l R W 5 0 c m l l c y A v P j w v S X R l b T 4 8 L 0 l 0 Z W 1 z P j w v T G 9 j Y W x Q Y W N r Y W d l T W V 0 Y W R h d G F G a W x l P h Y A A A B Q S w U G A A A A A A A A A A A A A A A A A A A A A A A A 2 g A A A A E A A A D Q j J 3 f A R X R E Y x 6 A M B P w p f r A Q A A A L c 3 f 2 q x w V B I h 2 7 Y K e 3 A 5 P U A A A A A A g A A A A A A A 2 Y A A M A A A A A Q A A A A K t U 1 3 t Q / H p j b 1 M P i e R Q e e w A A A A A E g A A A o A A A A B A A A A B V 3 n H I L g v H x I N u m 9 L g 6 g U + U A A A A A D c D Y q Y 0 B c 1 P q x D w J / z q Q h A B M B b z Z a F u 5 W V m P H X v M C c f I u 4 T 8 V W 1 e g 3 6 J G v m G t u c K i M A 6 h 4 o W T a C o O n d 3 j j C h + 4 m P J N Q E Q M q C 9 7 z k F x 1 S J 5 F A A A A F S u / D W l S g S g d 6 U V 9 / b a w O E w 1 x K P < / D a t a M a s h u p > 
</file>

<file path=customXml/itemProps1.xml><?xml version="1.0" encoding="utf-8"?>
<ds:datastoreItem xmlns:ds="http://schemas.openxmlformats.org/officeDocument/2006/customXml" ds:itemID="{C2B85C08-57A9-490B-BF9B-EA2F3CC1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sharepoint/v4"/>
    <ds:schemaRef ds:uri="2219519e-2df8-4e68-9bc8-47ece53c6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4A77B7-EF83-4ED6-B26F-1B6FA60FAC33}">
  <ds:schemaRefs>
    <ds:schemaRef ds:uri="http://schemas.microsoft.com/sharepoint/v3/contenttype/forms"/>
  </ds:schemaRefs>
</ds:datastoreItem>
</file>

<file path=customXml/itemProps3.xml><?xml version="1.0" encoding="utf-8"?>
<ds:datastoreItem xmlns:ds="http://schemas.openxmlformats.org/officeDocument/2006/customXml" ds:itemID="{FAFD8EB1-C9E7-4E6B-80BE-7056C8FD86F9}">
  <ds:schemaRefs>
    <ds:schemaRef ds:uri="http://schemas.microsoft.com/office/2006/documentManagement/types"/>
    <ds:schemaRef ds:uri="2219519e-2df8-4e68-9bc8-47ece53c639c"/>
    <ds:schemaRef ds:uri="a03ac030-8fc0-429e-a59d-aec15056182b"/>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842C3852-59EA-40AB-873F-7DBBDFC063D4}">
  <ds:schemaRefs>
    <ds:schemaRef ds:uri="http://schemas.microsoft.com/sharepoint/events"/>
  </ds:schemaRefs>
</ds:datastoreItem>
</file>

<file path=customXml/itemProps5.xml><?xml version="1.0" encoding="utf-8"?>
<ds:datastoreItem xmlns:ds="http://schemas.openxmlformats.org/officeDocument/2006/customXml" ds:itemID="{2647E82C-1B1D-4BF7-A18F-340FBCF3B2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96</vt:i4>
      </vt:variant>
    </vt:vector>
  </HeadingPairs>
  <TitlesOfParts>
    <vt:vector size="99" baseType="lpstr">
      <vt:lpstr>Instructions</vt:lpstr>
      <vt:lpstr>PAAR</vt:lpstr>
      <vt:lpstr>Anexo a la PAAR</vt:lpstr>
      <vt:lpstr>_02ad39f3_57e3_49df_801f_0b57a1bdfb84</vt:lpstr>
      <vt:lpstr>_02bdc5b6_f405_4455_84ca_aac645fac99a</vt:lpstr>
      <vt:lpstr>_0aba1aad_a2db_4f91_bf15_fb17938568c4</vt:lpstr>
      <vt:lpstr>_0b156c7e_5d2f_4042_9bc9_55e6ef8d1f9e</vt:lpstr>
      <vt:lpstr>_100e0d0a_853d_42fd_ac33_2c0488ef7758</vt:lpstr>
      <vt:lpstr>_108f5ad8_7393_426d_9f7c_bae12068cdd8</vt:lpstr>
      <vt:lpstr>_12f80f5d_30f8_40b3_940d_52e55da78e79</vt:lpstr>
      <vt:lpstr>_1380a560_8917_4a6c_8643_5eaf67a107ec</vt:lpstr>
      <vt:lpstr>_1beb92be_190d_487d_8ba8_7231ac46b0f6</vt:lpstr>
      <vt:lpstr>_1d959eb1_25e0_459c_be70_75087b3e8e5c</vt:lpstr>
      <vt:lpstr>_1e83f210_e875_4af6_91e5_ac9c698a0120</vt:lpstr>
      <vt:lpstr>_200601b2_d857_4b7b_b9c8_b4b1dcfdbead</vt:lpstr>
      <vt:lpstr>_246c9ece_37cf_4f3d_bb58_d0705dabf0a1</vt:lpstr>
      <vt:lpstr>_2a721706_e90e_49c0_9b1b_9fe9a5604342</vt:lpstr>
      <vt:lpstr>_2d92d753_f6bf_4a5c_b057_9dc6f5816fb7</vt:lpstr>
      <vt:lpstr>_2e0733e5_9f9a_4068_8140_d34067ae9602</vt:lpstr>
      <vt:lpstr>_2f6b97be_955e_4555_b176_24eda76d7f6e</vt:lpstr>
      <vt:lpstr>_2fdc3edb_3b18_4068_b529_5df0f3710fc1</vt:lpstr>
      <vt:lpstr>_36f9532d_a51f_4081_9b33_d12464ae83b3</vt:lpstr>
      <vt:lpstr>_37f5b219_b7be_4068_92cf_9912ba353f53</vt:lpstr>
      <vt:lpstr>_39458981_54f6_4afa_ad0b_1abb0155050c</vt:lpstr>
      <vt:lpstr>_3a17e598_913f_4164_9970_95748140b3f3</vt:lpstr>
      <vt:lpstr>_3bced8e2_f8b6_4fbd_833e_c9cd21a3bbd8</vt:lpstr>
      <vt:lpstr>_3ed08b87_0856_47c6_ac1b_a0f75fac0829</vt:lpstr>
      <vt:lpstr>_4165c931_ccea_48b3_b6b8_b79823fbb780</vt:lpstr>
      <vt:lpstr>_42f04d30_cada_454c_b1b6_632a2aba90a2</vt:lpstr>
      <vt:lpstr>_43011b08_5bec_4974_8f93_a93601785563</vt:lpstr>
      <vt:lpstr>_43f42dc0_b49b_49bb_adf2_ff4aa3aeb9af</vt:lpstr>
      <vt:lpstr>_4674e4d5_5bf9_49ef_89e0_66eecaf67bfc</vt:lpstr>
      <vt:lpstr>_47248bf4_333e_4cf5_ab12_1664f6307394</vt:lpstr>
      <vt:lpstr>_4a840919_0905_4a1f_b4c7_fac45d99a9b3</vt:lpstr>
      <vt:lpstr>_4b6deeee_22f4_4978_af46_2f3f3b997083</vt:lpstr>
      <vt:lpstr>_4bdaa627_e613_4884_884e_9af563e81977</vt:lpstr>
      <vt:lpstr>_4fcd4c75_0cb5_47e0_80dc_d4dc6d52d7ab</vt:lpstr>
      <vt:lpstr>_514f35f9_1e87_4a11_ae79_17984f0da986</vt:lpstr>
      <vt:lpstr>_5252a73d_22e0_4a08_acbd_c5c7556fb6db</vt:lpstr>
      <vt:lpstr>_540f1fe9_0285_4ef3_81d9_5887d6ae37cb</vt:lpstr>
      <vt:lpstr>_5af35f97_4d7e_4e31_a529_293afd51e986</vt:lpstr>
      <vt:lpstr>_5c2decfc_19a2_4428_8964_baa83343b66f</vt:lpstr>
      <vt:lpstr>_616a9b6c_adcb_465e_9d12_aece5062f9ff</vt:lpstr>
      <vt:lpstr>_63a6d78c_0d06_428d_b1d8_7f467af58f32</vt:lpstr>
      <vt:lpstr>_6a4d5129_3c60_4b5c_99fa_99f187281ae6</vt:lpstr>
      <vt:lpstr>_6b9feab1_8a4e_4def_b9ea_d11b120def49</vt:lpstr>
      <vt:lpstr>_6c64e49b_420c_49d6_91eb_6f53bed8c310</vt:lpstr>
      <vt:lpstr>_6fab634e_ba2b_4907_88c0_020129f5d1d5</vt:lpstr>
      <vt:lpstr>_6fb8cdbb_658c_42c9_baa9_287e8003cb95</vt:lpstr>
      <vt:lpstr>_720d31b9_1eed_4b0b_9a73_79810b734349</vt:lpstr>
      <vt:lpstr>_735757ee_ca56_403a_ba6d_821953adfaa1</vt:lpstr>
      <vt:lpstr>_76895d3d_8612_4598_992e_68a7a3b1bec0</vt:lpstr>
      <vt:lpstr>_77e8fde8_f32c_4bc9_9276_d7590ae5c138</vt:lpstr>
      <vt:lpstr>_77efa5dd_9430_4266_9106_060c94e3525f</vt:lpstr>
      <vt:lpstr>_83b4b2b1_91da_4273_bb28_92579fd58b98</vt:lpstr>
      <vt:lpstr>_84f4f1c9_46d9_4d50_a578_70a0e140218e</vt:lpstr>
      <vt:lpstr>_8a19c987_bb5e_4dd5_b228_3f858988819f</vt:lpstr>
      <vt:lpstr>_8a4875f0_12c9_4b27_9d65_fc9de4040357</vt:lpstr>
      <vt:lpstr>_92fd79a5_236d_4c37_8d93_672656baa59d</vt:lpstr>
      <vt:lpstr>_94903140_df63_4838_b151_057f4b07305d</vt:lpstr>
      <vt:lpstr>_955d5dfa_899b_4044_bb68_9f852088faad</vt:lpstr>
      <vt:lpstr>_98683e66_00c0_4421_8d8e_08e5bd010020</vt:lpstr>
      <vt:lpstr>_98e9a85d_eea9_4a6f_9d7b_2208ff60b346</vt:lpstr>
      <vt:lpstr>_9b1a1afa_6ff0_4b63_99c7_81e1448db497</vt:lpstr>
      <vt:lpstr>_9be834b4_a26b_4262_908b_a17288c66a03</vt:lpstr>
      <vt:lpstr>_9dca9c75_8637_4106_a7b1_ad0381862a53</vt:lpstr>
      <vt:lpstr>_9fab802b_0c12_4609_9f3c_8910b7c9e5c8</vt:lpstr>
      <vt:lpstr>_a675865b_d1cf_41a8_b436_12dfc45ca429</vt:lpstr>
      <vt:lpstr>_ae238f09_06b7_4710_962a_a5f6a9de8456</vt:lpstr>
      <vt:lpstr>_b08a4c41_6e06_41b4_8de7_d7d4c4a5b0d0</vt:lpstr>
      <vt:lpstr>_b1e6fc1c_8ed8_4170_9175_366ea26d1fbd</vt:lpstr>
      <vt:lpstr>_b49f5148_45f2_4444_969f_cb60a476e6aa</vt:lpstr>
      <vt:lpstr>_ba4716e8_d1f2_4b6f_a64b_6cd058691c18</vt:lpstr>
      <vt:lpstr>_bc7903d4_63ad_46e5_8193_415282ed7994</vt:lpstr>
      <vt:lpstr>_bd1a71fb_21a6_4736_8941_5128f28a0c38</vt:lpstr>
      <vt:lpstr>_c33428e4_6095_46db_b4fd_df3facaf1c60</vt:lpstr>
      <vt:lpstr>_c42e2362_c27a_4990_84c5_bf06079e3898</vt:lpstr>
      <vt:lpstr>_c4b1b70f_1237_4bc6_aac4_6ff4977dfc62</vt:lpstr>
      <vt:lpstr>_cf51b15d_67aa_47fe_831c_8acb1e0e9d34</vt:lpstr>
      <vt:lpstr>_d60c1176_8250_4608_ba63_a3aa2999088d</vt:lpstr>
      <vt:lpstr>_e25ecbd0_9feb_4e3e_9eba_16e28d17c524</vt:lpstr>
      <vt:lpstr>_e61f5e65_2380_4c24_a2fc_986f3a3bdaa3</vt:lpstr>
      <vt:lpstr>_e7531f29_fe42_42f2_b46f_bfe48c63b6bb</vt:lpstr>
      <vt:lpstr>_f286ecd9_5053_4e73_b002_325ea2e11a14</vt:lpstr>
      <vt:lpstr>_f6b2f159_6c81_4d6a_82a6_2d671899269c</vt:lpstr>
      <vt:lpstr>_fcb0a822_ddff_4280_a0bf_4334a6e3465f</vt:lpstr>
      <vt:lpstr>_ffcb7369_0e6a_488d_b74d_d05766e525a6</vt:lpstr>
      <vt:lpstr>AIM_Funding_Request__c.AIM_Funding_Request_Currency__c</vt:lpstr>
      <vt:lpstr>AIM_Funding_Request__c.AIM_TRP_Review_Outcome__c</vt:lpstr>
      <vt:lpstr>Modules!Área_de_extracción</vt:lpstr>
      <vt:lpstr>'Add Info-Info Supp-Info Ad'!Área_de_impresión</vt:lpstr>
      <vt:lpstr>'Additional Info (EN)'!Área_de_impresión</vt:lpstr>
      <vt:lpstr>PAAR!Área_de_impresión</vt:lpstr>
      <vt:lpstr>'PAAR (EN)'!Área_de_impresión</vt:lpstr>
      <vt:lpstr>L1FR_PAAR_UQD_Intervention__c.L1FR_Applicant_Priority_Rating__c</vt:lpstr>
      <vt:lpstr>L1FR_PAAR_UQD_Intervention__c.L1FR_Status__c</vt:lpstr>
      <vt:lpstr>L1FR_PAAR_UQD_Intervention__c.L1FR_TRP_Priority__c</vt:lpstr>
      <vt:lpstr>PICKLISTKEYVALUEPAIR</vt:lpstr>
      <vt:lpstr>XAuthorInvalidPicklistData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Shreya Gurubacharya</dc:creator>
  <cp:lastModifiedBy>Maria Isabel Mendoza</cp:lastModifiedBy>
  <dcterms:created xsi:type="dcterms:W3CDTF">2018-07-31T08:09:43Z</dcterms:created>
  <dcterms:modified xsi:type="dcterms:W3CDTF">2021-02-08T23:02:54Z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0x010100DB1926E75FE6D448A94BA4FC7E9CAC0400EB82F3FDC0493647B521A7A424B5B012</vt:lpwstr>
  </property>
  <property fmtid="{D5CDD505-2E9C-101B-9397-08002B2CF9AE}" pid="3" name="_dlc_DocIdItemGuid">
    <vt:lpwstr>3d58d2e6-eb8c-4acb-b525-aebf403bbe8f</vt:lpwstr>
  </property>
  <property fmtid="{D5CDD505-2E9C-101B-9397-08002B2CF9AE}" pid="4" name="AuthorIds_UIVersion_3584">
    <vt:lpwstr>174</vt:lpwstr>
  </property>
  <property fmtid="{D5CDD505-2E9C-101B-9397-08002B2CF9AE}" pid="5" name="APPBUILDER_RUNTIME_FILE">
    <vt:lpwstr>true</vt:lpwstr>
  </property>
</Properties>
</file>