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mimcorleto\Desktop\"/>
    </mc:Choice>
  </mc:AlternateContent>
  <xr:revisionPtr revIDLastSave="0" documentId="8_{2E1EC609-B0DA-413E-A206-5D9A7D288E8F}" xr6:coauthVersionLast="46" xr6:coauthVersionMax="46" xr10:uidLastSave="{00000000-0000-0000-0000-000000000000}"/>
  <bookViews>
    <workbookView xWindow="-120" yWindow="-120" windowWidth="29040" windowHeight="15840" tabRatio="718" firstSheet="3" activeTab="4" xr2:uid="{00000000-000D-0000-FFFF-FFFF00000000}"/>
  </bookViews>
  <sheets>
    <sheet name="Menú" sheetId="1" r:id="rId1"/>
    <sheet name="Lista de indicadores" sheetId="2" r:id="rId2"/>
    <sheet name="Introducción de datos" sheetId="3" r:id="rId3"/>
    <sheet name="Información de la subvención" sheetId="4" r:id="rId4"/>
    <sheet name="Financiamiento" sheetId="5" r:id="rId5"/>
    <sheet name="Gestión" sheetId="6" r:id="rId6"/>
    <sheet name="Programatico" sheetId="7" r:id="rId7"/>
    <sheet name="Recomendaciones" sheetId="8" r:id="rId8"/>
    <sheet name="Acciones" sheetId="9" r:id="rId9"/>
    <sheet name="Setup" sheetId="10" state="hidden" r:id="rId10"/>
  </sheets>
  <externalReferences>
    <externalReference r:id="rId11"/>
    <externalReference r:id="rId12"/>
  </externalReferences>
  <definedNames>
    <definedName name="__xlfn_COMPOUNDVALUE">NA()</definedName>
    <definedName name="__xlfn_CUBEKPIMEMBER">NA()</definedName>
    <definedName name="__xlfn_CUBEMEMBER">NA()</definedName>
    <definedName name="__xlfn_CUBERANKEDMEMBER">NA()</definedName>
    <definedName name="__xlfn_CUBESET">NA()</definedName>
    <definedName name="__xlfn_CUBEVALUE">NA()</definedName>
    <definedName name="__xlnm.Print_Area" localSheetId="8">Acciones!$A$1:$L$43</definedName>
    <definedName name="__xlnm.Print_Area" localSheetId="4">Financiamiento!$A$2:$L$31</definedName>
    <definedName name="__xlnm.Print_Area" localSheetId="5">Gestión!$A$1:$L$31</definedName>
    <definedName name="__xlnm.Print_Area" localSheetId="3">'Información de la subvención'!$A$1:$K$15</definedName>
    <definedName name="__xlnm.Print_Area" localSheetId="2">'Introducción de datos'!$A$1:$Q$157</definedName>
    <definedName name="__xlnm.Print_Area" localSheetId="6">Programatico!$A$1:$Q$23</definedName>
    <definedName name="Afganistán" localSheetId="0">#NAME?</definedName>
    <definedName name="Afganistán">Countries</definedName>
    <definedName name="_xlnm.Print_Area" localSheetId="8">Acciones!$A$1:$L$43</definedName>
    <definedName name="_xlnm.Print_Area" localSheetId="4">Financiamiento!$A$2:$L$31</definedName>
    <definedName name="_xlnm.Print_Area" localSheetId="5">Gestión!$A$1:$L$31</definedName>
    <definedName name="_xlnm.Print_Area" localSheetId="3">'Información de la subvención'!$A$1:$K$15</definedName>
    <definedName name="_xlnm.Print_Area" localSheetId="2">'Introducción de datos'!$A$1:$Q$157</definedName>
    <definedName name="_xlnm.Print_Area" localSheetId="6">Programatico!$A$1:$Q$23</definedName>
    <definedName name="Ciudades">Setup!$J$9:$J$48</definedName>
    <definedName name="Component">Setup!$B$9:$B$14</definedName>
    <definedName name="Countries" localSheetId="0">[1]Setup!$J$9:$J$48</definedName>
    <definedName name="Countries">Setup!$J$9:$J$48</definedName>
    <definedName name="Currency">Setup!$C$9:$C$11</definedName>
    <definedName name="LFA">Setup!$H$9:$H$22</definedName>
    <definedName name="Medicaments">Setup!$I$9:$I$30</definedName>
    <definedName name="PERIOD">Setup!$F$9:$F$21</definedName>
    <definedName name="Phase">Setup!$E$9:$E$13</definedName>
    <definedName name="PrintA">Acciones!$A$2:$L$34</definedName>
    <definedName name="PrintDataF">'Introducción de datos'!$B$25:$J$76</definedName>
    <definedName name="PrintDataM">'Introducción de datos'!$B$78:$H$124</definedName>
    <definedName name="PrintF">Financiamiento!$A$2:$K$31</definedName>
    <definedName name="PrintGD">'Información de la subvención'!$A$2:$J$13</definedName>
    <definedName name="PrintM" localSheetId="8">Acciones!$A$2:$L$6</definedName>
    <definedName name="PrintM">Gestión!$A$2:$L$33</definedName>
    <definedName name="PrintP">Programatico!$A$2:$P$23</definedName>
    <definedName name="PrintR">Recomendaciones!$A$2:$N$41</definedName>
    <definedName name="Rating">Setup!$G$9:$G$14</definedName>
    <definedName name="Round">Setup!$D$9:$D$21</definedName>
  </definedNames>
  <calcPr calcId="181029"/>
</workbook>
</file>

<file path=xl/calcChain.xml><?xml version="1.0" encoding="utf-8"?>
<calcChain xmlns="http://schemas.openxmlformats.org/spreadsheetml/2006/main">
  <c r="F23" i="7" l="1"/>
  <c r="G23" i="7" s="1"/>
  <c r="E23" i="7"/>
  <c r="B23" i="7"/>
  <c r="F22" i="7"/>
  <c r="G22" i="7" s="1"/>
  <c r="E22" i="7"/>
  <c r="B22" i="7"/>
  <c r="F21" i="7"/>
  <c r="G21" i="7" s="1"/>
  <c r="E21" i="7"/>
  <c r="B21" i="7"/>
  <c r="F20" i="7"/>
  <c r="G20" i="7" s="1"/>
  <c r="E20" i="7"/>
  <c r="C40" i="3" l="1"/>
  <c r="C44" i="3"/>
  <c r="C46" i="3"/>
  <c r="C39" i="3"/>
  <c r="C47" i="3"/>
  <c r="C43" i="3"/>
  <c r="C41" i="3"/>
  <c r="I46" i="3"/>
  <c r="H46" i="3"/>
  <c r="I45" i="3"/>
  <c r="H45" i="3"/>
  <c r="H44" i="3"/>
  <c r="I43" i="3"/>
  <c r="H43" i="3"/>
  <c r="I42" i="3"/>
  <c r="H42" i="3"/>
  <c r="I40" i="3"/>
  <c r="H40" i="3"/>
  <c r="I39" i="3"/>
  <c r="H39" i="3"/>
  <c r="I38" i="3"/>
  <c r="I48" i="3" s="1"/>
  <c r="H38" i="3"/>
  <c r="H48" i="3" s="1"/>
  <c r="D47" i="3"/>
  <c r="D46" i="3"/>
  <c r="D44" i="3"/>
  <c r="D43" i="3"/>
  <c r="D41" i="3"/>
  <c r="D40" i="3"/>
  <c r="D39" i="3"/>
  <c r="D60" i="3"/>
  <c r="D58" i="3"/>
  <c r="C55" i="3"/>
  <c r="D55" i="3"/>
  <c r="D56" i="3" l="1"/>
  <c r="C58" i="3"/>
  <c r="C45" i="3"/>
  <c r="E64" i="3" l="1"/>
  <c r="C49" i="3" l="1"/>
  <c r="D49" i="3"/>
  <c r="J150" i="3" l="1"/>
  <c r="J151" i="3"/>
  <c r="J152" i="3"/>
  <c r="J153" i="3"/>
  <c r="J154" i="3"/>
  <c r="J155" i="3"/>
  <c r="B2" i="9" l="1"/>
  <c r="B3" i="9"/>
  <c r="C3" i="9"/>
  <c r="J3" i="9"/>
  <c r="L3" i="9"/>
  <c r="B4" i="9"/>
  <c r="C4" i="9"/>
  <c r="E4" i="9"/>
  <c r="J4" i="9"/>
  <c r="L4" i="9"/>
  <c r="D5" i="9"/>
  <c r="K5" i="9"/>
  <c r="L5" i="9"/>
  <c r="B34" i="9"/>
  <c r="B36" i="9"/>
  <c r="B2" i="5"/>
  <c r="B3" i="5"/>
  <c r="C3" i="5"/>
  <c r="I3" i="5"/>
  <c r="K3" i="5"/>
  <c r="B4" i="5"/>
  <c r="C4" i="5"/>
  <c r="E4" i="5"/>
  <c r="I4" i="5"/>
  <c r="K4" i="5"/>
  <c r="D5" i="5"/>
  <c r="J5" i="5"/>
  <c r="K5" i="5"/>
  <c r="O29" i="5"/>
  <c r="Q29" i="5"/>
  <c r="R29" i="5"/>
  <c r="O30" i="5"/>
  <c r="Q30" i="5"/>
  <c r="R30" i="5"/>
  <c r="O31" i="5"/>
  <c r="Q31" i="5"/>
  <c r="R31" i="5"/>
  <c r="B2" i="6"/>
  <c r="B3" i="6"/>
  <c r="C3" i="6"/>
  <c r="J3" i="6"/>
  <c r="L3" i="6"/>
  <c r="B4" i="6"/>
  <c r="C4" i="6"/>
  <c r="E4" i="6"/>
  <c r="J4" i="6"/>
  <c r="L4" i="6"/>
  <c r="D5" i="6"/>
  <c r="K5" i="6"/>
  <c r="L5" i="6"/>
  <c r="B26" i="6"/>
  <c r="H30" i="6"/>
  <c r="I30" i="6"/>
  <c r="E119" i="3"/>
  <c r="G119" i="3" s="1"/>
  <c r="I119" i="3" s="1"/>
  <c r="K30" i="6"/>
  <c r="B31" i="6"/>
  <c r="I31" i="6"/>
  <c r="E120" i="3"/>
  <c r="G120" i="3" s="1"/>
  <c r="I120" i="3" s="1"/>
  <c r="K31" i="6"/>
  <c r="I32" i="6"/>
  <c r="E121" i="3"/>
  <c r="G121" i="3" s="1"/>
  <c r="I121" i="3" s="1"/>
  <c r="K32" i="6"/>
  <c r="I33" i="6"/>
  <c r="E122" i="3"/>
  <c r="G122" i="3" s="1"/>
  <c r="I122" i="3" s="1"/>
  <c r="K33" i="6"/>
  <c r="I34" i="6"/>
  <c r="E123" i="3"/>
  <c r="G123" i="3" s="1"/>
  <c r="I123" i="3" s="1"/>
  <c r="K34" i="6"/>
  <c r="B3" i="4"/>
  <c r="B3" i="10" s="1"/>
  <c r="B6" i="4"/>
  <c r="F6" i="4"/>
  <c r="B9" i="4"/>
  <c r="D9" i="4"/>
  <c r="G9" i="4"/>
  <c r="I9" i="4"/>
  <c r="B10" i="4"/>
  <c r="D10" i="4"/>
  <c r="G10" i="4"/>
  <c r="B11" i="4"/>
  <c r="D11" i="4"/>
  <c r="G11" i="4"/>
  <c r="I11" i="4"/>
  <c r="B12" i="4"/>
  <c r="G12" i="4"/>
  <c r="B13" i="4"/>
  <c r="G13" i="4"/>
  <c r="C33" i="3"/>
  <c r="D33" i="3" s="1"/>
  <c r="B31" i="3"/>
  <c r="B32" i="3"/>
  <c r="P32" i="3"/>
  <c r="P51" i="3"/>
  <c r="N35" i="3"/>
  <c r="P33" i="3"/>
  <c r="C34" i="3"/>
  <c r="P34" i="3"/>
  <c r="F35" i="3"/>
  <c r="G35" i="3"/>
  <c r="H35" i="3"/>
  <c r="I35" i="3"/>
  <c r="K35" i="3"/>
  <c r="L35" i="3"/>
  <c r="M35" i="3"/>
  <c r="P35" i="3"/>
  <c r="C38" i="3"/>
  <c r="D38" i="3"/>
  <c r="P52" i="3"/>
  <c r="E53" i="3"/>
  <c r="O53" i="3"/>
  <c r="E55" i="3"/>
  <c r="E56" i="3"/>
  <c r="E57" i="3"/>
  <c r="P59" i="3"/>
  <c r="E60" i="3"/>
  <c r="E62" i="3"/>
  <c r="E63" i="3"/>
  <c r="E61" i="3"/>
  <c r="E65" i="3"/>
  <c r="H83" i="3"/>
  <c r="H84" i="3"/>
  <c r="E90" i="3"/>
  <c r="E100" i="3"/>
  <c r="E101" i="3"/>
  <c r="C110" i="3"/>
  <c r="E110" i="3" s="1"/>
  <c r="F110" i="3" s="1"/>
  <c r="D109" i="3"/>
  <c r="E109" i="3" s="1"/>
  <c r="F109" i="3" s="1"/>
  <c r="L109" i="3"/>
  <c r="M109" i="3" s="1"/>
  <c r="N109" i="3" s="1"/>
  <c r="L110" i="3"/>
  <c r="M110" i="3" s="1"/>
  <c r="N110" i="3" s="1"/>
  <c r="C111" i="3"/>
  <c r="D111" i="3" s="1"/>
  <c r="E111" i="3" s="1"/>
  <c r="F111" i="3" s="1"/>
  <c r="L111" i="3"/>
  <c r="M111" i="3" s="1"/>
  <c r="N111" i="3" s="1"/>
  <c r="E124" i="3"/>
  <c r="G124" i="3" s="1"/>
  <c r="I124" i="3" s="1"/>
  <c r="K124" i="3" s="1"/>
  <c r="H149" i="3"/>
  <c r="I149" i="3"/>
  <c r="J149" i="3"/>
  <c r="K149" i="3"/>
  <c r="L149" i="3"/>
  <c r="M149" i="3"/>
  <c r="N149" i="3"/>
  <c r="O149" i="3"/>
  <c r="P149" i="3"/>
  <c r="Q149" i="3"/>
  <c r="B150" i="3"/>
  <c r="E150" i="3"/>
  <c r="F150" i="3"/>
  <c r="H150" i="3"/>
  <c r="I150" i="3"/>
  <c r="K150" i="3"/>
  <c r="L150" i="3"/>
  <c r="M150" i="3"/>
  <c r="N150" i="3"/>
  <c r="O150" i="3"/>
  <c r="P150" i="3"/>
  <c r="Q150" i="3"/>
  <c r="H151" i="3"/>
  <c r="I151" i="3"/>
  <c r="K151" i="3"/>
  <c r="L151" i="3"/>
  <c r="M151" i="3"/>
  <c r="N151" i="3"/>
  <c r="O151" i="3"/>
  <c r="P151" i="3"/>
  <c r="Q151" i="3"/>
  <c r="B152" i="3"/>
  <c r="E152" i="3"/>
  <c r="F152" i="3"/>
  <c r="H152" i="3"/>
  <c r="I152" i="3"/>
  <c r="K152" i="3"/>
  <c r="L152" i="3"/>
  <c r="M152" i="3"/>
  <c r="N152" i="3"/>
  <c r="O152" i="3"/>
  <c r="P152" i="3"/>
  <c r="Q152" i="3"/>
  <c r="H153" i="3"/>
  <c r="I153" i="3"/>
  <c r="K153" i="3"/>
  <c r="L153" i="3"/>
  <c r="M153" i="3"/>
  <c r="N153" i="3"/>
  <c r="O153" i="3"/>
  <c r="P153" i="3"/>
  <c r="Q153" i="3"/>
  <c r="B154" i="3"/>
  <c r="E154" i="3"/>
  <c r="F154" i="3"/>
  <c r="H154" i="3"/>
  <c r="I154" i="3"/>
  <c r="K154" i="3"/>
  <c r="L154" i="3"/>
  <c r="M154" i="3"/>
  <c r="N154" i="3"/>
  <c r="O154" i="3"/>
  <c r="P154" i="3"/>
  <c r="Q154" i="3"/>
  <c r="H155" i="3"/>
  <c r="I155" i="3"/>
  <c r="K155" i="3"/>
  <c r="L155" i="3"/>
  <c r="M155" i="3"/>
  <c r="N155" i="3"/>
  <c r="O155" i="3"/>
  <c r="P155" i="3"/>
  <c r="Q155" i="3"/>
  <c r="B2" i="2"/>
  <c r="B8" i="2"/>
  <c r="B9" i="2"/>
  <c r="B10" i="2"/>
  <c r="B11" i="2"/>
  <c r="B19" i="2"/>
  <c r="B20" i="2"/>
  <c r="B21" i="2"/>
  <c r="B22" i="2"/>
  <c r="B23" i="2"/>
  <c r="B25" i="2"/>
  <c r="B2" i="1"/>
  <c r="B4" i="1"/>
  <c r="H4" i="1"/>
  <c r="B2" i="7"/>
  <c r="B3" i="7"/>
  <c r="C3" i="7"/>
  <c r="O3" i="7"/>
  <c r="Q3" i="7"/>
  <c r="B4" i="7"/>
  <c r="C4" i="7"/>
  <c r="E4" i="7"/>
  <c r="P4" i="7"/>
  <c r="Q4" i="7"/>
  <c r="D5" i="7"/>
  <c r="P5" i="7"/>
  <c r="Q5" i="7"/>
  <c r="B8" i="7"/>
  <c r="F8" i="7"/>
  <c r="L8" i="7"/>
  <c r="S21" i="7"/>
  <c r="U21" i="7"/>
  <c r="V21" i="7"/>
  <c r="W21" i="7"/>
  <c r="AA21" i="7"/>
  <c r="AB21" i="7"/>
  <c r="AC21" i="7"/>
  <c r="AD21" i="7"/>
  <c r="AE21" i="7"/>
  <c r="S22" i="7"/>
  <c r="T22" i="7"/>
  <c r="U22" i="7"/>
  <c r="V22" i="7"/>
  <c r="W22" i="7"/>
  <c r="Y22" i="7"/>
  <c r="Z22" i="7"/>
  <c r="AB22" i="7" s="1"/>
  <c r="S23" i="7"/>
  <c r="T23" i="7"/>
  <c r="U23" i="7"/>
  <c r="V23" i="7"/>
  <c r="W23" i="7"/>
  <c r="Y23" i="7"/>
  <c r="Z23" i="7"/>
  <c r="AB23" i="7" s="1"/>
  <c r="B2" i="8"/>
  <c r="B3" i="8"/>
  <c r="C3" i="8"/>
  <c r="L3" i="8"/>
  <c r="M3" i="8"/>
  <c r="B4" i="8"/>
  <c r="C4" i="8"/>
  <c r="E4" i="8"/>
  <c r="L4" i="8"/>
  <c r="M4" i="8"/>
  <c r="E5" i="8"/>
  <c r="L5" i="8"/>
  <c r="M5" i="8"/>
  <c r="D11" i="8"/>
  <c r="D12" i="8"/>
  <c r="D13" i="8"/>
  <c r="D14" i="8"/>
  <c r="D19" i="8"/>
  <c r="D20" i="8"/>
  <c r="E20" i="8"/>
  <c r="F20" i="8"/>
  <c r="D21" i="8"/>
  <c r="D22" i="8"/>
  <c r="D23" i="8"/>
  <c r="D24" i="8"/>
  <c r="D29" i="8"/>
  <c r="D30" i="8"/>
  <c r="D31" i="8"/>
  <c r="D32" i="8"/>
  <c r="D33" i="8"/>
  <c r="D34" i="8"/>
  <c r="D35" i="8"/>
  <c r="D36" i="8"/>
  <c r="D37" i="8"/>
  <c r="D38" i="8"/>
  <c r="D39" i="8"/>
  <c r="D40" i="8"/>
  <c r="D41" i="8"/>
  <c r="D34" i="3" l="1"/>
  <c r="B7" i="6"/>
  <c r="P29" i="3"/>
  <c r="C35" i="3"/>
  <c r="P30" i="3"/>
  <c r="AD23" i="7"/>
  <c r="N8" i="5"/>
  <c r="E58" i="3"/>
  <c r="B22" i="5"/>
  <c r="H15" i="6"/>
  <c r="AE23" i="7"/>
  <c r="AA22" i="7"/>
  <c r="AA23" i="7"/>
  <c r="AE22" i="7"/>
  <c r="AD22" i="7"/>
  <c r="J33" i="6"/>
  <c r="K122" i="3"/>
  <c r="L33" i="6" s="1"/>
  <c r="J34" i="6"/>
  <c r="K123" i="3"/>
  <c r="L34" i="6" s="1"/>
  <c r="J32" i="6"/>
  <c r="K121" i="3"/>
  <c r="L32" i="6" s="1"/>
  <c r="J31" i="6"/>
  <c r="K120" i="3"/>
  <c r="L31" i="6" s="1"/>
  <c r="K119" i="3"/>
  <c r="L30" i="6" s="1"/>
  <c r="J30" i="6"/>
  <c r="B15" i="6"/>
  <c r="H8" i="5"/>
  <c r="AC23" i="7"/>
  <c r="AC22" i="7"/>
  <c r="J35" i="3"/>
  <c r="H26" i="6"/>
  <c r="H7" i="6"/>
  <c r="O24" i="5"/>
  <c r="B8" i="5"/>
  <c r="D35" i="3" l="1"/>
  <c r="P31" i="3" l="1"/>
  <c r="E35" i="3"/>
  <c r="F4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83" authorId="0" shapeId="0" xr:uid="{00000000-0006-0000-0200-000001000000}">
      <text>
        <r>
          <rPr>
            <b/>
            <sz val="8"/>
            <color indexed="32"/>
            <rFont val="Tahoma"/>
            <family val="2"/>
            <charset val="1"/>
          </rPr>
          <t xml:space="preserve">Si los datos no están disponibles, no introduzca ceros; deje las celdas de la tabla en blanco. </t>
        </r>
      </text>
    </comment>
    <comment ref="B84" authorId="0" shapeId="0" xr:uid="{00000000-0006-0000-0200-000002000000}">
      <text>
        <r>
          <rPr>
            <b/>
            <sz val="8"/>
            <color indexed="32"/>
            <rFont val="Tahoma"/>
            <family val="2"/>
            <charset val="1"/>
          </rPr>
          <t>Si los datos no están disponibles, no introduzca ceros; deje las celdas de esta tabla en blanco.</t>
        </r>
      </text>
    </comment>
  </commentList>
</comments>
</file>

<file path=xl/sharedStrings.xml><?xml version="1.0" encoding="utf-8"?>
<sst xmlns="http://schemas.openxmlformats.org/spreadsheetml/2006/main" count="509" uniqueCount="371">
  <si>
    <t>Indicadores Financieros</t>
  </si>
  <si>
    <t>Nombre:</t>
  </si>
  <si>
    <t>Definición</t>
  </si>
  <si>
    <t>Mediciones</t>
  </si>
  <si>
    <t>Fuentes de información</t>
  </si>
  <si>
    <r>
      <t xml:space="preserve">Presupuesto acumulado: </t>
    </r>
    <r>
      <rPr>
        <sz val="11"/>
        <color indexed="8"/>
        <rFont val="Arial"/>
        <family val="2"/>
        <charset val="1"/>
      </rPr>
      <t xml:space="preserve">Importe del presupuesto de la subvención desde el periodo uno (trimestral, cuatrimestral o semestral) de la fase actual, hasta el periodo de referencia del cuadro de mando inclusive.
</t>
    </r>
    <r>
      <rPr>
        <b/>
        <sz val="11"/>
        <color indexed="8"/>
        <rFont val="Arial"/>
        <family val="2"/>
        <charset val="1"/>
      </rPr>
      <t xml:space="preserve">Desembolsos acumulados realizados por el Fondo Mundial: </t>
    </r>
    <r>
      <rPr>
        <sz val="11"/>
        <color indexed="8"/>
        <rFont val="Arial"/>
        <family val="2"/>
        <charset val="1"/>
      </rPr>
      <t>Suma de todos los fondos transferidos por el Fondo Mundial al RP o abonados directamente a los proveedores (p. ej. medicamentos, equipo, mosquiteras); hasta el periodo de referencia del cuadro de mando inclusive.</t>
    </r>
  </si>
  <si>
    <t>Moneda de la subvención ($ o euro) Acumulado – Cifras referidas al presupuesto y los desembolsos para todos los periodos de la fase hasta el periodo de referencia del cuadro de mando inclusive</t>
  </si>
  <si>
    <t>Información bancaria o contable del RP; notificación de desembolso del Fondo Mundial; informe de progreso actualizado/solicitud de desembolso; sitio web del Fondo Mundial</t>
  </si>
  <si>
    <r>
      <t>Presupuesto acumulado por objetivo:</t>
    </r>
    <r>
      <rPr>
        <sz val="11"/>
        <color indexed="8"/>
        <rFont val="Arial"/>
        <family val="2"/>
        <charset val="1"/>
      </rPr>
      <t xml:space="preserve"> Suma del presupuesto de la subvención por Objetivo, desde el periodo uno de la fase actual hasta el periodo de referencia del cuadro de mando inclusive. 
</t>
    </r>
    <r>
      <rPr>
        <b/>
        <sz val="11"/>
        <color indexed="8"/>
        <rFont val="Arial"/>
        <family val="2"/>
        <charset val="1"/>
      </rPr>
      <t>Gasto acumulado por objetivo:</t>
    </r>
    <r>
      <rPr>
        <sz val="11"/>
        <color indexed="8"/>
        <rFont val="Arial"/>
        <family val="2"/>
        <charset val="1"/>
      </rPr>
      <t xml:space="preserve"> Suma de las cantidades gastadas por objetivo directamente por el RP más las cantidades transferidas por el RP a todos los subreceptores desde el principio de la fase hasta el periodo de referencia del cuadro de mando inclusive, por objetivo</t>
    </r>
  </si>
  <si>
    <t>• Acumulado – Cifras referidas al presupuesto, los desembolsos o el gasto para todos los periodos de la fase hasta el periodo de referencia del cuadro de mando inclusive.</t>
  </si>
  <si>
    <r>
      <t>Desembolso realizado por el Fondo Mundial: Antes de este periodo de referencia:</t>
    </r>
    <r>
      <rPr>
        <sz val="11"/>
        <color indexed="8"/>
        <rFont val="Arial"/>
        <family val="2"/>
        <charset val="1"/>
      </rPr>
      <t xml:space="preserve"> Suma de las cantidades transferidas por el Fondo Mundial al RP o abonadas directamente a los proveedores (p. ej. medicamentos, equipo, mosquiteras), hasta, </t>
    </r>
    <r>
      <rPr>
        <b/>
        <i/>
        <sz val="11"/>
        <color indexed="8"/>
        <rFont val="Arial"/>
        <family val="2"/>
        <charset val="1"/>
      </rPr>
      <t>aunque sin incluirlo,</t>
    </r>
    <r>
      <rPr>
        <sz val="11"/>
        <color indexed="8"/>
        <rFont val="Arial"/>
        <family val="2"/>
        <charset val="1"/>
      </rPr>
      <t xml:space="preserve"> el periodo de referencia del cuadro de mando. </t>
    </r>
    <r>
      <rPr>
        <b/>
        <sz val="11"/>
        <color indexed="8"/>
        <rFont val="Arial"/>
        <family val="2"/>
        <charset val="1"/>
      </rPr>
      <t>Desembolso realizado por el Fondo Mundial: Periodo de referencia:</t>
    </r>
    <r>
      <rPr>
        <sz val="11"/>
        <color indexed="8"/>
        <rFont val="Arial"/>
        <family val="2"/>
        <charset val="1"/>
      </rPr>
      <t xml:space="preserve"> Suma de las cantidades transferidas por el Fondo Mundial al RP o abonadas directamente a los proveedores (p. ej. medicamentos, equipo, mosquiteras), durante el periodo de referencia del cuadro de mando. 
</t>
    </r>
    <r>
      <rPr>
        <b/>
        <sz val="11"/>
        <color indexed="8"/>
        <rFont val="Arial"/>
        <family val="2"/>
        <charset val="1"/>
      </rPr>
      <t>Desembolsos y gastos del RP:</t>
    </r>
    <r>
      <rPr>
        <sz val="11"/>
        <color indexed="8"/>
        <rFont val="Arial"/>
        <family val="2"/>
        <charset val="1"/>
      </rPr>
      <t xml:space="preserve"> </t>
    </r>
    <r>
      <rPr>
        <b/>
        <sz val="11"/>
        <color indexed="8"/>
        <rFont val="Arial"/>
        <family val="2"/>
        <charset val="1"/>
      </rPr>
      <t>Antes de este periodo de referencia:</t>
    </r>
    <r>
      <rPr>
        <sz val="11"/>
        <color indexed="8"/>
        <rFont val="Arial"/>
        <family val="2"/>
        <charset val="1"/>
      </rPr>
      <t xml:space="preserve"> Total de fondos registrados como gastados por el RP y/o desembolsados a los subreceptores hasta, </t>
    </r>
    <r>
      <rPr>
        <b/>
        <i/>
        <sz val="11"/>
        <color indexed="8"/>
        <rFont val="Arial"/>
        <family val="2"/>
        <charset val="1"/>
      </rPr>
      <t xml:space="preserve">aunque sin incluirlo, </t>
    </r>
    <r>
      <rPr>
        <sz val="11"/>
        <color indexed="8"/>
        <rFont val="Arial"/>
        <family val="2"/>
        <charset val="1"/>
      </rPr>
      <t>el periodo de referencia del cuadro de mando.</t>
    </r>
    <r>
      <rPr>
        <b/>
        <sz val="11"/>
        <color indexed="8"/>
        <rFont val="Arial"/>
        <family val="2"/>
        <charset val="1"/>
      </rPr>
      <t xml:space="preserve"> Desembolsos y gastos del RP: Periodo de referencia:</t>
    </r>
    <r>
      <rPr>
        <sz val="11"/>
        <color indexed="8"/>
        <rFont val="Arial"/>
        <family val="2"/>
        <charset val="1"/>
      </rPr>
      <t xml:space="preserve"> Total de fondos registrados como gastados por el RP y/o desembolsados a los subreceptores durante el periodo de referencia del cuadro de mando.
</t>
    </r>
    <r>
      <rPr>
        <b/>
        <sz val="11"/>
        <color indexed="8"/>
        <rFont val="Arial"/>
        <family val="2"/>
        <charset val="1"/>
      </rPr>
      <t xml:space="preserve">Desembolsos a los subreceptores: Antes de este periodo de referencia: </t>
    </r>
    <r>
      <rPr>
        <sz val="11"/>
        <color indexed="8"/>
        <rFont val="Arial"/>
        <family val="2"/>
        <charset val="1"/>
      </rPr>
      <t xml:space="preserve">El importe total transferido por el RP a los subreceptores, hasta, </t>
    </r>
    <r>
      <rPr>
        <b/>
        <i/>
        <sz val="11"/>
        <color indexed="8"/>
        <rFont val="Arial"/>
        <family val="2"/>
        <charset val="1"/>
      </rPr>
      <t>aunque sin incluirlo,</t>
    </r>
    <r>
      <rPr>
        <sz val="11"/>
        <color indexed="8"/>
        <rFont val="Arial"/>
        <family val="2"/>
        <charset val="1"/>
      </rPr>
      <t xml:space="preserve"> el periodo de referencia del cuadro de mando. </t>
    </r>
    <r>
      <rPr>
        <b/>
        <sz val="11"/>
        <color indexed="8"/>
        <rFont val="Arial"/>
        <family val="2"/>
        <charset val="1"/>
      </rPr>
      <t xml:space="preserve">Desembolsos a los subreceptores: Periodo de referencia: </t>
    </r>
    <r>
      <rPr>
        <sz val="11"/>
        <color indexed="8"/>
        <rFont val="Arial"/>
        <family val="2"/>
        <charset val="1"/>
      </rPr>
      <t xml:space="preserve">El importe total transferido por el RP a los subreceptores en el periodo de referencia del cuadro de mando.
</t>
    </r>
    <r>
      <rPr>
        <b/>
        <sz val="11"/>
        <color indexed="8"/>
        <rFont val="Arial"/>
        <family val="2"/>
        <charset val="1"/>
      </rPr>
      <t xml:space="preserve">Gastos de los subreceptores: Antes de este periodo de referencia: </t>
    </r>
    <r>
      <rPr>
        <sz val="11"/>
        <color indexed="8"/>
        <rFont val="Arial"/>
        <family val="2"/>
        <charset val="1"/>
      </rPr>
      <t xml:space="preserve">El importe de todos los gastos registrados por los subreceptores, hasta, </t>
    </r>
    <r>
      <rPr>
        <b/>
        <i/>
        <sz val="11"/>
        <color indexed="8"/>
        <rFont val="Arial"/>
        <family val="2"/>
        <charset val="1"/>
      </rPr>
      <t>aunque sin incluirlo,</t>
    </r>
    <r>
      <rPr>
        <sz val="11"/>
        <color indexed="8"/>
        <rFont val="Arial"/>
        <family val="2"/>
        <charset val="1"/>
      </rPr>
      <t xml:space="preserve"> el periodo de referencia del cuadro de mando. </t>
    </r>
    <r>
      <rPr>
        <b/>
        <sz val="11"/>
        <color indexed="8"/>
        <rFont val="Arial"/>
        <family val="2"/>
        <charset val="1"/>
      </rPr>
      <t>Gastos de los subreceptores: Periodo de referencia:</t>
    </r>
    <r>
      <rPr>
        <sz val="11"/>
        <color indexed="8"/>
        <rFont val="Arial"/>
        <family val="2"/>
        <charset val="1"/>
      </rPr>
      <t xml:space="preserve"> El importe de todos los gastos registrados por los subreceptores durante el periodo de referencia del cuadro de mando.</t>
    </r>
  </si>
  <si>
    <r>
      <t xml:space="preserve">Moneda de la subvención ($ o euro)
• Periodo de referencia – Cifras referidas al presupuesto, los desembolsos o el gasto para el periodo de referencia al que alude el cuadro de mando.
• Antes del periodo de referencia - Cifras referidas a todo el presupuesto, los desembolsos o el gasto para todos los periodos antes, </t>
    </r>
    <r>
      <rPr>
        <b/>
        <i/>
        <sz val="11"/>
        <color indexed="8"/>
        <rFont val="Arial"/>
        <family val="2"/>
        <charset val="1"/>
      </rPr>
      <t>aunque sin incluirlo,</t>
    </r>
    <r>
      <rPr>
        <sz val="11"/>
        <color indexed="8"/>
        <rFont val="Arial"/>
        <family val="2"/>
        <charset val="1"/>
      </rPr>
      <t xml:space="preserve"> del periodo actual.</t>
    </r>
  </si>
  <si>
    <t>Informe de progreso actualizado/solicitud de desembolso; datos del RP: informes de los subreceptores al RP</t>
  </si>
  <si>
    <r>
      <t xml:space="preserve">Días tardados en enviar el informe de progreso actualizado y solicitud de desembolso al ALF – </t>
    </r>
    <r>
      <rPr>
        <sz val="11"/>
        <color indexed="8"/>
        <rFont val="Arial"/>
        <family val="2"/>
        <charset val="1"/>
      </rPr>
      <t xml:space="preserve">Este indicador mide el número de días naturales que el RP ha tardado en enviar un informe de progreso actualizado y solicitud de desembolso final al ALF desde el final del periodo. Un informe de progreso actualizado y solicitud de desembolso final cuando el ALF no necesita más aclaraciones del RP.
El valor esperado es de 45 días a partir del final del periodo, según se establece en el acuerdo de subvención.
El valor real es el número de días naturales desde la fecha de finalización del periodo hasta la fecha en la que el RP ha enviado al ALF el informe de progreso actualizado y solicitud de desembolso final.
</t>
    </r>
    <r>
      <rPr>
        <b/>
        <sz val="11"/>
        <color indexed="8"/>
        <rFont val="Arial"/>
        <family val="2"/>
        <charset val="1"/>
      </rPr>
      <t xml:space="preserve">Días que el desembolso ha tardado en llegar al RP – </t>
    </r>
    <r>
      <rPr>
        <sz val="11"/>
        <color indexed="8"/>
        <rFont val="Arial"/>
        <family val="2"/>
        <charset val="1"/>
      </rPr>
      <t xml:space="preserve">Este indicador mide el número de días naturales que el Fondo Mundial ha tardado en enviar el último desembolso a la cuenta del RP tras la recepción del informe de progreso actualizado y solicitud de desembolso final aceptable por parte del ALF. 
El número esperado es de 45 días. 
El número real es el número de días desde la fecha de transmisión del RP al ALF del informe de progreso actualizado y solicitud de desembolso final aceptable hasta la fecha en la que el desembolso ha sido recibido por el RP en su banco.
</t>
    </r>
    <r>
      <rPr>
        <b/>
        <sz val="11"/>
        <color indexed="8"/>
        <rFont val="Arial"/>
        <family val="2"/>
        <charset val="1"/>
      </rPr>
      <t xml:space="preserve">Días que el desembolso ha tardado en llegar a los subreceptores – </t>
    </r>
    <r>
      <rPr>
        <sz val="11"/>
        <color indexed="8"/>
        <rFont val="Arial"/>
        <family val="2"/>
        <charset val="1"/>
      </rPr>
      <t>Este indicador mide la media de días en la que los desembolsos se han realizado a todos los subreceptores.
Los días esperados para este indicador se establecerán en el país por el RP y los subreceptores, preferiblemente en el Manual de Operaciones de la Subvención. 
Los días reales son la media de días desde que el RP recibió los fondos procedentes del Fondo Mundial hasta la fecha en la que los recibieron todos los subreceptores. Los distintos subreceptores pudieron recibir los fondos en fechas distintas, por lo que este indicador es la media de todos los subreceptores en relación al último desembolso.</t>
    </r>
  </si>
  <si>
    <r>
      <t xml:space="preserve">Número de días naturales; se refiere sólo al periodo de referencia para el que se recibió el último desembolso y </t>
    </r>
    <r>
      <rPr>
        <b/>
        <sz val="11"/>
        <color indexed="8"/>
        <rFont val="Arial"/>
        <family val="2"/>
        <charset val="1"/>
      </rPr>
      <t>no es acumulado</t>
    </r>
  </si>
  <si>
    <t>Correos electrónicos y registros del RP, ALF y el Fondo Mundial; documentos de notificación bancaria o acuse de recibo por parte del RP al Fondo Mundial; informes de los subreceptores al RP según los registros bancarios</t>
  </si>
  <si>
    <t>Indicadores de gestión</t>
  </si>
  <si>
    <t>Fuente de información</t>
  </si>
  <si>
    <r>
      <t xml:space="preserve">Número de condiciones precedentes y acciones con fecha límite, cumplidas o incumplidas. 
</t>
    </r>
    <r>
      <rPr>
        <sz val="11"/>
        <color indexed="8"/>
        <rFont val="Arial"/>
        <family val="2"/>
        <charset val="1"/>
      </rPr>
      <t>Cumplidas: Se refieren al número de las condiciones precedentes y acciones con fecha límite que se han llevado a cabo dentro el período establecido. 
No cumplidas: Se refiere al número de las condiciones precedentes y acciones con fecha límite incumplidas, diferenciando las que cuya fecha aún no ha pasado de su fecha límite con aquellas para los que el plazo ya se han pasado del tiempo establecido.</t>
    </r>
  </si>
  <si>
    <t>Número, acumulado hasta el periodo de referencia del cuadro de mando. El número de condiciones precedentes y actuaciones enmarcadas dentro de un calendario cumplidas más condiciones precedentes y actuaciones enmarcadas dentro de un calendario incumplidas debe ser igual al número total establecido por el Fondo Mundial en la subvención</t>
  </si>
  <si>
    <t>Registros del RP; informes de desempeño de la subvención;</t>
  </si>
  <si>
    <r>
      <t>Número de puestos directivos planificados de la subvención del RP actualmente cubiertos o vacantes.</t>
    </r>
    <r>
      <rPr>
        <sz val="11"/>
        <color indexed="8"/>
        <rFont val="Arial"/>
        <family val="2"/>
        <charset val="1"/>
      </rPr>
      <t xml:space="preserve"> Puestos directos de tiempo completo que están en el organigrama (o planificados de otra forma) y que son directamente responsables de garantizar la ejecución de la subvención en el RP y dirigir a los subreceptores (si es necesario). Incluye las nuevas contrataciones, el personal actual asignado a la gestión de la subvención, así como cualquier otro personal trasladado temporalmente de otras divisiones y organizaciones asociadas.</t>
    </r>
  </si>
  <si>
    <t>Número, en el actual periodo de referencia</t>
  </si>
  <si>
    <t>Registros del RP</t>
  </si>
  <si>
    <r>
      <t xml:space="preserve">
</t>
    </r>
    <r>
      <rPr>
        <b/>
        <sz val="11"/>
        <color indexed="8"/>
        <rFont val="Arial"/>
        <family val="2"/>
        <charset val="1"/>
      </rPr>
      <t xml:space="preserve">Identificados: </t>
    </r>
    <r>
      <rPr>
        <sz val="11"/>
        <color indexed="8"/>
        <rFont val="Arial"/>
        <family val="2"/>
        <charset val="1"/>
      </rPr>
      <t xml:space="preserve">Número total de subreceptores potenciales identificados por el RP para la fase. </t>
    </r>
    <r>
      <rPr>
        <b/>
        <sz val="11"/>
        <color indexed="8"/>
        <rFont val="Arial"/>
        <family val="2"/>
        <charset val="1"/>
      </rPr>
      <t xml:space="preserve">Evaluados: </t>
    </r>
    <r>
      <rPr>
        <sz val="11"/>
        <color indexed="8"/>
        <rFont val="Arial"/>
        <family val="2"/>
        <charset val="1"/>
      </rPr>
      <t xml:space="preserve">Número total de subreceptores potenciales evaluados por el RP para determinar si cumplen los requisitos para actuar como subreceptores de la subvención. </t>
    </r>
    <r>
      <rPr>
        <b/>
        <sz val="11"/>
        <color indexed="8"/>
        <rFont val="Arial"/>
        <family val="2"/>
        <charset val="1"/>
      </rPr>
      <t>Aprobados:</t>
    </r>
    <r>
      <rPr>
        <sz val="11"/>
        <color indexed="8"/>
        <rFont val="Arial"/>
        <family val="2"/>
        <charset val="1"/>
      </rPr>
      <t xml:space="preserve"> Número total de subreceptores que han sido aprobados</t>
    </r>
    <r>
      <rPr>
        <b/>
        <sz val="11"/>
        <color indexed="8"/>
        <rFont val="Arial"/>
        <family val="2"/>
        <charset val="1"/>
      </rPr>
      <t xml:space="preserve">. Firmados: </t>
    </r>
    <r>
      <rPr>
        <sz val="11"/>
        <color indexed="8"/>
        <rFont val="Arial"/>
        <family val="2"/>
        <charset val="1"/>
      </rPr>
      <t xml:space="preserve">Número total de subreceptores que han firmado acuerdos o contratos con el RP en relación a la subvención. </t>
    </r>
    <r>
      <rPr>
        <b/>
        <sz val="11"/>
        <color indexed="8"/>
        <rFont val="Arial"/>
        <family val="2"/>
        <charset val="1"/>
      </rPr>
      <t xml:space="preserve">Que reciben financiación: </t>
    </r>
    <r>
      <rPr>
        <sz val="11"/>
        <color indexed="8"/>
        <rFont val="Arial"/>
        <family val="2"/>
        <charset val="1"/>
      </rPr>
      <t xml:space="preserve">Número total de subreceptores que están recibiendo fondos y/o provisiones del RP.
Los números de subreceptores identificados, evaluados, firmados y que reciben fondos son acumulados para la fase, con las siguientes excepciones:  
Si un subreceptor no necesita una nueva aprobación en la Fase II, se tiene en cuenta la aprobación de la Fase I. 
Si un subreceptor ha firmado en la fase anterior, pero </t>
    </r>
    <r>
      <rPr>
        <b/>
        <sz val="11"/>
        <color indexed="8"/>
        <rFont val="Arial"/>
        <family val="2"/>
        <charset val="1"/>
      </rPr>
      <t>no</t>
    </r>
    <r>
      <rPr>
        <sz val="11"/>
        <color indexed="8"/>
        <rFont val="Arial"/>
        <family val="2"/>
        <charset val="1"/>
      </rPr>
      <t xml:space="preserve"> está trabajando en la fase actual, dicho subreceptor ya no se tiene en cuenta en Identificados, evaluados, aprobados.</t>
    </r>
  </si>
  <si>
    <t>Número, acumulado hasta el periodo de referencia. Un subreceptor es una institución o programa con un plan de trabajo, un presupuesto y unas metas de cumplimiento propios.</t>
  </si>
  <si>
    <t>Registros del RP; subacuerdos / memorandos de entendimiento; registros del MCP</t>
  </si>
  <si>
    <t xml:space="preserve">El número total de informes periódicos con información (del programa) financiera, de gestión y de rendimiento actualizada recibida por el RP de parte de los subreceptores y por los subreceptores de parte de los sub subreceptores en la fecha esperada. Un informe “completo” es aquel que contiene toda la información que el RP exige para el informe de progreso actualizado y solicitud de desembolso.
La fecha esperada sería establecida por el RP en los subacuerdos. </t>
  </si>
  <si>
    <r>
      <t xml:space="preserve">Número de informes recibidos. La cifra refleja sólo el periodo de referencia; no es </t>
    </r>
    <r>
      <rPr>
        <b/>
        <i/>
        <sz val="11"/>
        <color indexed="8"/>
        <rFont val="Arial"/>
        <family val="2"/>
        <charset val="1"/>
      </rPr>
      <t>acumulada.</t>
    </r>
  </si>
  <si>
    <t>Registros del RP y el subreceptor</t>
  </si>
  <si>
    <r>
      <t xml:space="preserve">Este indicador mide el presupuesto aprobado para la fase actual de la subvención para la compra de productos y equipos sanitarios, productos farmacéuticos y medicinas (categorías 4 y 5 en los nuevos Informes Financieros Mejorados) y las cantidades acumuladas de las obligaciones financieras y gastos hasta el periodo de referencia del cuadro de mando. 
Presupuesto </t>
    </r>
    <r>
      <rPr>
        <b/>
        <sz val="11"/>
        <color indexed="8"/>
        <rFont val="Arial"/>
        <family val="2"/>
        <charset val="1"/>
      </rPr>
      <t xml:space="preserve">aprobado: </t>
    </r>
    <r>
      <rPr>
        <sz val="11"/>
        <color indexed="8"/>
        <rFont val="Arial"/>
        <family val="2"/>
        <charset val="1"/>
      </rPr>
      <t xml:space="preserve">Presupuesto total aprobado para las compras (categorías 4 y 5) </t>
    </r>
    <r>
      <rPr>
        <b/>
        <i/>
        <sz val="11"/>
        <color indexed="8"/>
        <rFont val="Arial"/>
        <family val="2"/>
        <charset val="1"/>
      </rPr>
      <t>para la fase completa</t>
    </r>
    <r>
      <rPr>
        <i/>
        <sz val="11"/>
        <color indexed="8"/>
        <rFont val="Arial"/>
        <family val="2"/>
        <charset val="1"/>
      </rPr>
      <t xml:space="preserve"> </t>
    </r>
    <r>
      <rPr>
        <sz val="11"/>
        <color indexed="8"/>
        <rFont val="Arial"/>
        <family val="2"/>
        <charset val="1"/>
      </rPr>
      <t xml:space="preserve">de la subvención. No incluye las sumas para honorarios, gastos de gestión, gastos operativos, etc.
</t>
    </r>
    <r>
      <rPr>
        <b/>
        <sz val="11"/>
        <color indexed="8"/>
        <rFont val="Arial"/>
        <family val="2"/>
        <charset val="1"/>
      </rPr>
      <t>Obligaciones acumuladas:</t>
    </r>
    <r>
      <rPr>
        <sz val="11"/>
        <color indexed="8"/>
        <rFont val="Arial"/>
        <family val="2"/>
        <charset val="1"/>
      </rPr>
      <t xml:space="preserve"> Total de todos los pedidos realizados y sumas de dinero comprometidas para estas compras por parte del RP </t>
    </r>
    <r>
      <rPr>
        <b/>
        <i/>
        <sz val="11"/>
        <color indexed="8"/>
        <rFont val="Arial"/>
        <family val="2"/>
        <charset val="1"/>
      </rPr>
      <t xml:space="preserve">hasta </t>
    </r>
    <r>
      <rPr>
        <sz val="11"/>
        <color indexed="8"/>
        <rFont val="Arial"/>
        <family val="2"/>
        <charset val="1"/>
      </rPr>
      <t xml:space="preserve">el periodo de referencia del cuadro de mando inclusive. Lo ideal es que, al final de la fase, el presupuesto iguale a las obligaciones.
</t>
    </r>
    <r>
      <rPr>
        <b/>
        <sz val="11"/>
        <color indexed="8"/>
        <rFont val="Arial"/>
        <family val="2"/>
        <charset val="1"/>
      </rPr>
      <t>Gasto acumulado:</t>
    </r>
    <r>
      <rPr>
        <sz val="11"/>
        <color indexed="8"/>
        <rFont val="Arial"/>
        <family val="2"/>
        <charset val="1"/>
      </rPr>
      <t xml:space="preserve"> Total del gasto real en las categorías 4 y 5 </t>
    </r>
    <r>
      <rPr>
        <b/>
        <i/>
        <sz val="11"/>
        <color indexed="8"/>
        <rFont val="Arial"/>
        <family val="2"/>
        <charset val="1"/>
      </rPr>
      <t>hasta</t>
    </r>
    <r>
      <rPr>
        <sz val="11"/>
        <color indexed="8"/>
        <rFont val="Arial"/>
        <family val="2"/>
        <charset val="1"/>
      </rPr>
      <t xml:space="preserve"> el periodo de referencia del cuadro de mando inclusive (tanto si ha sido pagado por el RP como si ha sido autorizado a ser abonado por otra entidad, como el Fondo Mundial u otro).</t>
    </r>
  </si>
  <si>
    <t>Moneda de la subvención ($ o euro)</t>
  </si>
  <si>
    <t>Presupuesto aprobado del acuerdo de subvención (para las categorías 4 y 5 de los informes financieros mejorados de la fase actual); y datos financieros del RP (para gastos) y/o unidades de gestión de adquisición y suministro (para pedidos realizados y fondos comprometidos u obligados).</t>
  </si>
  <si>
    <r>
      <t xml:space="preserve">Nota: </t>
    </r>
    <r>
      <rPr>
        <sz val="11"/>
        <color indexed="8"/>
        <rFont val="Arial"/>
        <family val="2"/>
        <charset val="1"/>
      </rPr>
      <t xml:space="preserve">La categoría 6 de los Informes Financieros Mejorados no será considerada como parte del presupuesto de productos farmacéuticos. La categoría 6 tiene diversos gastos que resultan difíciles de separar o cuantificar, tales como gastos de depósito, costos de distribución (especialmente cuando la distribución es realizada por los Ministerios de Sanidad) y otros relacionados con los costos operativos de la gestión de adquisición y suministro. </t>
    </r>
  </si>
  <si>
    <t xml:space="preserve">Este indicador es un reflejo de la diferencia entre el nivel de existencias actuales (o del último mes) de un producto específico (combinaciones en dosis fija de medicamentos, mosquitero, equipos de diagnóstico, etc.) de una dosis determinada, expresada en necesidades mensuales (número de meses de tratamiento disponible) para todos los pacientes del programa y las existencias de seguridad o de regulación (también expresado en meses) según se establece en el programa de la enfermedad, el sistema de almacenamiento o el programa de medicamentos esenciales, para el determinado producto o dosis.  
La tabla mostrará la diferencia de los meses en colores:
• ROJO: cuando la diferencia es negativa o 0 y muestra que los meses de las existencias actuales son inferiores o iguales a los que han sido establecidos como meses de existencias de seguridad
• AMARILLO: cuando disponemos de más que el nivel de existencias de seguridad (&gt;0), pero menos de 3 meses (+3).
• VERDE: cuando la diferencia es entre 3 y 18 meses.
• VIOLETA: Cuando la diferencia muestra que el nivel sobre las existencias de seguridad es mayor o igual a 18 meses, lo que indica un posible problema de excedentes de existencias.
Para ver una descripción completa de la forma de cálculo de este indicador, consulte el Manual de Usuario.
</t>
  </si>
  <si>
    <t>Número de meses</t>
  </si>
  <si>
    <t>Registros del RP: datos de almacenamiento.</t>
  </si>
  <si>
    <t>Indicadores del programa (del Marco de Referencia)</t>
  </si>
  <si>
    <t>Indicador</t>
  </si>
  <si>
    <t>Definición (del Plan de Monitoreo y Evaluación, junio de 2007)</t>
  </si>
  <si>
    <t xml:space="preserve">Los indicadores deben ser seleccionados del Marco de Referencia por los RP y los miembros del MCP o del Comité Técnico del MCP </t>
  </si>
  <si>
    <t>Marco de referencia</t>
  </si>
  <si>
    <t>Información de la subvención</t>
  </si>
  <si>
    <t>País:</t>
  </si>
  <si>
    <t>El Salvador</t>
  </si>
  <si>
    <t>Título de la subvención:</t>
  </si>
  <si>
    <t>Subvención nº:</t>
  </si>
  <si>
    <t xml:space="preserve">SLV-T-MOH </t>
  </si>
  <si>
    <t>Componente:</t>
  </si>
  <si>
    <t>TB</t>
  </si>
  <si>
    <t>Financiación total:</t>
  </si>
  <si>
    <t>Receptor Principal:</t>
  </si>
  <si>
    <t xml:space="preserve">Ministerio de Salud </t>
  </si>
  <si>
    <t>Fecha de inicio (dd/mm/aa):</t>
  </si>
  <si>
    <t>Agente Local del Fondo:</t>
  </si>
  <si>
    <t>Grupo Jacobs</t>
  </si>
  <si>
    <t>Ultima calificación:</t>
  </si>
  <si>
    <t>B1</t>
  </si>
  <si>
    <t>Gerente de Cartera del Fondo:</t>
  </si>
  <si>
    <t>Periodo de referencia del que se informa</t>
  </si>
  <si>
    <t>Periodo:</t>
  </si>
  <si>
    <t>P2</t>
  </si>
  <si>
    <t>Desde:</t>
  </si>
  <si>
    <t>Hasta:</t>
  </si>
  <si>
    <t>Fecha de introducción de la información:</t>
  </si>
  <si>
    <t>Elaborado por:</t>
  </si>
  <si>
    <t>UAFM/UFE/MINSAL.</t>
  </si>
  <si>
    <t>Información sobre los indicadores</t>
  </si>
  <si>
    <t>Introduzca los datos según el código de colores de las celdas</t>
  </si>
  <si>
    <t xml:space="preserve">Información financiera: </t>
  </si>
  <si>
    <t xml:space="preserve">Información de gestión: </t>
  </si>
  <si>
    <t xml:space="preserve">Información de programa: </t>
  </si>
  <si>
    <t xml:space="preserve">     Introduzca los datos financieros en todas las celdas naranjas como ésta.</t>
  </si>
  <si>
    <t>Moneda de la subvención</t>
  </si>
  <si>
    <t>$</t>
  </si>
  <si>
    <t>F1: Presupuesto y desembolsos del Fondo Mundial</t>
  </si>
  <si>
    <t>Desembolsos</t>
  </si>
  <si>
    <t>Periodo de referencia</t>
  </si>
  <si>
    <t>P1</t>
  </si>
  <si>
    <t>P3</t>
  </si>
  <si>
    <t>P4</t>
  </si>
  <si>
    <t>P5</t>
  </si>
  <si>
    <t>P6</t>
  </si>
  <si>
    <t>P7</t>
  </si>
  <si>
    <t>P8</t>
  </si>
  <si>
    <t>P9</t>
  </si>
  <si>
    <t>P10</t>
  </si>
  <si>
    <t>P11</t>
  </si>
  <si>
    <t>P12</t>
  </si>
  <si>
    <t>Presupuesto acumulado</t>
  </si>
  <si>
    <t>Desembolsos  acumulados</t>
  </si>
  <si>
    <t>F2: Presupuesto y gastos reales por estrategias de la subvención anual</t>
  </si>
  <si>
    <t>Estrategias de la Subvención</t>
  </si>
  <si>
    <t>1: Detección precoz de casos de tuberculosis</t>
  </si>
  <si>
    <t>2: Tratamiento de casos TB de todas las formas</t>
  </si>
  <si>
    <t>3: Detección de casos TB/MDR</t>
  </si>
  <si>
    <t>4: Tratamiento de casos TB/MDR</t>
  </si>
  <si>
    <t>5: Disminución de la mortalidad por TB/VIH</t>
  </si>
  <si>
    <t>6: Atención integral a grupos de más alto riesgo</t>
  </si>
  <si>
    <t>7: Fortalecimiento al Sistema de Salud</t>
  </si>
  <si>
    <t>Monitoreo y Evaluación</t>
  </si>
  <si>
    <t>Planificación, Coordinación y Gerencia</t>
  </si>
  <si>
    <t>Total</t>
  </si>
  <si>
    <t>* Informe de avance semestral de gastos y el presupuesto es anual</t>
  </si>
  <si>
    <t>F3: Desembolsos y gastos</t>
  </si>
  <si>
    <t>Anterior al periodo de referencia</t>
  </si>
  <si>
    <t>Periodo de referencia actual</t>
  </si>
  <si>
    <t>Gasto* + Desembolso agentes*</t>
  </si>
  <si>
    <t>Saldo en caja</t>
  </si>
  <si>
    <t>F3a: Detalles Desembolsos y gastos</t>
  </si>
  <si>
    <t>Gasto de RP MINSAL</t>
  </si>
  <si>
    <t>Gastos de los Agentes de Compra PNUD</t>
  </si>
  <si>
    <t>Gastos de los Agentes de Compra OPS</t>
  </si>
  <si>
    <t>F4: Último ciclo de información y desembolso del RP</t>
  </si>
  <si>
    <t>Último desembolso de fondos: Número de días calendario</t>
  </si>
  <si>
    <t>(Días) esperados</t>
  </si>
  <si>
    <t>(Días) reales</t>
  </si>
  <si>
    <t>Días tardados en presentar el informe de progreso actualizado y solicitud de desembolso al ALF</t>
  </si>
  <si>
    <t>Días que el desembolso ha tardado en llegar al RP</t>
  </si>
  <si>
    <t>Días que el desembolso ha tardado en llegar a los agentes de compra</t>
  </si>
  <si>
    <t>Información de gestión:</t>
  </si>
  <si>
    <t xml:space="preserve">     Introduzca los datos de gestión en todas las celdas azules.</t>
  </si>
  <si>
    <t>M1: Estado de las condiciones precedentes y acciones con fecha límite</t>
  </si>
  <si>
    <t>Para el periodo</t>
  </si>
  <si>
    <t>Cumplidas</t>
  </si>
  <si>
    <t>No cumplidas, aunque dentro de plazo</t>
  </si>
  <si>
    <t>No cumplidas y con el plazo vencido</t>
  </si>
  <si>
    <t>Condiciones precedentes</t>
  </si>
  <si>
    <t>Acciones con fecha límite*</t>
  </si>
  <si>
    <t>* Carta de Retroalimentación recibida del 29 Septiembre 2017</t>
  </si>
  <si>
    <t>M2: Estado de los principales puestos directivos del RP</t>
  </si>
  <si>
    <t>Planificados</t>
  </si>
  <si>
    <t>Cubiertos</t>
  </si>
  <si>
    <t>Vacantes</t>
  </si>
  <si>
    <t>Unidad de gestión de proyecto</t>
  </si>
  <si>
    <t>M3: Acuerdos contractuales</t>
  </si>
  <si>
    <t>Identificados</t>
  </si>
  <si>
    <t>Evaluados</t>
  </si>
  <si>
    <t>Aprobados</t>
  </si>
  <si>
    <t>Firmados</t>
  </si>
  <si>
    <t>Que reciben financiación</t>
  </si>
  <si>
    <t>Subreceptores</t>
  </si>
  <si>
    <t>N/A</t>
  </si>
  <si>
    <t>M4: Número de informes completos recibidos a tiempo</t>
  </si>
  <si>
    <t>Esperados</t>
  </si>
  <si>
    <t>Recibidos</t>
  </si>
  <si>
    <t>Pendientes</t>
  </si>
  <si>
    <t>Sub SR al SR</t>
  </si>
  <si>
    <t>Personal Técnico al RP</t>
  </si>
  <si>
    <t>M5: Presupuesto y compra de productos y equipo sanitario, medicamentos y productos farmacéuticos</t>
  </si>
  <si>
    <t>Presupuesto aprobado*</t>
  </si>
  <si>
    <t>Obligaciones</t>
  </si>
  <si>
    <t>Gastos</t>
  </si>
  <si>
    <t>Presupuesto aprobado acumulado*</t>
  </si>
  <si>
    <t>Obligaciones acumuladas</t>
  </si>
  <si>
    <t>Gastos acumulados</t>
  </si>
  <si>
    <t>* Incluye sólo los montos de las categorías 4 y 5 (Productos y equipamientos sanitarios y Medicamentos y productos farmacéuticos) de los  Informes Financieros Mejorados</t>
  </si>
  <si>
    <t>M6: Diferencia entre existencias actuales y existencias de seguridad</t>
  </si>
  <si>
    <t>Componente</t>
  </si>
  <si>
    <t>Productos</t>
  </si>
  <si>
    <t>(1)
Número de pastillas por paciente/día
(Revisión de las normas de tratamiento del país)</t>
  </si>
  <si>
    <t>(2 = 1 x 30)
Tratamiento mensual 
(Pastillas por paciente cada 30 días)</t>
  </si>
  <si>
    <t>(3)
Número total de pacientes en tratamiento</t>
  </si>
  <si>
    <t>(4 = 2 x 3)
Número total de pastillas que se necesitan para todos los pacientes durante un mes</t>
  </si>
  <si>
    <t>(5)
Existencias actuales en el almacén central (que no caducarán en los próximos 3 meses)</t>
  </si>
  <si>
    <t>(6 = 5 / 4)
Nivel de existencias expresado en meses de tratamiento para todos los pacientes actuales</t>
  </si>
  <si>
    <t xml:space="preserve">(7)
Nivel de existencias de seguridad
(expresado en meses y diferenciado por países) </t>
  </si>
  <si>
    <t>(8 = 6 - 7)
Diferencia entre existencias actuales y existencias de seguridad</t>
  </si>
  <si>
    <t>PASER</t>
  </si>
  <si>
    <t>Cicloserina 250mg</t>
  </si>
  <si>
    <t>Kanamicina 1gr</t>
  </si>
  <si>
    <t>Etionamida 250mg</t>
  </si>
  <si>
    <t>Levofloxacina</t>
  </si>
  <si>
    <t>Información de programa:</t>
  </si>
  <si>
    <t xml:space="preserve">     Introduzca los datos de desempeño en todas las celdas amarillas.</t>
  </si>
  <si>
    <t>Indicadores de programa (Marco de Referencia)</t>
  </si>
  <si>
    <t>Código</t>
  </si>
  <si>
    <t>¿Directamente vinculados?</t>
  </si>
  <si>
    <t>3 PRIMEROS</t>
  </si>
  <si>
    <t>Yes</t>
  </si>
  <si>
    <t>Meta</t>
  </si>
  <si>
    <t>Logro</t>
  </si>
  <si>
    <t>La tabla se actualiza de forma automática. No debe introducirse aquí ningún dato o información.</t>
  </si>
  <si>
    <t>Fecha de inicio:</t>
  </si>
  <si>
    <t>Financiación total</t>
  </si>
  <si>
    <t>Convocatoria:</t>
  </si>
  <si>
    <t>Fase:</t>
  </si>
  <si>
    <t>Receptor principal:</t>
  </si>
  <si>
    <t>Periodo de referencia:</t>
  </si>
  <si>
    <t>desde:</t>
  </si>
  <si>
    <t>hasta:</t>
  </si>
  <si>
    <t>Última calificación:</t>
  </si>
  <si>
    <t>Fecha de elaboración del informe:</t>
  </si>
  <si>
    <t>Indicadores financieros</t>
  </si>
  <si>
    <t>Comentarios:</t>
  </si>
  <si>
    <t>Periodo Actual</t>
  </si>
  <si>
    <t>Periodo Anterior</t>
  </si>
  <si>
    <t xml:space="preserve">Comentarios: </t>
  </si>
  <si>
    <t xml:space="preserve">Se ha cumplido con los informes presentados de forma oportuna, asi como el FM a enviado los desembolsos de forma anticipado. </t>
  </si>
  <si>
    <t>Último desembolso de fondos: Días calendario</t>
  </si>
  <si>
    <t>No hay sub receptores</t>
  </si>
  <si>
    <t>Adquisición a traves del Fondo Estrategico OPS.</t>
  </si>
  <si>
    <t>Los productos enlistados son medicamentos antituberculosis de segunda linea,es importante hacer mención que estos son adquiridos con financiamiento del Estado como compromiso de contrapartida.
Los medicamentos que se denotan como desabastecidos ha sido porque se han utilizado otros generico familiar ejemplo de ello la Ciprofloxacina por Levofloxacina y la Gentamicina por Amikacina, medicamnetos que son adquiridos por financiamiento del estado, el paciente no se ha encontrado sin su medicación.
Otros productos son medicamentos para tratamiento de reacciones adversas a farmacos antituberculosis (RAFA) los cuales estan en tramite de compra y de ingreso a bodega en proximas fechas.</t>
  </si>
  <si>
    <t>Nivel de existencias expresado en meses de tratamiento para todos los pacientes actuales.</t>
  </si>
  <si>
    <t>Meses de existencias de seguridad</t>
  </si>
  <si>
    <t>Diferencia entre existencias actuales y existencias de seguridad</t>
  </si>
  <si>
    <t>máx.</t>
  </si>
  <si>
    <t>Clasificación</t>
  </si>
  <si>
    <t>Indicadores de programa:</t>
  </si>
  <si>
    <t>Comentario:</t>
  </si>
  <si>
    <t>Indicadores</t>
  </si>
  <si>
    <t>Lograda</t>
  </si>
  <si>
    <t>0% - 59%</t>
  </si>
  <si>
    <t>60% - 89%</t>
  </si>
  <si>
    <t>&gt; 90%</t>
  </si>
  <si>
    <t>Comentarios</t>
  </si>
  <si>
    <t>¿Cumplen lo acordado la adquisición y la contratación?</t>
  </si>
  <si>
    <t>Gestión</t>
  </si>
  <si>
    <t>Comentarios resumidos</t>
  </si>
  <si>
    <t>Recomendaciones</t>
  </si>
  <si>
    <t>M1</t>
  </si>
  <si>
    <t>M2</t>
  </si>
  <si>
    <t>¿Se están ejecutando los fondos de acuerdo al presupuesto?</t>
  </si>
  <si>
    <t>Financiera</t>
  </si>
  <si>
    <t>F1</t>
  </si>
  <si>
    <t>F2</t>
  </si>
  <si>
    <t>F3</t>
  </si>
  <si>
    <t>F4</t>
  </si>
  <si>
    <t>¿Están las adquisiciones y contrataciones ejecutándose en el tiempo previsto?</t>
  </si>
  <si>
    <t>M3</t>
  </si>
  <si>
    <t>M4</t>
  </si>
  <si>
    <t>M5</t>
  </si>
  <si>
    <t>M6</t>
  </si>
  <si>
    <t>¿Se están alcanzando las metas programáticas?</t>
  </si>
  <si>
    <t>Programa</t>
  </si>
  <si>
    <t>P1 - tendencia</t>
  </si>
  <si>
    <t>P2 - tendencia</t>
  </si>
  <si>
    <t>P3 - tendencia</t>
  </si>
  <si>
    <t>Decisiones y acciones</t>
  </si>
  <si>
    <t>¿Cuál es el estado general de la ejecución de esta subvención?</t>
  </si>
  <si>
    <t>Principales recomendaciones del Comité de Monitoreo Estratégico</t>
  </si>
  <si>
    <t>Decisión del MCP</t>
  </si>
  <si>
    <t>Fecha límite para ejecutarla</t>
  </si>
  <si>
    <t>Persona responsable</t>
  </si>
  <si>
    <t>Acciones programadas / Periodo anterior</t>
  </si>
  <si>
    <t>¿Cuál es el estado general de la ejecución de estas acciones?</t>
  </si>
  <si>
    <t>Acción realizada</t>
  </si>
  <si>
    <t>Periodo de referencia anterior</t>
  </si>
  <si>
    <t>Set-up = List of validation for Grant Detail page</t>
  </si>
  <si>
    <t>Component</t>
  </si>
  <si>
    <t>Currency</t>
  </si>
  <si>
    <t>Round</t>
  </si>
  <si>
    <t>Phase</t>
  </si>
  <si>
    <t>Period</t>
  </si>
  <si>
    <t>Rating</t>
  </si>
  <si>
    <t>LFA</t>
  </si>
  <si>
    <t>Medicaments</t>
  </si>
  <si>
    <t>Countries</t>
  </si>
  <si>
    <t>Seleccionar</t>
  </si>
  <si>
    <t>VIH / SIDA</t>
  </si>
  <si>
    <t>Ronda 1</t>
  </si>
  <si>
    <t>Fase 1</t>
  </si>
  <si>
    <t>A1</t>
  </si>
  <si>
    <t>CA (Crown Agents)</t>
  </si>
  <si>
    <t>Antigua y Barbuda</t>
  </si>
  <si>
    <t>MALARIA</t>
  </si>
  <si>
    <t>€</t>
  </si>
  <si>
    <t>Ronda 2</t>
  </si>
  <si>
    <t>Fase 2</t>
  </si>
  <si>
    <t>A2</t>
  </si>
  <si>
    <t>DEL (Deloitte)</t>
  </si>
  <si>
    <t>Antillas Holandesas</t>
  </si>
  <si>
    <t>Ronda 3</t>
  </si>
  <si>
    <t>RCC</t>
  </si>
  <si>
    <t>DTT (DTT Emerging Markets)</t>
  </si>
  <si>
    <t>Argentina</t>
  </si>
  <si>
    <t>VIHSIDA / TB</t>
  </si>
  <si>
    <t>Ronda 4</t>
  </si>
  <si>
    <t>B2</t>
  </si>
  <si>
    <t>FIN (Finconsult)</t>
  </si>
  <si>
    <t>Aruba</t>
  </si>
  <si>
    <t>FSS</t>
  </si>
  <si>
    <t>Ronda 5</t>
  </si>
  <si>
    <t>C</t>
  </si>
  <si>
    <t>GT (Grant Thornton)</t>
  </si>
  <si>
    <t>Levofloxacina 500mg</t>
  </si>
  <si>
    <t>Bahamas</t>
  </si>
  <si>
    <t>Ronda 6</t>
  </si>
  <si>
    <t>H-C (Hodar-Conseil)</t>
  </si>
  <si>
    <t>NVP</t>
  </si>
  <si>
    <t>Barbados</t>
  </si>
  <si>
    <t>Ronda 7</t>
  </si>
  <si>
    <t>KPMG (KPMG)</t>
  </si>
  <si>
    <t>3TC</t>
  </si>
  <si>
    <t>Belice</t>
  </si>
  <si>
    <t>Ronda 8</t>
  </si>
  <si>
    <t>MSCI (MSCI)</t>
  </si>
  <si>
    <t>D4T</t>
  </si>
  <si>
    <t>Bermudas</t>
  </si>
  <si>
    <t>Ronda 9</t>
  </si>
  <si>
    <t>PwC (PricewaterhouseCoopers)</t>
  </si>
  <si>
    <t>AZT</t>
  </si>
  <si>
    <t>Bolivia</t>
  </si>
  <si>
    <t>Ronda 10</t>
  </si>
  <si>
    <t xml:space="preserve">STI (Swiss Tropical Institute), </t>
  </si>
  <si>
    <t>DDI</t>
  </si>
  <si>
    <t>Brasil</t>
  </si>
  <si>
    <t>UNOPS</t>
  </si>
  <si>
    <t>EFV</t>
  </si>
  <si>
    <t>Cabo Verde</t>
  </si>
  <si>
    <t>AS/LF</t>
  </si>
  <si>
    <t>Chile</t>
  </si>
  <si>
    <t>AS/AQ</t>
  </si>
  <si>
    <t>Colombia</t>
  </si>
  <si>
    <t>AS/MQ</t>
  </si>
  <si>
    <t>Costa Rica</t>
  </si>
  <si>
    <t>Al/Lum</t>
  </si>
  <si>
    <t>Cuba</t>
  </si>
  <si>
    <t>Dominica</t>
  </si>
  <si>
    <t>TB nutri'l supplements</t>
  </si>
  <si>
    <t>Ecuador</t>
  </si>
  <si>
    <t>E-PAP</t>
  </si>
  <si>
    <t>Producto 1</t>
  </si>
  <si>
    <t>España</t>
  </si>
  <si>
    <t>Producto 2</t>
  </si>
  <si>
    <t>Guadalupe</t>
  </si>
  <si>
    <t>Producto 3</t>
  </si>
  <si>
    <t>Guatemala</t>
  </si>
  <si>
    <t>Guinea</t>
  </si>
  <si>
    <t>Guinea Ecuatorial</t>
  </si>
  <si>
    <t>Guinea-Bissau</t>
  </si>
  <si>
    <t>Guyana</t>
  </si>
  <si>
    <t>Haití</t>
  </si>
  <si>
    <t>Honduras</t>
  </si>
  <si>
    <t>Islas Caimanes</t>
  </si>
  <si>
    <t>Jamaica</t>
  </si>
  <si>
    <t>México</t>
  </si>
  <si>
    <t>Nicaragua</t>
  </si>
  <si>
    <t>Panamá</t>
  </si>
  <si>
    <t>Paraguay</t>
  </si>
  <si>
    <t>Perú</t>
  </si>
  <si>
    <t>Puerto Rico</t>
  </si>
  <si>
    <t>San Vicente, Granadinas</t>
  </si>
  <si>
    <t>Trinidad y Tobago</t>
  </si>
  <si>
    <t>Uruguay</t>
  </si>
  <si>
    <t>Venezuela</t>
  </si>
  <si>
    <t>Desembolsado compras OPS</t>
  </si>
  <si>
    <t>Desembolsado compras  PNUD</t>
  </si>
  <si>
    <t xml:space="preserve">Compromisos al 30 de Junio  MINSAL </t>
  </si>
  <si>
    <t>Desembolsado compras MINSAL</t>
  </si>
  <si>
    <t>Saldo de caja del periodo anterior</t>
  </si>
  <si>
    <t>Desembolsado por el FM al RP+Saldode caja del periodo anterios</t>
  </si>
  <si>
    <t>El monto total desembolsado que ha recibido el MINSAL por parte del FM para el 2020 (P2) es de $ 1,389,286, a este monto se lea ha sumado el saldo de caja del periodo 2019 ya que fue ejecutado en el 2020, de los cuales el MINSAL a pagado a proveedores y desembolsado a PNUD $ 1,482,451.00 y se tienen compromisos con proveedores por el monto de $ 114,060.70 quedando un saldo en caja por el monto de $ 159,354.39 que ha sido reprogramado para ser ejecutado en el 2021.</t>
  </si>
  <si>
    <t>Del 100% desembolsado al PNUD en dos años (2019 y 2020) por el monto de $ 1,730,026.54, se ha ejecutado el monto de $ 1,456,950.83. Asi tambien se desembolso  para OPS $ 767,625.51 y se ha ejecutado el monto de $ 712,364.45 en OPS. En el MINSAL se gasto la cantidad de $ 394,108.94</t>
  </si>
  <si>
    <t xml:space="preserve">El perio 2: El año 2020, se tenia un presupuesto asignado de $ 1,389,286.00 de los cuales al 31 de diciembre de 2020 se ha recibido en las cuentas bancarias del MINSAL/FM el 100/% del desembolso programado </t>
  </si>
  <si>
    <t>Durante el segundo  año de la subvension se alcanzo el 82% de la ejecucion financiera de los cuales los montos mas relevantes se detallan de la siguiente manera: $ 990,236.00 que corresponde a la estrategia de Deteccion precoz de casos de tuberculosis, $ 597,034 que corresponde a la estrategia Atencion integral de grupos de mas alto riesgo, $ 208,559.00 que corresponde a la estrategia de monitoreo y evaluacion</t>
  </si>
  <si>
    <t>MDR TB-6: Porcentaje de casos de TB con resultados de PSD por lo menos para Rifampicina, entre el número total de casos notificados (nuevos y previamente tratados) en el mismo año</t>
  </si>
  <si>
    <t>MDR TB-3(M): Número de casos TB-RR y/o TB-MDR que iniciaron tratamiento con drogas de segunda línea</t>
  </si>
  <si>
    <t>TCP-6a: Número de casos de TB (todas las formas) notificados entre los privados de libertad</t>
  </si>
  <si>
    <t>TCP - other -1: Porcentaje de casos todas las formas de TB entre PPL tratados exitosamente entre el total de casos todas las formas notificados</t>
  </si>
  <si>
    <t>Para el periodo se han cumplido en su totalidad las Acciones emitidas en las cartas de implementación recibidas para el periodo.</t>
  </si>
  <si>
    <t>Se mantiene a la fecha los puestos directivos en la Oficina de Apoyo del Fondo Mundial del RP/MINSAL</t>
  </si>
  <si>
    <t>Delphine De Quina</t>
  </si>
  <si>
    <t>Financiamiento al PENM TB 2017 - 2021</t>
  </si>
  <si>
    <t xml:space="preserve"> Con la utilización de pruebas moleculares además de realizar detección del Mycobacterium tuberculosis permite hacer vigilancia de la sensibilidad a los medicamentos y es método recomendado por la OMS en la estrategia Fin a la TB. El número de pruebas moleculares para este año se incrementó, lo que ha permitido alcanzar mayores porcentajes de pacientes con cobertura.</t>
  </si>
  <si>
    <t xml:space="preserve"> Durante el año 2020 se detectaron en el laboratorio 35 casos de TB RR y 2 TB MDR, a cada uno de los casos se les realizo evaluación clínica, radiológica y bacteriológica en la Clínica de Resistencias del Hospital Nacional Saldaña, a los 37 casos TB RR / TB MDR se consideró el tratamiento de segunda línea por cumplir los criterios epidemiológicos, clínicos y bacteriológicos.</t>
  </si>
  <si>
    <t>Para el periodo la UPTYER reporta un total de  983 casos de TB de todas las formas en PPL.</t>
  </si>
  <si>
    <r>
      <t xml:space="preserve">Meta lograda y superando la proyección (1,618/2,057 = 78.65%). 
* A pesar de la Pandemia de Covid - 19 el país logró realizar con éxito mantener la oferta de servicios para el diagnóstico precoz en poblaciones de mayor riesgo y vulnerabilidad y/o sospechosas de fármaco resistencia a través de pruebas moleculares las cuales a través de los Lineamientos técnicos para el abordaje y seguimiento de casos de tuberculosis; ante la emergencia nacional por COVID-19 se siguieron las recomendaciones de bioseguridad para los técnicos responsables del manejo de muestras; esto permitió hacer mayor número de pruebas ya que se ha fortalecido la red de laboratorios hospitalaria con equipos y más cartuchos de prueba. Es de importancia recalcar que a pesar de la Pandemia se mantuvo supervisión continua por parte del UPTYER al laboratorio nacional de referencia aprovechando los instrumentos informáticos, de igual manera se ha mantenido la farmacovigilancia activa para detectar precozmente los casos resistentes al menos para casos TB RR/TB MDR.
* El uso continuo del Gene Xpert ofertado a todos los usuarios o personas que cumplían la condición para ser sometido a pruebas rápidas para diagnosticar o descartar Tuberculosis con más sensibilidad y rapidez a TB resistente a Rifampicina, aumentó la oportunidad del diagnóstico y en su sensibilidad a pesar de la pandemia que derivo recursos especialmente de laboratorio para atender procesamiento de muestras de Covid - 19. 
</t>
    </r>
    <r>
      <rPr>
        <b/>
        <i/>
        <sz val="10"/>
        <color indexed="8"/>
        <rFont val="Calibri"/>
        <family val="2"/>
      </rPr>
      <t>* Fuente : PUDR_TB_AÑO 2020_remitido a FM 17/marzo/2021</t>
    </r>
  </si>
  <si>
    <r>
      <t xml:space="preserve">Meta proyectada superada: 37 casos TB-RR/TB-MDR.
* En seguimiento a las recomendaciones emitidas por el Comité de Luz Verde al país con la búsqueda activa con pruebas moleculares y PSD por métodos de las proporciones en los casos sospechoso de TB multidrogoresistencia, se incrementó la cantidad de pruebas diagnósticas a través del Gene Xpert durante el periodo en consecuencia se cumplió la meta estimada; por lo tanto se continuara con la expansión de la técnica molecular rápida considerando que la baciloscopia debe ser remplazada y se requiere que la técnica molecular rápida esté disponible en todas las regiones del país.
* En el transcurso de la Pandemia de SARS COV 2; la red de laboratorio nacional fue involucrada en su totalidad directamente a la realización de pruebas de COVID - 19, igualmente se han utilizado parcialmente algunos de los equipos de  GeneXpert® para analizar las muestras de COVID - 19. En este contexto el diagnóstico de TB no se vio afectado ya que se mantuvo la misma oferta de servicios; la recolección de muestras, los mecanismos de transporte, la detección activa de casos, el rastreo de contactos y las actividades destinadas a la prevención de la tuberculosis se encontraron relativamente disminuidas la demanda de los usuarios en el primer nivel de atención debido a las restricciones de movilidad, cuarentenas y el temor a la exposición a la COVID-19; asimismo con algún retraso en la notificación de casos de tuberculosis ya que el personal estaban participando en actividades de respuesta a la COVID-19. 
</t>
    </r>
    <r>
      <rPr>
        <b/>
        <i/>
        <sz val="10"/>
        <color indexed="8"/>
        <rFont val="Calibri"/>
        <family val="2"/>
        <charset val="1"/>
      </rPr>
      <t xml:space="preserve">
* Fuente : PUDR_TB_AÑO 2020_remitido a FM 17/marzo/2021</t>
    </r>
  </si>
  <si>
    <r>
      <t xml:space="preserve">* Las personas privadas de libertad (PPDL) son un grupo en condición de vulnerabilidad debido principalmente a su entorno de encierro y las dinámicas de convivencia entre los privados de libertad más aún aquellos que pertenen a pandillas; de tal forma, este grupo de personas se vuelve vulnerable frente al avance del COVID-19, las actividades contingenciales implementadas durante la pandemia (uso sistemático de mascarillas) disminuyeron el riesgo de contagio masivo en esta población; es importante mencionar que en algunos centros penales  la detección de casos y la implementación de las medidas de control respiratorio favoreció la no transmisión tanto de enfermedades respiratorias comunes, COVID-19 y la misma TB. 
* El mantenimiento de medios de diagnóstico moleculares a través de pruebas Gene Xpert en esta población, ha permitido un diagnostico más oportuno de los enfermos, así como la implementación de medidas de control de infecciones al interior de los recintos penitenciarios (aislamiento de los enfermos y uso de mascarillas en el 100% de la PPL), intensificación en las actividades de detección en algunos centros penales (aumento la captación de SR e investigación y estudio de los contactos), y la disminución del índice de hacinamiento en algunos centros penales a través del traslado de los pacientes con TB a CP exclusivo para afectados por TB  ha inferido en la disminución de los casos de TB en la población privada de libertad, logrando para el año 2020 un 95% de lo programado (983 casos) de acuerdo a las metas ajustadas de la carta de implementación #2 de fecha octubre 2020. 
</t>
    </r>
    <r>
      <rPr>
        <b/>
        <i/>
        <sz val="10"/>
        <color indexed="8"/>
        <rFont val="Calibri"/>
        <family val="2"/>
        <charset val="1"/>
      </rPr>
      <t>* Fuente : PUDR_TB_AÑO 2020_remitido a FM 17/marzo/2021</t>
    </r>
  </si>
  <si>
    <r>
      <t xml:space="preserve">* Meta cumplida del porcentaje de casos de todas las formas TB tratados exitosamente en CP: 94.503%.
* El contexto epidemiológico de la TB en las PPL se concentra más en 7 centros penales,  en los cuales están recluidos población perteneciente a pandillas, el éxito de tratamiento se ha visto afectado por las pérdidas en el seguimiento (4.6%), situación que se da debido a que las PPL que son diagnosticadas e inician tratamiento dentro del centro penal, y posteriormente en su proceso jurídico son puestos en libertad (sobreseídos, absueltos o con medidas); debido al contexto de violencia e inseguridad a nivel comunitario y en el contexto de pandemia por COVID 19, las restricciones de movilidad y reorientación de las actividades de los trabajadores de salud, fue difícil el seguimiento o vinculación una vez libres,  de igual forma proporcionan domicilios falsos o utilizan la clandestinidad para resguardar su vida y  la de su familia, lo cual afectan las cohortes de tratamiento al ser registrados como perdidos en el seguimiento como condición de egreso. 
</t>
    </r>
    <r>
      <rPr>
        <b/>
        <i/>
        <sz val="10"/>
        <color indexed="8"/>
        <rFont val="Calibri"/>
        <family val="2"/>
        <charset val="1"/>
      </rPr>
      <t xml:space="preserve">
* Fuente : PUDR_TB_AÑO 2020_remitido a FM 17/marzo/2021
</t>
    </r>
    <r>
      <rPr>
        <sz val="10"/>
        <color indexed="8"/>
        <rFont val="Calibri"/>
        <family val="2"/>
        <charset val="1"/>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</si>
</sst>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64" formatCode="_([$€]* #,##0.00_);_([$€]* \(#,##0.00\);_([$€]* \-??_);_(@_)"/>
    <numFmt numFmtId="165" formatCode="_(* #,##0.00_);_(* \(#,##0.00\);_(* \-??_);_(@_)"/>
    <numFmt numFmtId="166" formatCode="_(\$* #,##0.00_);_(\$* \(#,##0.00\);_(\$* \-??_);_(@_)"/>
    <numFmt numFmtId="167" formatCode="d&quot; de &quot;mmm&quot; de &quot;yy"/>
    <numFmt numFmtId="168" formatCode="_(* #,##0_);_(* \(#,##0\);_(* \-??_);_(@_)"/>
    <numFmt numFmtId="169" formatCode="_([$$-440A]* #,##0.00_);_([$$-440A]* \(#,##0.00\);_([$$-440A]* \-??_);_(@_)"/>
    <numFmt numFmtId="170" formatCode="#.##0"/>
    <numFmt numFmtId="171" formatCode="_-* #,##0.00\ _€_-;\-* #,##0.00\ _€_-;_-* \-??\ _€_-;_-@_-"/>
    <numFmt numFmtId="172" formatCode="_ [$$-240A]\ * #,##0.00_ ;_ [$$-240A]\ * \-#,##0.00_ ;_ [$$-240A]\ * \-??_ ;_ @_ "/>
    <numFmt numFmtId="173" formatCode="#.##000"/>
    <numFmt numFmtId="174" formatCode="[$$-409]#,##0"/>
    <numFmt numFmtId="175" formatCode="[$$-340A]\ #,##0.00"/>
    <numFmt numFmtId="176" formatCode="000%"/>
    <numFmt numFmtId="177" formatCode="[$$-240A]\ #,##0.00"/>
    <numFmt numFmtId="178" formatCode="000"/>
    <numFmt numFmtId="179" formatCode="[$$-340A]#,##0.00"/>
    <numFmt numFmtId="180" formatCode="#"/>
    <numFmt numFmtId="181" formatCode="0.0"/>
    <numFmt numFmtId="182" formatCode="#.00"/>
    <numFmt numFmtId="183" formatCode="#.##"/>
    <numFmt numFmtId="184" formatCode="0.0%"/>
    <numFmt numFmtId="185" formatCode="[$$-409]#,##0_);\([$$-409]#,##0\)"/>
    <numFmt numFmtId="186" formatCode="d/mmm/yyyy;@"/>
    <numFmt numFmtId="187" formatCode="dd/mm/yy\ hh:mm"/>
    <numFmt numFmtId="188" formatCode=";;;"/>
    <numFmt numFmtId="189" formatCode=";;;&quot;Financial Variance in %&quot;"/>
    <numFmt numFmtId="190" formatCode="0.000"/>
    <numFmt numFmtId="191" formatCode="_-[$$-2C0A]\ * #,##0.00_-;\-[$$-2C0A]\ * #,##0.00_-;_-[$$-2C0A]\ * &quot;-&quot;??_-;_-@_-"/>
    <numFmt numFmtId="192" formatCode="0.0000%"/>
    <numFmt numFmtId="193" formatCode="_-[$$-240A]\ * #,##0.00_-;\-[$$-240A]\ * #,##0.00_-;_-[$$-240A]\ * &quot;-&quot;??_-;_-@_-"/>
    <numFmt numFmtId="194" formatCode="_-[$$-440A]* #,##0.00_-;\-[$$-440A]* #,##0.00_-;_-[$$-440A]* &quot;-&quot;??_-;_-@_-"/>
    <numFmt numFmtId="195" formatCode="0.000%"/>
  </numFmts>
  <fonts count="110">
    <font>
      <sz val="11"/>
      <color indexed="8"/>
      <name val="Calibri"/>
      <family val="2"/>
      <charset val="1"/>
    </font>
    <font>
      <sz val="10"/>
      <name val="Arial"/>
      <family val="2"/>
      <charset val="1"/>
    </font>
    <font>
      <sz val="22"/>
      <color indexed="9"/>
      <name val="Calibri"/>
      <family val="2"/>
      <charset val="1"/>
    </font>
    <font>
      <sz val="28"/>
      <color indexed="9"/>
      <name val="Calibri"/>
      <family val="2"/>
      <charset val="1"/>
    </font>
    <font>
      <b/>
      <sz val="14"/>
      <color indexed="8"/>
      <name val="Calibri"/>
      <family val="2"/>
      <charset val="1"/>
    </font>
    <font>
      <b/>
      <sz val="16"/>
      <color indexed="8"/>
      <name val="Calibri"/>
      <family val="2"/>
      <charset val="1"/>
    </font>
    <font>
      <b/>
      <sz val="18"/>
      <color indexed="8"/>
      <name val="Calibri"/>
      <family val="2"/>
      <charset val="1"/>
    </font>
    <font>
      <sz val="16"/>
      <color indexed="8"/>
      <name val="Calibri"/>
      <family val="2"/>
      <charset val="1"/>
    </font>
    <font>
      <b/>
      <sz val="12"/>
      <color indexed="8"/>
      <name val="Arial"/>
      <family val="2"/>
      <charset val="1"/>
    </font>
    <font>
      <b/>
      <sz val="11"/>
      <color indexed="8"/>
      <name val="Arial"/>
      <family val="2"/>
      <charset val="1"/>
    </font>
    <font>
      <sz val="11"/>
      <color indexed="8"/>
      <name val="Arial"/>
      <family val="2"/>
      <charset val="1"/>
    </font>
    <font>
      <b/>
      <i/>
      <sz val="11"/>
      <color indexed="8"/>
      <name val="Arial"/>
      <family val="2"/>
      <charset val="1"/>
    </font>
    <font>
      <sz val="11"/>
      <color indexed="53"/>
      <name val="Calibri"/>
      <family val="2"/>
      <charset val="1"/>
    </font>
    <font>
      <i/>
      <sz val="11"/>
      <color indexed="8"/>
      <name val="Arial"/>
      <family val="2"/>
      <charset val="1"/>
    </font>
    <font>
      <sz val="11"/>
      <name val="Arial"/>
      <family val="2"/>
      <charset val="1"/>
    </font>
    <font>
      <b/>
      <sz val="14"/>
      <color indexed="19"/>
      <name val="Calibri"/>
      <family val="2"/>
      <charset val="1"/>
    </font>
    <font>
      <b/>
      <sz val="11"/>
      <color indexed="8"/>
      <name val="Calibri"/>
      <family val="2"/>
      <charset val="1"/>
    </font>
    <font>
      <b/>
      <sz val="12"/>
      <color indexed="8"/>
      <name val="Calibri"/>
      <family val="2"/>
      <charset val="1"/>
    </font>
    <font>
      <b/>
      <sz val="12"/>
      <name val="Arial"/>
      <family val="2"/>
      <charset val="1"/>
    </font>
    <font>
      <sz val="14"/>
      <color indexed="9"/>
      <name val="Calibri"/>
      <family val="2"/>
      <charset val="1"/>
    </font>
    <font>
      <sz val="16"/>
      <color indexed="9"/>
      <name val="Calibri"/>
      <family val="2"/>
      <charset val="1"/>
    </font>
    <font>
      <i/>
      <sz val="11"/>
      <color indexed="8"/>
      <name val="Calibri"/>
      <family val="2"/>
      <charset val="1"/>
    </font>
    <font>
      <sz val="11"/>
      <color indexed="9"/>
      <name val="Calibri"/>
      <family val="2"/>
      <charset val="1"/>
    </font>
    <font>
      <i/>
      <sz val="9"/>
      <color indexed="8"/>
      <name val="Calibri"/>
      <family val="2"/>
      <charset val="1"/>
    </font>
    <font>
      <b/>
      <sz val="14"/>
      <color indexed="60"/>
      <name val="Calibri"/>
      <family val="2"/>
      <charset val="1"/>
    </font>
    <font>
      <b/>
      <sz val="11"/>
      <color indexed="60"/>
      <name val="Calibri"/>
      <family val="2"/>
      <charset val="1"/>
    </font>
    <font>
      <sz val="11"/>
      <color indexed="12"/>
      <name val="Calibri"/>
      <family val="2"/>
      <charset val="1"/>
    </font>
    <font>
      <b/>
      <i/>
      <sz val="11"/>
      <color indexed="8"/>
      <name val="Calibri"/>
      <family val="2"/>
      <charset val="1"/>
    </font>
    <font>
      <b/>
      <sz val="10"/>
      <color indexed="8"/>
      <name val="Calibri"/>
      <family val="2"/>
      <charset val="1"/>
    </font>
    <font>
      <sz val="10"/>
      <color indexed="8"/>
      <name val="Calibri"/>
      <family val="2"/>
      <charset val="1"/>
    </font>
    <font>
      <b/>
      <sz val="11"/>
      <color indexed="16"/>
      <name val="Calibri"/>
      <family val="2"/>
      <charset val="1"/>
    </font>
    <font>
      <sz val="11"/>
      <color indexed="60"/>
      <name val="Calibri"/>
      <family val="2"/>
      <charset val="1"/>
    </font>
    <font>
      <sz val="11"/>
      <color indexed="16"/>
      <name val="Calibri"/>
      <family val="2"/>
      <charset val="1"/>
    </font>
    <font>
      <b/>
      <sz val="10"/>
      <color indexed="16"/>
      <name val="Calibri"/>
      <family val="2"/>
      <charset val="1"/>
    </font>
    <font>
      <sz val="10"/>
      <color indexed="60"/>
      <name val="Calibri"/>
      <family val="2"/>
      <charset val="1"/>
    </font>
    <font>
      <b/>
      <sz val="10"/>
      <color indexed="60"/>
      <name val="Calibri"/>
      <family val="2"/>
      <charset val="1"/>
    </font>
    <font>
      <sz val="11"/>
      <name val="Calibri"/>
      <family val="2"/>
      <charset val="1"/>
    </font>
    <font>
      <sz val="10"/>
      <name val="Calibri"/>
      <family val="2"/>
      <charset val="1"/>
    </font>
    <font>
      <b/>
      <sz val="14"/>
      <color indexed="40"/>
      <name val="Calibri"/>
      <family val="2"/>
      <charset val="1"/>
    </font>
    <font>
      <b/>
      <sz val="14"/>
      <color indexed="44"/>
      <name val="Calibri"/>
      <family val="2"/>
      <charset val="1"/>
    </font>
    <font>
      <sz val="11"/>
      <color indexed="40"/>
      <name val="Calibri"/>
      <family val="2"/>
      <charset val="1"/>
    </font>
    <font>
      <b/>
      <sz val="11"/>
      <name val="Calibri"/>
      <family val="2"/>
      <charset val="1"/>
    </font>
    <font>
      <b/>
      <sz val="12"/>
      <color indexed="21"/>
      <name val="Calibri"/>
      <family val="2"/>
      <charset val="1"/>
    </font>
    <font>
      <i/>
      <sz val="11"/>
      <name val="Calibri"/>
      <family val="2"/>
      <charset val="1"/>
    </font>
    <font>
      <sz val="8"/>
      <color indexed="8"/>
      <name val="Calibri"/>
      <family val="2"/>
      <charset val="1"/>
    </font>
    <font>
      <b/>
      <sz val="11"/>
      <color indexed="53"/>
      <name val="Calibri"/>
      <family val="2"/>
      <charset val="1"/>
    </font>
    <font>
      <b/>
      <sz val="14"/>
      <color indexed="52"/>
      <name val="Calibri"/>
      <family val="2"/>
      <charset val="1"/>
    </font>
    <font>
      <b/>
      <sz val="14"/>
      <color indexed="51"/>
      <name val="Calibri"/>
      <family val="2"/>
      <charset val="1"/>
    </font>
    <font>
      <b/>
      <sz val="10"/>
      <color indexed="53"/>
      <name val="Calibri"/>
      <family val="2"/>
      <charset val="1"/>
    </font>
    <font>
      <b/>
      <sz val="11"/>
      <color indexed="52"/>
      <name val="Calibri"/>
      <family val="2"/>
      <charset val="1"/>
    </font>
    <font>
      <b/>
      <sz val="10"/>
      <name val="Arial"/>
      <family val="2"/>
      <charset val="1"/>
    </font>
    <font>
      <sz val="10"/>
      <color indexed="53"/>
      <name val="Arial"/>
      <family val="2"/>
      <charset val="1"/>
    </font>
    <font>
      <b/>
      <sz val="8"/>
      <color indexed="32"/>
      <name val="Tahoma"/>
      <family val="2"/>
      <charset val="1"/>
    </font>
    <font>
      <sz val="28"/>
      <name val="Calibri"/>
      <family val="2"/>
      <charset val="1"/>
    </font>
    <font>
      <sz val="12"/>
      <color indexed="8"/>
      <name val="Calibri"/>
      <family val="2"/>
      <charset val="1"/>
    </font>
    <font>
      <sz val="11"/>
      <color indexed="9"/>
      <name val="Arial"/>
      <family val="2"/>
      <charset val="1"/>
    </font>
    <font>
      <sz val="14"/>
      <color indexed="8"/>
      <name val="Calibri"/>
      <family val="2"/>
      <charset val="1"/>
    </font>
    <font>
      <sz val="10"/>
      <color indexed="9"/>
      <name val="Arial"/>
      <family val="2"/>
      <charset val="1"/>
    </font>
    <font>
      <sz val="12"/>
      <color indexed="9"/>
      <name val="Calibri"/>
      <family val="2"/>
      <charset val="1"/>
    </font>
    <font>
      <b/>
      <sz val="11"/>
      <color indexed="19"/>
      <name val="Calibri"/>
      <family val="2"/>
      <charset val="1"/>
    </font>
    <font>
      <sz val="11"/>
      <color indexed="59"/>
      <name val="Calibri"/>
      <family val="2"/>
      <charset val="1"/>
    </font>
    <font>
      <b/>
      <i/>
      <sz val="14"/>
      <color indexed="12"/>
      <name val="Calibri"/>
      <family val="2"/>
      <charset val="1"/>
    </font>
    <font>
      <b/>
      <sz val="9"/>
      <color indexed="8"/>
      <name val="Calibri"/>
      <family val="2"/>
      <charset val="1"/>
    </font>
    <font>
      <b/>
      <sz val="8"/>
      <name val="Calibri"/>
      <family val="2"/>
      <charset val="1"/>
    </font>
    <font>
      <sz val="9"/>
      <name val="Calibri"/>
      <family val="2"/>
      <charset val="1"/>
    </font>
    <font>
      <b/>
      <sz val="8"/>
      <color indexed="8"/>
      <name val="Calibri"/>
      <family val="2"/>
      <charset val="1"/>
    </font>
    <font>
      <sz val="9"/>
      <color indexed="16"/>
      <name val="Calibri"/>
      <family val="2"/>
      <charset val="1"/>
    </font>
    <font>
      <sz val="7"/>
      <color indexed="16"/>
      <name val="Calibri"/>
      <family val="2"/>
      <charset val="1"/>
    </font>
    <font>
      <sz val="8"/>
      <name val="Calibri"/>
      <family val="2"/>
      <charset val="1"/>
    </font>
    <font>
      <sz val="12"/>
      <color indexed="53"/>
      <name val="Calibri"/>
      <family val="2"/>
      <charset val="1"/>
    </font>
    <font>
      <i/>
      <sz val="8"/>
      <color indexed="8"/>
      <name val="Calibri"/>
      <family val="2"/>
      <charset val="1"/>
    </font>
    <font>
      <sz val="11"/>
      <color indexed="29"/>
      <name val="Calibri"/>
      <family val="2"/>
      <charset val="1"/>
    </font>
    <font>
      <b/>
      <sz val="9"/>
      <name val="Calibri"/>
      <family val="2"/>
      <charset val="1"/>
    </font>
    <font>
      <b/>
      <i/>
      <sz val="10"/>
      <color indexed="8"/>
      <name val="Calibri"/>
      <family val="2"/>
      <charset val="1"/>
    </font>
    <font>
      <sz val="9"/>
      <color indexed="8"/>
      <name val="Verdana"/>
      <family val="2"/>
      <charset val="1"/>
    </font>
    <font>
      <b/>
      <sz val="10"/>
      <color indexed="63"/>
      <name val="Verdana"/>
      <family val="2"/>
      <charset val="1"/>
    </font>
    <font>
      <b/>
      <sz val="10"/>
      <name val="Verdana"/>
      <family val="2"/>
      <charset val="1"/>
    </font>
    <font>
      <sz val="8"/>
      <color indexed="8"/>
      <name val="Verdana"/>
      <family val="2"/>
      <charset val="1"/>
    </font>
    <font>
      <b/>
      <sz val="12"/>
      <color indexed="56"/>
      <name val="Tahoma"/>
      <family val="2"/>
      <charset val="1"/>
    </font>
    <font>
      <b/>
      <sz val="8"/>
      <name val="Tahoma"/>
      <family val="2"/>
      <charset val="1"/>
    </font>
    <font>
      <b/>
      <sz val="8"/>
      <color indexed="9"/>
      <name val="Tahoma"/>
      <family val="2"/>
      <charset val="1"/>
    </font>
    <font>
      <sz val="8"/>
      <name val="Webdings"/>
      <family val="1"/>
      <charset val="2"/>
    </font>
    <font>
      <sz val="10"/>
      <color indexed="8"/>
      <name val="Arial"/>
      <family val="2"/>
      <charset val="1"/>
    </font>
    <font>
      <sz val="7"/>
      <color indexed="43"/>
      <name val="Verdana"/>
      <family val="2"/>
      <charset val="1"/>
    </font>
    <font>
      <sz val="14"/>
      <name val="Calibri"/>
      <family val="2"/>
      <charset val="1"/>
    </font>
    <font>
      <sz val="9"/>
      <color indexed="8"/>
      <name val="Tahoma"/>
      <family val="2"/>
      <charset val="1"/>
    </font>
    <font>
      <sz val="11"/>
      <color indexed="8"/>
      <name val="Micro Line Charts 1.1"/>
      <family val="2"/>
      <charset val="1"/>
    </font>
    <font>
      <sz val="7"/>
      <color indexed="23"/>
      <name val="Verdana"/>
      <family val="2"/>
      <charset val="1"/>
    </font>
    <font>
      <sz val="10"/>
      <name val="Micro Bar Charts 1.1"/>
      <charset val="1"/>
    </font>
    <font>
      <sz val="9"/>
      <name val="Tahoma"/>
      <family val="2"/>
      <charset val="1"/>
    </font>
    <font>
      <sz val="8"/>
      <color indexed="63"/>
      <name val="Micro Bar Charts 1.1"/>
      <charset val="1"/>
    </font>
    <font>
      <b/>
      <sz val="8"/>
      <name val="Arial"/>
      <family val="2"/>
      <charset val="1"/>
    </font>
    <font>
      <b/>
      <sz val="8"/>
      <color indexed="56"/>
      <name val="Tahoma"/>
      <family val="2"/>
      <charset val="1"/>
    </font>
    <font>
      <b/>
      <sz val="8"/>
      <color indexed="9"/>
      <name val="Calibri"/>
      <family val="2"/>
      <charset val="1"/>
    </font>
    <font>
      <sz val="8"/>
      <color indexed="9"/>
      <name val="Arial"/>
      <family val="2"/>
      <charset val="1"/>
    </font>
    <font>
      <sz val="8"/>
      <color indexed="9"/>
      <name val="Tahoma"/>
      <family val="2"/>
      <charset val="1"/>
    </font>
    <font>
      <b/>
      <sz val="8"/>
      <color indexed="9"/>
      <name val="Verdana"/>
      <family val="2"/>
      <charset val="1"/>
    </font>
    <font>
      <b/>
      <sz val="10"/>
      <color indexed="8"/>
      <name val="Arial"/>
      <family val="2"/>
      <charset val="1"/>
    </font>
    <font>
      <b/>
      <sz val="10"/>
      <color indexed="16"/>
      <name val="Arial"/>
      <family val="2"/>
      <charset val="1"/>
    </font>
    <font>
      <sz val="11"/>
      <color indexed="16"/>
      <name val="Arial Black"/>
      <family val="2"/>
      <charset val="1"/>
    </font>
    <font>
      <b/>
      <sz val="14"/>
      <color indexed="16"/>
      <name val="Calibri"/>
      <family val="2"/>
      <charset val="1"/>
    </font>
    <font>
      <sz val="9"/>
      <color indexed="16"/>
      <name val="Verdana"/>
      <family val="2"/>
      <charset val="1"/>
    </font>
    <font>
      <b/>
      <sz val="10"/>
      <color indexed="16"/>
      <name val="Verdana"/>
      <family val="2"/>
      <charset val="1"/>
    </font>
    <font>
      <b/>
      <sz val="14"/>
      <color indexed="9"/>
      <name val="Calibri"/>
      <family val="2"/>
      <charset val="1"/>
    </font>
    <font>
      <sz val="10"/>
      <color indexed="59"/>
      <name val="Calibri"/>
      <family val="2"/>
      <charset val="1"/>
    </font>
    <font>
      <sz val="11"/>
      <color indexed="8"/>
      <name val="Calibri"/>
      <family val="2"/>
      <charset val="1"/>
    </font>
    <font>
      <sz val="9"/>
      <color indexed="8"/>
      <name val="Calibri"/>
      <family val="2"/>
      <charset val="1"/>
    </font>
    <font>
      <sz val="9"/>
      <color indexed="8"/>
      <name val="Calibri"/>
      <family val="2"/>
    </font>
    <font>
      <b/>
      <sz val="10"/>
      <color theme="1"/>
      <name val="Arial"/>
      <family val="2"/>
    </font>
    <font>
      <b/>
      <i/>
      <sz val="10"/>
      <color indexed="8"/>
      <name val="Calibri"/>
      <family val="2"/>
    </font>
  </fonts>
  <fills count="21">
    <fill>
      <patternFill patternType="none"/>
    </fill>
    <fill>
      <patternFill patternType="gray125"/>
    </fill>
    <fill>
      <patternFill patternType="solid">
        <fgColor indexed="43"/>
        <bgColor indexed="34"/>
      </patternFill>
    </fill>
    <fill>
      <patternFill patternType="solid">
        <fgColor indexed="47"/>
        <bgColor indexed="31"/>
      </patternFill>
    </fill>
    <fill>
      <patternFill patternType="solid">
        <fgColor indexed="44"/>
        <bgColor indexed="35"/>
      </patternFill>
    </fill>
    <fill>
      <patternFill patternType="solid">
        <fgColor indexed="9"/>
        <bgColor indexed="26"/>
      </patternFill>
    </fill>
    <fill>
      <patternFill patternType="solid">
        <fgColor indexed="22"/>
        <bgColor indexed="46"/>
      </patternFill>
    </fill>
    <fill>
      <patternFill patternType="solid">
        <fgColor indexed="26"/>
        <bgColor indexed="9"/>
      </patternFill>
    </fill>
    <fill>
      <patternFill patternType="solid">
        <fgColor indexed="34"/>
        <bgColor indexed="43"/>
      </patternFill>
    </fill>
    <fill>
      <patternFill patternType="solid">
        <fgColor indexed="15"/>
        <bgColor indexed="40"/>
      </patternFill>
    </fill>
    <fill>
      <patternFill patternType="solid">
        <fgColor indexed="25"/>
        <bgColor indexed="61"/>
      </patternFill>
    </fill>
    <fill>
      <patternFill patternType="solid">
        <fgColor indexed="11"/>
        <bgColor indexed="49"/>
      </patternFill>
    </fill>
    <fill>
      <patternFill patternType="solid">
        <fgColor indexed="42"/>
        <bgColor indexed="27"/>
      </patternFill>
    </fill>
    <fill>
      <patternFill patternType="solid">
        <fgColor indexed="18"/>
        <bgColor indexed="56"/>
      </patternFill>
    </fill>
    <fill>
      <patternFill patternType="solid">
        <fgColor indexed="62"/>
        <bgColor indexed="56"/>
      </patternFill>
    </fill>
    <fill>
      <patternFill patternType="solid">
        <fgColor indexed="57"/>
        <bgColor indexed="38"/>
      </patternFill>
    </fill>
    <fill>
      <patternFill patternType="solid">
        <fgColor indexed="19"/>
        <bgColor indexed="29"/>
      </patternFill>
    </fill>
    <fill>
      <patternFill patternType="solid">
        <fgColor indexed="13"/>
        <bgColor indexed="51"/>
      </patternFill>
    </fill>
    <fill>
      <patternFill patternType="solid">
        <fgColor theme="0"/>
        <bgColor indexed="31"/>
      </patternFill>
    </fill>
    <fill>
      <patternFill patternType="solid">
        <fgColor theme="0"/>
        <bgColor indexed="64"/>
      </patternFill>
    </fill>
    <fill>
      <patternFill patternType="solid">
        <fgColor theme="2"/>
        <bgColor indexed="64"/>
      </patternFill>
    </fill>
  </fills>
  <borders count="191">
    <border>
      <left/>
      <right/>
      <top/>
      <bottom/>
      <diagonal/>
    </border>
    <border>
      <left/>
      <right/>
      <top/>
      <bottom style="medium">
        <color indexed="30"/>
      </bottom>
      <diagonal/>
    </border>
    <border>
      <left style="thin">
        <color indexed="32"/>
      </left>
      <right/>
      <top style="thin">
        <color indexed="32"/>
      </top>
      <bottom style="thin">
        <color indexed="32"/>
      </bottom>
      <diagonal/>
    </border>
    <border>
      <left/>
      <right/>
      <top style="thin">
        <color indexed="32"/>
      </top>
      <bottom style="thin">
        <color indexed="32"/>
      </bottom>
      <diagonal/>
    </border>
    <border>
      <left/>
      <right style="thin">
        <color indexed="32"/>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style="thin">
        <color indexed="32"/>
      </left>
      <right/>
      <top/>
      <bottom/>
      <diagonal/>
    </border>
    <border>
      <left/>
      <right/>
      <top/>
      <bottom style="medium">
        <color indexed="60"/>
      </bottom>
      <diagonal/>
    </border>
    <border>
      <left style="medium">
        <color indexed="60"/>
      </left>
      <right style="medium">
        <color indexed="60"/>
      </right>
      <top style="medium">
        <color indexed="60"/>
      </top>
      <bottom style="medium">
        <color indexed="60"/>
      </bottom>
      <diagonal/>
    </border>
    <border>
      <left style="medium">
        <color indexed="16"/>
      </left>
      <right style="thin">
        <color indexed="16"/>
      </right>
      <top style="thin">
        <color indexed="16"/>
      </top>
      <bottom style="thin">
        <color indexed="16"/>
      </bottom>
      <diagonal/>
    </border>
    <border>
      <left style="thin">
        <color indexed="16"/>
      </left>
      <right style="thin">
        <color indexed="16"/>
      </right>
      <top/>
      <bottom style="thin">
        <color indexed="16"/>
      </bottom>
      <diagonal/>
    </border>
    <border>
      <left style="medium">
        <color indexed="16"/>
      </left>
      <right style="thin">
        <color indexed="16"/>
      </right>
      <top/>
      <bottom style="thin">
        <color indexed="16"/>
      </bottom>
      <diagonal/>
    </border>
    <border>
      <left style="thin">
        <color indexed="16"/>
      </left>
      <right style="thin">
        <color indexed="16"/>
      </right>
      <top style="thin">
        <color indexed="16"/>
      </top>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thin">
        <color indexed="32"/>
      </left>
      <right style="thin">
        <color indexed="32"/>
      </right>
      <top style="thin">
        <color indexed="32"/>
      </top>
      <bottom style="medium">
        <color indexed="16"/>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thin">
        <color indexed="60"/>
      </left>
      <right style="medium">
        <color indexed="60"/>
      </right>
      <top style="thin">
        <color indexed="60"/>
      </top>
      <bottom style="medium">
        <color indexed="60"/>
      </bottom>
      <diagonal/>
    </border>
    <border>
      <left style="medium">
        <color indexed="60"/>
      </left>
      <right style="thin">
        <color indexed="60"/>
      </right>
      <top/>
      <bottom/>
      <diagonal/>
    </border>
    <border>
      <left style="thin">
        <color indexed="60"/>
      </left>
      <right style="thin">
        <color indexed="60"/>
      </right>
      <top style="medium">
        <color indexed="60"/>
      </top>
      <bottom style="thin">
        <color indexed="32"/>
      </bottom>
      <diagonal/>
    </border>
    <border>
      <left style="thin">
        <color indexed="58"/>
      </left>
      <right style="thin">
        <color indexed="58"/>
      </right>
      <top style="thin">
        <color indexed="58"/>
      </top>
      <bottom style="thin">
        <color indexed="58"/>
      </bottom>
      <diagonal/>
    </border>
    <border>
      <left style="thin">
        <color indexed="58"/>
      </left>
      <right style="thin">
        <color indexed="58"/>
      </right>
      <top/>
      <bottom style="thin">
        <color indexed="58"/>
      </bottom>
      <diagonal/>
    </border>
    <border>
      <left style="medium">
        <color indexed="16"/>
      </left>
      <right style="thin">
        <color indexed="32"/>
      </right>
      <top style="thin">
        <color indexed="32"/>
      </top>
      <bottom style="thin">
        <color indexed="32"/>
      </bottom>
      <diagonal/>
    </border>
    <border>
      <left style="thin">
        <color indexed="32"/>
      </left>
      <right style="medium">
        <color indexed="16"/>
      </right>
      <top style="thin">
        <color indexed="32"/>
      </top>
      <bottom style="thin">
        <color indexed="32"/>
      </bottom>
      <diagonal/>
    </border>
    <border>
      <left style="medium">
        <color indexed="32"/>
      </left>
      <right style="thin">
        <color indexed="32"/>
      </right>
      <top style="thin">
        <color indexed="32"/>
      </top>
      <bottom style="thin">
        <color indexed="32"/>
      </bottom>
      <diagonal/>
    </border>
    <border>
      <left style="medium">
        <color indexed="16"/>
      </left>
      <right style="thin">
        <color indexed="32"/>
      </right>
      <top style="thin">
        <color indexed="32"/>
      </top>
      <bottom style="medium">
        <color indexed="16"/>
      </bottom>
      <diagonal/>
    </border>
    <border>
      <left style="thin">
        <color indexed="32"/>
      </left>
      <right style="medium">
        <color indexed="16"/>
      </right>
      <top style="thin">
        <color indexed="32"/>
      </top>
      <bottom style="medium">
        <color indexed="16"/>
      </bottom>
      <diagonal/>
    </border>
    <border>
      <left/>
      <right style="thin">
        <color indexed="32"/>
      </right>
      <top/>
      <bottom/>
      <diagonal/>
    </border>
    <border>
      <left/>
      <right/>
      <top/>
      <bottom style="medium">
        <color indexed="12"/>
      </bottom>
      <diagonal/>
    </border>
    <border>
      <left style="medium">
        <color indexed="12"/>
      </left>
      <right/>
      <top style="medium">
        <color indexed="12"/>
      </top>
      <bottom style="medium">
        <color indexed="12"/>
      </bottom>
      <diagonal/>
    </border>
    <border>
      <left style="medium">
        <color indexed="12"/>
      </left>
      <right/>
      <top/>
      <bottom/>
      <diagonal/>
    </border>
    <border>
      <left style="thin">
        <color indexed="32"/>
      </left>
      <right style="thin">
        <color indexed="32"/>
      </right>
      <top style="medium">
        <color indexed="48"/>
      </top>
      <bottom style="thin">
        <color indexed="32"/>
      </bottom>
      <diagonal/>
    </border>
    <border>
      <left style="thin">
        <color indexed="32"/>
      </left>
      <right style="medium">
        <color indexed="48"/>
      </right>
      <top style="medium">
        <color indexed="48"/>
      </top>
      <bottom style="thin">
        <color indexed="32"/>
      </bottom>
      <diagonal/>
    </border>
    <border>
      <left style="medium">
        <color indexed="48"/>
      </left>
      <right style="thin">
        <color indexed="32"/>
      </right>
      <top style="thin">
        <color indexed="32"/>
      </top>
      <bottom style="thin">
        <color indexed="32"/>
      </bottom>
      <diagonal/>
    </border>
    <border>
      <left style="thin">
        <color indexed="32"/>
      </left>
      <right style="medium">
        <color indexed="48"/>
      </right>
      <top style="thin">
        <color indexed="32"/>
      </top>
      <bottom style="thin">
        <color indexed="32"/>
      </bottom>
      <diagonal/>
    </border>
    <border>
      <left style="medium">
        <color indexed="48"/>
      </left>
      <right style="thin">
        <color indexed="32"/>
      </right>
      <top style="thin">
        <color indexed="32"/>
      </top>
      <bottom style="medium">
        <color indexed="48"/>
      </bottom>
      <diagonal/>
    </border>
    <border>
      <left style="thin">
        <color indexed="32"/>
      </left>
      <right style="thin">
        <color indexed="32"/>
      </right>
      <top style="thin">
        <color indexed="32"/>
      </top>
      <bottom style="medium">
        <color indexed="48"/>
      </bottom>
      <diagonal/>
    </border>
    <border>
      <left style="thin">
        <color indexed="32"/>
      </left>
      <right style="medium">
        <color indexed="48"/>
      </right>
      <top style="thin">
        <color indexed="32"/>
      </top>
      <bottom style="medium">
        <color indexed="48"/>
      </bottom>
      <diagonal/>
    </border>
    <border>
      <left style="medium">
        <color indexed="48"/>
      </left>
      <right/>
      <top style="medium">
        <color indexed="48"/>
      </top>
      <bottom/>
      <diagonal/>
    </border>
    <border>
      <left style="thin">
        <color indexed="32"/>
      </left>
      <right style="thin">
        <color indexed="32"/>
      </right>
      <top style="thin">
        <color indexed="32"/>
      </top>
      <bottom/>
      <diagonal/>
    </border>
    <border>
      <left style="medium">
        <color indexed="48"/>
      </left>
      <right style="thin">
        <color indexed="32"/>
      </right>
      <top/>
      <bottom/>
      <diagonal/>
    </border>
    <border>
      <left style="medium">
        <color indexed="32"/>
      </left>
      <right style="thin">
        <color indexed="32"/>
      </right>
      <top style="medium">
        <color indexed="32"/>
      </top>
      <bottom style="thin">
        <color indexed="32"/>
      </bottom>
      <diagonal/>
    </border>
    <border>
      <left style="thin">
        <color indexed="16"/>
      </left>
      <right style="thin">
        <color indexed="16"/>
      </right>
      <top style="medium">
        <color indexed="32"/>
      </top>
      <bottom style="thin">
        <color indexed="32"/>
      </bottom>
      <diagonal/>
    </border>
    <border>
      <left style="thin">
        <color indexed="16"/>
      </left>
      <right style="medium">
        <color indexed="16"/>
      </right>
      <top style="medium">
        <color indexed="32"/>
      </top>
      <bottom style="thin">
        <color indexed="32"/>
      </bottom>
      <diagonal/>
    </border>
    <border>
      <left style="medium">
        <color indexed="32"/>
      </left>
      <right/>
      <top/>
      <bottom style="thin">
        <color indexed="32"/>
      </bottom>
      <diagonal/>
    </border>
    <border>
      <left style="medium">
        <color indexed="32"/>
      </left>
      <right style="thin">
        <color indexed="32"/>
      </right>
      <top/>
      <bottom style="thin">
        <color indexed="32"/>
      </bottom>
      <diagonal/>
    </border>
    <border>
      <left style="medium">
        <color indexed="8"/>
      </left>
      <right style="thin">
        <color indexed="32"/>
      </right>
      <top style="medium">
        <color indexed="8"/>
      </top>
      <bottom style="thin">
        <color indexed="32"/>
      </bottom>
      <diagonal/>
    </border>
    <border>
      <left style="thin">
        <color indexed="32"/>
      </left>
      <right style="thin">
        <color indexed="32"/>
      </right>
      <top style="medium">
        <color indexed="8"/>
      </top>
      <bottom style="thin">
        <color indexed="32"/>
      </bottom>
      <diagonal/>
    </border>
    <border>
      <left style="thin">
        <color indexed="32"/>
      </left>
      <right style="medium">
        <color indexed="8"/>
      </right>
      <top style="medium">
        <color indexed="8"/>
      </top>
      <bottom style="thin">
        <color indexed="32"/>
      </bottom>
      <diagonal/>
    </border>
    <border>
      <left style="thin">
        <color indexed="32"/>
      </left>
      <right style="medium">
        <color indexed="8"/>
      </right>
      <top style="thin">
        <color indexed="32"/>
      </top>
      <bottom style="thin">
        <color indexed="32"/>
      </bottom>
      <diagonal/>
    </border>
    <border>
      <left style="thin">
        <color indexed="58"/>
      </left>
      <right style="thin">
        <color indexed="58"/>
      </right>
      <top style="thin">
        <color indexed="58"/>
      </top>
      <bottom/>
      <diagonal/>
    </border>
    <border>
      <left style="thin">
        <color indexed="28"/>
      </left>
      <right style="thin">
        <color indexed="28"/>
      </right>
      <top style="thin">
        <color indexed="28"/>
      </top>
      <bottom style="thin">
        <color indexed="28"/>
      </bottom>
      <diagonal/>
    </border>
    <border>
      <left style="thin">
        <color indexed="58"/>
      </left>
      <right style="thin">
        <color indexed="58"/>
      </right>
      <top style="thin">
        <color indexed="58"/>
      </top>
      <bottom style="medium">
        <color indexed="58"/>
      </bottom>
      <diagonal/>
    </border>
    <border>
      <left style="thin">
        <color indexed="58"/>
      </left>
      <right style="thin">
        <color indexed="58"/>
      </right>
      <top/>
      <bottom style="medium">
        <color indexed="8"/>
      </bottom>
      <diagonal/>
    </border>
    <border>
      <left/>
      <right style="thin">
        <color indexed="58"/>
      </right>
      <top style="thin">
        <color indexed="58"/>
      </top>
      <bottom style="medium">
        <color indexed="8"/>
      </bottom>
      <diagonal/>
    </border>
    <border>
      <left style="thin">
        <color indexed="32"/>
      </left>
      <right style="thin">
        <color indexed="32"/>
      </right>
      <top style="thin">
        <color indexed="32"/>
      </top>
      <bottom style="medium">
        <color indexed="8"/>
      </bottom>
      <diagonal/>
    </border>
    <border>
      <left style="thin">
        <color indexed="58"/>
      </left>
      <right style="thin">
        <color indexed="58"/>
      </right>
      <top style="thin">
        <color indexed="58"/>
      </top>
      <bottom style="medium">
        <color indexed="8"/>
      </bottom>
      <diagonal/>
    </border>
    <border>
      <left style="thin">
        <color indexed="32"/>
      </left>
      <right style="medium">
        <color indexed="8"/>
      </right>
      <top style="thin">
        <color indexed="32"/>
      </top>
      <bottom style="medium">
        <color indexed="8"/>
      </bottom>
      <diagonal/>
    </border>
    <border>
      <left/>
      <right/>
      <top/>
      <bottom style="medium">
        <color indexed="51"/>
      </bottom>
      <diagonal/>
    </border>
    <border>
      <left style="medium">
        <color indexed="51"/>
      </left>
      <right style="medium">
        <color indexed="51"/>
      </right>
      <top style="medium">
        <color indexed="51"/>
      </top>
      <bottom style="thin">
        <color indexed="32"/>
      </bottom>
      <diagonal/>
    </border>
    <border>
      <left/>
      <right style="thin">
        <color indexed="32"/>
      </right>
      <top style="medium">
        <color indexed="51"/>
      </top>
      <bottom style="thin">
        <color indexed="32"/>
      </bottom>
      <diagonal/>
    </border>
    <border>
      <left style="thin">
        <color indexed="32"/>
      </left>
      <right style="thin">
        <color indexed="32"/>
      </right>
      <top style="medium">
        <color indexed="51"/>
      </top>
      <bottom style="thin">
        <color indexed="32"/>
      </bottom>
      <diagonal/>
    </border>
    <border>
      <left style="thin">
        <color indexed="16"/>
      </left>
      <right style="thin">
        <color indexed="16"/>
      </right>
      <top style="medium">
        <color indexed="51"/>
      </top>
      <bottom style="thin">
        <color indexed="32"/>
      </bottom>
      <diagonal/>
    </border>
    <border>
      <left style="medium">
        <color indexed="51"/>
      </left>
      <right/>
      <top/>
      <bottom style="thin">
        <color indexed="32"/>
      </bottom>
      <diagonal/>
    </border>
    <border>
      <left/>
      <right/>
      <top/>
      <bottom style="thin">
        <color indexed="32"/>
      </bottom>
      <diagonal/>
    </border>
    <border>
      <left style="medium">
        <color indexed="51"/>
      </left>
      <right style="medium">
        <color indexed="51"/>
      </right>
      <top/>
      <bottom style="thin">
        <color indexed="32"/>
      </bottom>
      <diagonal/>
    </border>
    <border>
      <left/>
      <right style="thin">
        <color indexed="32"/>
      </right>
      <top/>
      <bottom style="thin">
        <color indexed="32"/>
      </bottom>
      <diagonal/>
    </border>
    <border>
      <left style="thin">
        <color indexed="32"/>
      </left>
      <right style="thin">
        <color indexed="32"/>
      </right>
      <top/>
      <bottom style="thin">
        <color indexed="32"/>
      </bottom>
      <diagonal/>
    </border>
    <border>
      <left/>
      <right style="medium">
        <color indexed="51"/>
      </right>
      <top/>
      <bottom/>
      <diagonal/>
    </border>
    <border>
      <left style="thin">
        <color indexed="32"/>
      </left>
      <right/>
      <top/>
      <bottom style="thin">
        <color indexed="32"/>
      </bottom>
      <diagonal/>
    </border>
    <border>
      <left style="thin">
        <color indexed="32"/>
      </left>
      <right/>
      <top style="thin">
        <color indexed="32"/>
      </top>
      <bottom style="medium">
        <color indexed="51"/>
      </bottom>
      <diagonal/>
    </border>
    <border>
      <left style="thin">
        <color indexed="58"/>
      </left>
      <right style="thin">
        <color indexed="58"/>
      </right>
      <top style="thin">
        <color indexed="58"/>
      </top>
      <bottom style="medium">
        <color indexed="51"/>
      </bottom>
      <diagonal/>
    </border>
    <border>
      <left/>
      <right/>
      <top style="thin">
        <color indexed="30"/>
      </top>
      <bottom style="thin">
        <color indexed="30"/>
      </bottom>
      <diagonal/>
    </border>
    <border>
      <left style="thin">
        <color indexed="32"/>
      </left>
      <right style="medium">
        <color indexed="32"/>
      </right>
      <top style="medium">
        <color indexed="32"/>
      </top>
      <bottom style="thin">
        <color indexed="32"/>
      </bottom>
      <diagonal/>
    </border>
    <border>
      <left style="thin">
        <color indexed="32"/>
      </left>
      <right style="medium">
        <color indexed="32"/>
      </right>
      <top style="thin">
        <color indexed="32"/>
      </top>
      <bottom style="medium">
        <color indexed="32"/>
      </bottom>
      <diagonal/>
    </border>
    <border>
      <left style="medium">
        <color indexed="32"/>
      </left>
      <right style="thin">
        <color indexed="32"/>
      </right>
      <top style="thin">
        <color indexed="32"/>
      </top>
      <bottom style="medium">
        <color indexed="32"/>
      </bottom>
      <diagonal/>
    </border>
    <border>
      <left style="thin">
        <color indexed="32"/>
      </left>
      <right/>
      <top style="medium">
        <color indexed="32"/>
      </top>
      <bottom style="thin">
        <color indexed="32"/>
      </bottom>
      <diagonal/>
    </border>
    <border>
      <left style="thin">
        <color indexed="32"/>
      </left>
      <right style="thin">
        <color indexed="32"/>
      </right>
      <top style="medium">
        <color indexed="32"/>
      </top>
      <bottom style="thin">
        <color indexed="32"/>
      </bottom>
      <diagonal/>
    </border>
    <border>
      <left/>
      <right style="medium">
        <color indexed="32"/>
      </right>
      <top style="medium">
        <color indexed="32"/>
      </top>
      <bottom style="thin">
        <color indexed="32"/>
      </bottom>
      <diagonal/>
    </border>
    <border>
      <left/>
      <right style="medium">
        <color indexed="32"/>
      </right>
      <top style="thin">
        <color indexed="32"/>
      </top>
      <bottom style="thin">
        <color indexed="32"/>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medium">
        <color indexed="60"/>
      </left>
      <right style="dotted">
        <color indexed="32"/>
      </right>
      <top style="medium">
        <color indexed="60"/>
      </top>
      <bottom style="hair">
        <color indexed="32"/>
      </bottom>
      <diagonal/>
    </border>
    <border>
      <left style="dotted">
        <color indexed="32"/>
      </left>
      <right style="dotted">
        <color indexed="32"/>
      </right>
      <top style="medium">
        <color indexed="52"/>
      </top>
      <bottom style="hair">
        <color indexed="32"/>
      </bottom>
      <diagonal/>
    </border>
    <border>
      <left style="medium">
        <color indexed="60"/>
      </left>
      <right style="dotted">
        <color indexed="32"/>
      </right>
      <top style="hair">
        <color indexed="32"/>
      </top>
      <bottom style="hair">
        <color indexed="32"/>
      </bottom>
      <diagonal/>
    </border>
    <border>
      <left style="dotted">
        <color indexed="32"/>
      </left>
      <right style="dotted">
        <color indexed="32"/>
      </right>
      <top style="hair">
        <color indexed="32"/>
      </top>
      <bottom style="hair">
        <color indexed="32"/>
      </bottom>
      <diagonal/>
    </border>
    <border>
      <left style="medium">
        <color indexed="60"/>
      </left>
      <right style="dotted">
        <color indexed="32"/>
      </right>
      <top style="hair">
        <color indexed="32"/>
      </top>
      <bottom style="medium">
        <color indexed="60"/>
      </bottom>
      <diagonal/>
    </border>
    <border>
      <left style="dotted">
        <color indexed="32"/>
      </left>
      <right style="dotted">
        <color indexed="32"/>
      </right>
      <top style="hair">
        <color indexed="32"/>
      </top>
      <bottom style="medium">
        <color indexed="52"/>
      </bottom>
      <diagonal/>
    </border>
    <border>
      <left style="medium">
        <color indexed="62"/>
      </left>
      <right/>
      <top style="medium">
        <color indexed="62"/>
      </top>
      <bottom style="hair">
        <color indexed="32"/>
      </bottom>
      <diagonal/>
    </border>
    <border>
      <left style="dotted">
        <color indexed="62"/>
      </left>
      <right style="dotted">
        <color indexed="32"/>
      </right>
      <top style="medium">
        <color indexed="62"/>
      </top>
      <bottom style="hair">
        <color indexed="32"/>
      </bottom>
      <diagonal/>
    </border>
    <border>
      <left style="medium">
        <color indexed="62"/>
      </left>
      <right/>
      <top style="hair">
        <color indexed="32"/>
      </top>
      <bottom style="hair">
        <color indexed="32"/>
      </bottom>
      <diagonal/>
    </border>
    <border>
      <left style="dotted">
        <color indexed="62"/>
      </left>
      <right style="dotted">
        <color indexed="32"/>
      </right>
      <top style="hair">
        <color indexed="32"/>
      </top>
      <bottom style="hair">
        <color indexed="32"/>
      </bottom>
      <diagonal/>
    </border>
    <border>
      <left style="medium">
        <color indexed="62"/>
      </left>
      <right/>
      <top style="hair">
        <color indexed="32"/>
      </top>
      <bottom style="medium">
        <color indexed="62"/>
      </bottom>
      <diagonal/>
    </border>
    <border>
      <left style="dotted">
        <color indexed="62"/>
      </left>
      <right style="dotted">
        <color indexed="32"/>
      </right>
      <top style="hair">
        <color indexed="32"/>
      </top>
      <bottom style="medium">
        <color indexed="62"/>
      </bottom>
      <diagonal/>
    </border>
    <border>
      <left style="medium">
        <color indexed="51"/>
      </left>
      <right style="hair">
        <color indexed="32"/>
      </right>
      <top style="medium">
        <color indexed="51"/>
      </top>
      <bottom style="hair">
        <color indexed="32"/>
      </bottom>
      <diagonal/>
    </border>
    <border>
      <left style="hair">
        <color indexed="32"/>
      </left>
      <right style="hair">
        <color indexed="32"/>
      </right>
      <top style="medium">
        <color indexed="51"/>
      </top>
      <bottom style="hair">
        <color indexed="32"/>
      </bottom>
      <diagonal/>
    </border>
    <border>
      <left style="medium">
        <color indexed="51"/>
      </left>
      <right style="hair">
        <color indexed="32"/>
      </right>
      <top style="hair">
        <color indexed="32"/>
      </top>
      <bottom style="hair">
        <color indexed="32"/>
      </bottom>
      <diagonal/>
    </border>
    <border>
      <left style="hair">
        <color indexed="32"/>
      </left>
      <right style="hair">
        <color indexed="32"/>
      </right>
      <top/>
      <bottom style="hair">
        <color indexed="32"/>
      </bottom>
      <diagonal/>
    </border>
    <border>
      <left style="medium">
        <color indexed="51"/>
      </left>
      <right/>
      <top/>
      <bottom style="hair">
        <color indexed="32"/>
      </bottom>
      <diagonal/>
    </border>
    <border>
      <left style="hair">
        <color indexed="32"/>
      </left>
      <right style="hair">
        <color indexed="32"/>
      </right>
      <top/>
      <bottom/>
      <diagonal/>
    </border>
    <border>
      <left style="hair">
        <color indexed="32"/>
      </left>
      <right style="hair">
        <color indexed="32"/>
      </right>
      <top style="hair">
        <color indexed="32"/>
      </top>
      <bottom style="medium">
        <color indexed="51"/>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style="thin">
        <color indexed="32"/>
      </top>
      <bottom/>
      <diagonal/>
    </border>
    <border>
      <left style="thin">
        <color indexed="32"/>
      </left>
      <right style="thin">
        <color indexed="32"/>
      </right>
      <top/>
      <bottom/>
      <diagonal/>
    </border>
    <border>
      <left/>
      <right/>
      <top style="medium">
        <color indexed="60"/>
      </top>
      <bottom/>
      <diagonal/>
    </border>
    <border>
      <left style="medium">
        <color indexed="16"/>
      </left>
      <right style="medium">
        <color indexed="16"/>
      </right>
      <top style="medium">
        <color indexed="16"/>
      </top>
      <bottom style="thin">
        <color indexed="16"/>
      </bottom>
      <diagonal/>
    </border>
    <border>
      <left style="medium">
        <color indexed="32"/>
      </left>
      <right style="medium">
        <color indexed="32"/>
      </right>
      <top style="medium">
        <color indexed="32"/>
      </top>
      <bottom style="medium">
        <color indexed="32"/>
      </bottom>
      <diagonal/>
    </border>
    <border>
      <left style="medium">
        <color indexed="16"/>
      </left>
      <right style="medium">
        <color indexed="16"/>
      </right>
      <top style="medium">
        <color indexed="16"/>
      </top>
      <bottom style="thin">
        <color indexed="32"/>
      </bottom>
      <diagonal/>
    </border>
    <border>
      <left style="medium">
        <color indexed="48"/>
      </left>
      <right style="thin">
        <color indexed="32"/>
      </right>
      <top style="medium">
        <color indexed="48"/>
      </top>
      <bottom style="thin">
        <color indexed="32"/>
      </bottom>
      <diagonal/>
    </border>
    <border>
      <left style="medium">
        <color indexed="8"/>
      </left>
      <right style="thin">
        <color indexed="32"/>
      </right>
      <top style="thin">
        <color indexed="32"/>
      </top>
      <bottom style="medium">
        <color indexed="8"/>
      </bottom>
      <diagonal/>
    </border>
    <border>
      <left style="medium">
        <color indexed="51"/>
      </left>
      <right style="medium">
        <color indexed="51"/>
      </right>
      <top style="thin">
        <color indexed="32"/>
      </top>
      <bottom style="thin">
        <color indexed="32"/>
      </bottom>
      <diagonal/>
    </border>
    <border>
      <left style="medium">
        <color indexed="51"/>
      </left>
      <right style="thin">
        <color indexed="32"/>
      </right>
      <top style="thin">
        <color indexed="32"/>
      </top>
      <bottom style="thin">
        <color indexed="32"/>
      </bottom>
      <diagonal/>
    </border>
    <border>
      <left style="medium">
        <color indexed="51"/>
      </left>
      <right style="medium">
        <color indexed="51"/>
      </right>
      <top style="thin">
        <color indexed="32"/>
      </top>
      <bottom style="medium">
        <color indexed="51"/>
      </bottom>
      <diagonal/>
    </border>
    <border>
      <left style="medium">
        <color indexed="51"/>
      </left>
      <right style="medium">
        <color indexed="51"/>
      </right>
      <top style="medium">
        <color indexed="51"/>
      </top>
      <bottom style="medium">
        <color indexed="51"/>
      </bottom>
      <diagonal/>
    </border>
    <border>
      <left style="thin">
        <color indexed="28"/>
      </left>
      <right/>
      <top/>
      <bottom/>
      <diagonal/>
    </border>
    <border>
      <left style="medium">
        <color indexed="32"/>
      </left>
      <right style="medium">
        <color indexed="32"/>
      </right>
      <top style="thin">
        <color indexed="32"/>
      </top>
      <bottom style="thin">
        <color indexed="32"/>
      </bottom>
      <diagonal/>
    </border>
    <border>
      <left style="medium">
        <color indexed="32"/>
      </left>
      <right style="medium">
        <color indexed="32"/>
      </right>
      <top style="thin">
        <color indexed="32"/>
      </top>
      <bottom style="medium">
        <color indexed="32"/>
      </bottom>
      <diagonal/>
    </border>
    <border>
      <left style="thin">
        <color indexed="8"/>
      </left>
      <right style="thin">
        <color indexed="8"/>
      </right>
      <top style="thin">
        <color indexed="8"/>
      </top>
      <bottom style="thin">
        <color indexed="8"/>
      </bottom>
      <diagonal/>
    </border>
    <border>
      <left/>
      <right style="medium">
        <color indexed="60"/>
      </right>
      <top style="hair">
        <color indexed="23"/>
      </top>
      <bottom style="hair">
        <color indexed="23"/>
      </bottom>
      <diagonal/>
    </border>
    <border>
      <left style="medium">
        <color indexed="60"/>
      </left>
      <right style="medium">
        <color indexed="60"/>
      </right>
      <top/>
      <bottom style="hair">
        <color indexed="32"/>
      </bottom>
      <diagonal/>
    </border>
    <border>
      <left style="medium">
        <color indexed="60"/>
      </left>
      <right style="medium">
        <color indexed="60"/>
      </right>
      <top style="hair">
        <color indexed="32"/>
      </top>
      <bottom style="hair">
        <color indexed="32"/>
      </bottom>
      <diagonal/>
    </border>
    <border>
      <left/>
      <right style="medium">
        <color indexed="60"/>
      </right>
      <top style="hair">
        <color indexed="23"/>
      </top>
      <bottom style="medium">
        <color indexed="60"/>
      </bottom>
      <diagonal/>
    </border>
    <border>
      <left style="medium">
        <color indexed="60"/>
      </left>
      <right style="medium">
        <color indexed="60"/>
      </right>
      <top/>
      <bottom style="medium">
        <color indexed="60"/>
      </bottom>
      <diagonal/>
    </border>
    <border>
      <left/>
      <right style="medium">
        <color indexed="52"/>
      </right>
      <top/>
      <bottom style="medium">
        <color indexed="52"/>
      </bottom>
      <diagonal/>
    </border>
    <border>
      <left style="medium">
        <color indexed="18"/>
      </left>
      <right style="medium">
        <color indexed="18"/>
      </right>
      <top style="medium">
        <color indexed="18"/>
      </top>
      <bottom/>
      <diagonal/>
    </border>
    <border>
      <left style="medium">
        <color indexed="18"/>
      </left>
      <right/>
      <top style="medium">
        <color indexed="18"/>
      </top>
      <bottom style="medium">
        <color indexed="18"/>
      </bottom>
      <diagonal/>
    </border>
    <border>
      <left/>
      <right style="medium">
        <color indexed="62"/>
      </right>
      <top style="medium">
        <color indexed="62"/>
      </top>
      <bottom style="hair">
        <color indexed="23"/>
      </bottom>
      <diagonal/>
    </border>
    <border>
      <left style="medium">
        <color indexed="18"/>
      </left>
      <right style="medium">
        <color indexed="18"/>
      </right>
      <top style="medium">
        <color indexed="18"/>
      </top>
      <bottom style="hair">
        <color indexed="18"/>
      </bottom>
      <diagonal/>
    </border>
    <border>
      <left/>
      <right style="medium">
        <color indexed="62"/>
      </right>
      <top style="hair">
        <color indexed="23"/>
      </top>
      <bottom style="hair">
        <color indexed="23"/>
      </bottom>
      <diagonal/>
    </border>
    <border>
      <left style="medium">
        <color indexed="18"/>
      </left>
      <right style="medium">
        <color indexed="18"/>
      </right>
      <top style="hair">
        <color indexed="18"/>
      </top>
      <bottom style="hair">
        <color indexed="18"/>
      </bottom>
      <diagonal/>
    </border>
    <border>
      <left/>
      <right style="medium">
        <color indexed="62"/>
      </right>
      <top style="hair">
        <color indexed="23"/>
      </top>
      <bottom style="medium">
        <color indexed="62"/>
      </bottom>
      <diagonal/>
    </border>
    <border>
      <left style="medium">
        <color indexed="18"/>
      </left>
      <right style="medium">
        <color indexed="18"/>
      </right>
      <top style="hair">
        <color indexed="18"/>
      </top>
      <bottom style="medium">
        <color indexed="18"/>
      </bottom>
      <diagonal/>
    </border>
    <border>
      <left/>
      <right style="medium">
        <color indexed="52"/>
      </right>
      <top/>
      <bottom/>
      <diagonal/>
    </border>
    <border>
      <left style="hair">
        <color indexed="32"/>
      </left>
      <right style="medium">
        <color indexed="51"/>
      </right>
      <top style="medium">
        <color indexed="51"/>
      </top>
      <bottom style="hair">
        <color indexed="32"/>
      </bottom>
      <diagonal/>
    </border>
    <border>
      <left style="medium">
        <color indexed="51"/>
      </left>
      <right style="medium">
        <color indexed="51"/>
      </right>
      <top style="medium">
        <color indexed="51"/>
      </top>
      <bottom style="hair">
        <color indexed="51"/>
      </bottom>
      <diagonal/>
    </border>
    <border>
      <left style="hair">
        <color indexed="32"/>
      </left>
      <right style="medium">
        <color indexed="51"/>
      </right>
      <top style="hair">
        <color indexed="32"/>
      </top>
      <bottom style="hair">
        <color indexed="32"/>
      </bottom>
      <diagonal/>
    </border>
    <border>
      <left style="medium">
        <color indexed="51"/>
      </left>
      <right style="medium">
        <color indexed="51"/>
      </right>
      <top style="hair">
        <color indexed="51"/>
      </top>
      <bottom style="hair">
        <color indexed="51"/>
      </bottom>
      <diagonal/>
    </border>
    <border>
      <left style="medium">
        <color indexed="51"/>
      </left>
      <right style="medium">
        <color indexed="51"/>
      </right>
      <top style="hair">
        <color indexed="51"/>
      </top>
      <bottom style="medium">
        <color indexed="51"/>
      </bottom>
      <diagonal/>
    </border>
    <border>
      <left style="medium">
        <color indexed="57"/>
      </left>
      <right style="medium">
        <color indexed="57"/>
      </right>
      <top style="medium">
        <color indexed="57"/>
      </top>
      <bottom style="medium">
        <color indexed="57"/>
      </bottom>
      <diagonal/>
    </border>
    <border>
      <left style="medium">
        <color indexed="57"/>
      </left>
      <right style="hair">
        <color indexed="57"/>
      </right>
      <top style="medium">
        <color indexed="57"/>
      </top>
      <bottom style="medium">
        <color indexed="57"/>
      </bottom>
      <diagonal/>
    </border>
    <border>
      <left style="hair">
        <color indexed="57"/>
      </left>
      <right style="medium">
        <color indexed="57"/>
      </right>
      <top style="medium">
        <color indexed="57"/>
      </top>
      <bottom style="medium">
        <color indexed="57"/>
      </bottom>
      <diagonal/>
    </border>
    <border>
      <left style="thin">
        <color indexed="32"/>
      </left>
      <right/>
      <top style="medium">
        <color indexed="57"/>
      </top>
      <bottom/>
      <diagonal/>
    </border>
    <border>
      <left style="medium">
        <color indexed="32"/>
      </left>
      <right style="hair">
        <color indexed="32"/>
      </right>
      <top style="medium">
        <color indexed="57"/>
      </top>
      <bottom style="hair">
        <color indexed="32"/>
      </bottom>
      <diagonal/>
    </border>
    <border>
      <left style="hair">
        <color indexed="32"/>
      </left>
      <right style="hair">
        <color indexed="32"/>
      </right>
      <top style="medium">
        <color indexed="57"/>
      </top>
      <bottom style="hair">
        <color indexed="32"/>
      </bottom>
      <diagonal/>
    </border>
    <border>
      <left style="hair">
        <color indexed="32"/>
      </left>
      <right style="medium">
        <color indexed="32"/>
      </right>
      <top style="medium">
        <color indexed="57"/>
      </top>
      <bottom style="hair">
        <color indexed="32"/>
      </bottom>
      <diagonal/>
    </border>
    <border>
      <left/>
      <right style="medium">
        <color indexed="32"/>
      </right>
      <top style="hair">
        <color indexed="32"/>
      </top>
      <bottom style="hair">
        <color indexed="32"/>
      </bottom>
      <diagonal/>
    </border>
    <border>
      <left style="medium">
        <color indexed="32"/>
      </left>
      <right style="hair">
        <color indexed="32"/>
      </right>
      <top style="hair">
        <color indexed="32"/>
      </top>
      <bottom style="hair">
        <color indexed="32"/>
      </bottom>
      <diagonal/>
    </border>
    <border>
      <left style="hair">
        <color indexed="32"/>
      </left>
      <right style="hair">
        <color indexed="32"/>
      </right>
      <top style="hair">
        <color indexed="32"/>
      </top>
      <bottom style="hair">
        <color indexed="32"/>
      </bottom>
      <diagonal/>
    </border>
    <border>
      <left style="hair">
        <color indexed="32"/>
      </left>
      <right style="medium">
        <color indexed="32"/>
      </right>
      <top style="hair">
        <color indexed="32"/>
      </top>
      <bottom style="hair">
        <color indexed="32"/>
      </bottom>
      <diagonal/>
    </border>
    <border>
      <left/>
      <right style="medium">
        <color indexed="32"/>
      </right>
      <top style="hair">
        <color indexed="32"/>
      </top>
      <bottom style="medium">
        <color indexed="32"/>
      </bottom>
      <diagonal/>
    </border>
    <border>
      <left style="medium">
        <color indexed="32"/>
      </left>
      <right style="hair">
        <color indexed="32"/>
      </right>
      <top style="hair">
        <color indexed="32"/>
      </top>
      <bottom style="medium">
        <color indexed="32"/>
      </bottom>
      <diagonal/>
    </border>
    <border>
      <left style="hair">
        <color indexed="32"/>
      </left>
      <right style="hair">
        <color indexed="32"/>
      </right>
      <top style="hair">
        <color indexed="32"/>
      </top>
      <bottom style="medium">
        <color indexed="32"/>
      </bottom>
      <diagonal/>
    </border>
    <border>
      <left style="hair">
        <color indexed="32"/>
      </left>
      <right style="medium">
        <color indexed="32"/>
      </right>
      <top style="hair">
        <color indexed="32"/>
      </top>
      <bottom style="medium">
        <color indexed="32"/>
      </bottom>
      <diagonal/>
    </border>
    <border>
      <left style="medium">
        <color indexed="32"/>
      </left>
      <right style="medium">
        <color indexed="32"/>
      </right>
      <top style="medium">
        <color indexed="57"/>
      </top>
      <bottom style="hair">
        <color indexed="32"/>
      </bottom>
      <diagonal/>
    </border>
    <border>
      <left style="medium">
        <color indexed="32"/>
      </left>
      <right style="hair">
        <color indexed="32"/>
      </right>
      <top/>
      <bottom style="hair">
        <color indexed="32"/>
      </bottom>
      <diagonal/>
    </border>
    <border>
      <left style="hair">
        <color indexed="32"/>
      </left>
      <right style="medium">
        <color indexed="32"/>
      </right>
      <top/>
      <bottom style="hair">
        <color indexed="32"/>
      </bottom>
      <diagonal/>
    </border>
    <border>
      <left style="medium">
        <color indexed="32"/>
      </left>
      <right style="medium">
        <color indexed="32"/>
      </right>
      <top style="hair">
        <color indexed="32"/>
      </top>
      <bottom style="hair">
        <color indexed="32"/>
      </bottom>
      <diagonal/>
    </border>
    <border>
      <left style="medium">
        <color indexed="32"/>
      </left>
      <right style="medium">
        <color indexed="32"/>
      </right>
      <top style="hair">
        <color indexed="32"/>
      </top>
      <bottom style="medium">
        <color indexed="32"/>
      </bottom>
      <diagonal/>
    </border>
    <border>
      <left style="medium">
        <color indexed="64"/>
      </left>
      <right/>
      <top style="medium">
        <color indexed="64"/>
      </top>
      <bottom style="thin">
        <color indexed="32"/>
      </bottom>
      <diagonal/>
    </border>
    <border>
      <left style="thin">
        <color indexed="60"/>
      </left>
      <right style="thin">
        <color indexed="60"/>
      </right>
      <top style="medium">
        <color indexed="64"/>
      </top>
      <bottom style="thin">
        <color indexed="32"/>
      </bottom>
      <diagonal/>
    </border>
    <border>
      <left/>
      <right style="medium">
        <color indexed="64"/>
      </right>
      <top style="medium">
        <color indexed="64"/>
      </top>
      <bottom/>
      <diagonal/>
    </border>
    <border>
      <left style="medium">
        <color indexed="64"/>
      </left>
      <right style="thin">
        <color indexed="32"/>
      </right>
      <top style="thin">
        <color indexed="32"/>
      </top>
      <bottom/>
      <diagonal/>
    </border>
    <border>
      <left style="thin">
        <color indexed="32"/>
      </left>
      <right style="medium">
        <color indexed="64"/>
      </right>
      <top style="thin">
        <color indexed="32"/>
      </top>
      <bottom style="thin">
        <color indexed="32"/>
      </bottom>
      <diagonal/>
    </border>
    <border>
      <left style="medium">
        <color indexed="64"/>
      </left>
      <right style="thin">
        <color indexed="32"/>
      </right>
      <top style="thin">
        <color indexed="53"/>
      </top>
      <bottom style="thin">
        <color indexed="32"/>
      </bottom>
      <diagonal/>
    </border>
    <border>
      <left style="medium">
        <color indexed="64"/>
      </left>
      <right style="thin">
        <color indexed="32"/>
      </right>
      <top style="thin">
        <color indexed="32"/>
      </top>
      <bottom style="thin">
        <color indexed="32"/>
      </bottom>
      <diagonal/>
    </border>
    <border>
      <left/>
      <right style="medium">
        <color indexed="64"/>
      </right>
      <top style="thin">
        <color indexed="32"/>
      </top>
      <bottom style="thin">
        <color indexed="32"/>
      </bottom>
      <diagonal/>
    </border>
    <border>
      <left style="medium">
        <color indexed="64"/>
      </left>
      <right/>
      <top/>
      <bottom/>
      <diagonal/>
    </border>
    <border>
      <left style="thin">
        <color indexed="60"/>
      </left>
      <right style="medium">
        <color indexed="64"/>
      </right>
      <top style="medium">
        <color indexed="60"/>
      </top>
      <bottom style="thin">
        <color indexed="32"/>
      </bottom>
      <diagonal/>
    </border>
    <border>
      <left style="medium">
        <color indexed="64"/>
      </left>
      <right style="medium">
        <color indexed="60"/>
      </right>
      <top style="medium">
        <color indexed="60"/>
      </top>
      <bottom style="medium">
        <color indexed="60"/>
      </bottom>
      <diagonal/>
    </border>
    <border>
      <left style="medium">
        <color indexed="64"/>
      </left>
      <right style="medium">
        <color indexed="60"/>
      </right>
      <top style="medium">
        <color indexed="60"/>
      </top>
      <bottom style="medium">
        <color indexed="64"/>
      </bottom>
      <diagonal/>
    </border>
    <border>
      <left style="thin">
        <color indexed="58"/>
      </left>
      <right style="thin">
        <color indexed="58"/>
      </right>
      <top style="thin">
        <color indexed="58"/>
      </top>
      <bottom style="medium">
        <color indexed="64"/>
      </bottom>
      <diagonal/>
    </border>
    <border>
      <left/>
      <right style="medium">
        <color indexed="64"/>
      </right>
      <top style="thin">
        <color indexed="32"/>
      </top>
      <bottom style="medium">
        <color indexed="64"/>
      </bottom>
      <diagonal/>
    </border>
    <border>
      <left/>
      <right style="medium">
        <color indexed="64"/>
      </right>
      <top/>
      <bottom/>
      <diagonal/>
    </border>
    <border>
      <left style="medium">
        <color indexed="51"/>
      </left>
      <right style="thin">
        <color indexed="32"/>
      </right>
      <top style="thin">
        <color indexed="32"/>
      </top>
      <bottom/>
      <diagonal/>
    </border>
    <border>
      <left style="medium">
        <color indexed="51"/>
      </left>
      <right style="thin">
        <color indexed="32"/>
      </right>
      <top/>
      <bottom style="thin">
        <color indexed="32"/>
      </bottom>
      <diagonal/>
    </border>
    <border>
      <left style="medium">
        <color indexed="51"/>
      </left>
      <right style="medium">
        <color indexed="51"/>
      </right>
      <top style="thin">
        <color indexed="32"/>
      </top>
      <bottom/>
      <diagonal/>
    </border>
    <border>
      <left style="medium">
        <color indexed="51"/>
      </left>
      <right/>
      <top style="thin">
        <color indexed="32"/>
      </top>
      <bottom/>
      <diagonal/>
    </border>
    <border>
      <left/>
      <right style="medium">
        <color indexed="51"/>
      </right>
      <top style="thin">
        <color indexed="32"/>
      </top>
      <bottom/>
      <diagonal/>
    </border>
    <border>
      <left/>
      <right style="medium">
        <color indexed="51"/>
      </right>
      <top/>
      <bottom style="thin">
        <color indexed="32"/>
      </bottom>
      <diagonal/>
    </border>
    <border>
      <left style="thin">
        <color indexed="58"/>
      </left>
      <right/>
      <top/>
      <bottom/>
      <diagonal/>
    </border>
    <border>
      <left style="medium">
        <color indexed="32"/>
      </left>
      <right/>
      <top style="medium">
        <color indexed="32"/>
      </top>
      <bottom style="thin">
        <color indexed="32"/>
      </bottom>
      <diagonal/>
    </border>
    <border>
      <left style="medium">
        <color indexed="32"/>
      </left>
      <right/>
      <top style="medium">
        <color indexed="32"/>
      </top>
      <bottom style="medium">
        <color indexed="32"/>
      </bottom>
      <diagonal/>
    </border>
    <border>
      <left/>
      <right/>
      <top style="medium">
        <color indexed="32"/>
      </top>
      <bottom style="medium">
        <color indexed="32"/>
      </bottom>
      <diagonal/>
    </border>
    <border>
      <left/>
      <right style="medium">
        <color indexed="32"/>
      </right>
      <top style="medium">
        <color indexed="32"/>
      </top>
      <bottom style="medium">
        <color indexed="32"/>
      </bottom>
      <diagonal/>
    </border>
  </borders>
  <cellStyleXfs count="40">
    <xf numFmtId="0" fontId="0" fillId="0" borderId="0"/>
    <xf numFmtId="164" fontId="105" fillId="0" borderId="0" applyFill="0" applyBorder="0" applyProtection="0"/>
    <xf numFmtId="165" fontId="105" fillId="0" borderId="0" applyFill="0" applyBorder="0" applyProtection="0"/>
    <xf numFmtId="165" fontId="1" fillId="0" borderId="0" applyFill="0" applyBorder="0" applyProtection="0"/>
    <xf numFmtId="166" fontId="1" fillId="0" borderId="0" applyFill="0" applyBorder="0" applyProtection="0"/>
    <xf numFmtId="165" fontId="10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05" fillId="0" borderId="0"/>
    <xf numFmtId="165" fontId="105" fillId="0" borderId="0"/>
    <xf numFmtId="165" fontId="105" fillId="0" borderId="0"/>
    <xf numFmtId="165" fontId="105" fillId="0" borderId="0"/>
    <xf numFmtId="165" fontId="105" fillId="0" borderId="0"/>
    <xf numFmtId="165" fontId="105" fillId="0" borderId="0"/>
    <xf numFmtId="165" fontId="105" fillId="0" borderId="0"/>
    <xf numFmtId="165" fontId="105" fillId="0" borderId="0"/>
    <xf numFmtId="165" fontId="105" fillId="0" borderId="0"/>
    <xf numFmtId="0" fontId="1" fillId="0" borderId="0"/>
    <xf numFmtId="9" fontId="105" fillId="0" borderId="0" applyFill="0" applyBorder="0" applyProtection="0"/>
    <xf numFmtId="165" fontId="105" fillId="0" borderId="0" applyFill="0" applyBorder="0" applyProtection="0"/>
    <xf numFmtId="165" fontId="105" fillId="0" borderId="0" applyFill="0" applyBorder="0" applyProtection="0"/>
    <xf numFmtId="165" fontId="105" fillId="0" borderId="0" applyFill="0" applyBorder="0" applyProtection="0"/>
    <xf numFmtId="165" fontId="105" fillId="0" borderId="0" applyFill="0" applyBorder="0" applyProtection="0"/>
    <xf numFmtId="165" fontId="105" fillId="0" borderId="0" applyFill="0" applyBorder="0" applyProtection="0"/>
    <xf numFmtId="165" fontId="105" fillId="0" borderId="0" applyFill="0" applyBorder="0" applyProtection="0"/>
    <xf numFmtId="165" fontId="105" fillId="0" borderId="0" applyFill="0" applyBorder="0" applyProtection="0"/>
    <xf numFmtId="0" fontId="105" fillId="0" borderId="1" applyNumberFormat="0" applyFill="0" applyProtection="0"/>
    <xf numFmtId="0" fontId="105" fillId="0" borderId="1" applyNumberFormat="0" applyFill="0" applyProtection="0"/>
    <xf numFmtId="0" fontId="105" fillId="0" borderId="1" applyNumberFormat="0" applyFill="0" applyProtection="0"/>
    <xf numFmtId="0" fontId="105" fillId="0" borderId="1" applyNumberFormat="0" applyFill="0" applyProtection="0"/>
    <xf numFmtId="0" fontId="105" fillId="0" borderId="1" applyNumberFormat="0" applyFill="0" applyProtection="0"/>
    <xf numFmtId="0" fontId="105" fillId="0" borderId="1" applyNumberFormat="0" applyFill="0" applyProtection="0"/>
    <xf numFmtId="0" fontId="105" fillId="0" borderId="1" applyNumberFormat="0" applyFill="0" applyProtection="0"/>
    <xf numFmtId="0" fontId="105" fillId="0" borderId="1" applyNumberFormat="0" applyFill="0" applyProtection="0"/>
    <xf numFmtId="0" fontId="105" fillId="0" borderId="1" applyNumberFormat="0" applyFill="0" applyProtection="0"/>
  </cellStyleXfs>
  <cellXfs count="661">
    <xf numFmtId="0" fontId="0" fillId="0" borderId="0" xfId="0"/>
    <xf numFmtId="165" fontId="3" fillId="0" borderId="0" xfId="14" applyFont="1" applyAlignment="1">
      <alignment vertical="center"/>
    </xf>
    <xf numFmtId="0" fontId="5" fillId="0" borderId="0" xfId="0" applyFont="1"/>
    <xf numFmtId="165" fontId="5" fillId="0" borderId="0" xfId="0" applyNumberFormat="1" applyFont="1"/>
    <xf numFmtId="165" fontId="2" fillId="0" borderId="0" xfId="13" applyFont="1" applyAlignment="1">
      <alignment horizontal="center" vertical="center"/>
    </xf>
    <xf numFmtId="165" fontId="3" fillId="0" borderId="0" xfId="13" applyFont="1" applyAlignment="1">
      <alignment vertical="center"/>
    </xf>
    <xf numFmtId="0" fontId="12" fillId="0" borderId="0" xfId="0" applyFont="1"/>
    <xf numFmtId="0" fontId="0" fillId="0" borderId="0" xfId="0" applyAlignment="1">
      <alignment horizontal="center"/>
    </xf>
    <xf numFmtId="0" fontId="15" fillId="0" borderId="0" xfId="0" applyFont="1"/>
    <xf numFmtId="0" fontId="10"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2"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8" fillId="0" borderId="2" xfId="0" applyFont="1" applyBorder="1" applyAlignment="1">
      <alignment vertical="center" wrapText="1"/>
    </xf>
    <xf numFmtId="0" fontId="8" fillId="0" borderId="3" xfId="0" applyFont="1" applyBorder="1" applyAlignment="1">
      <alignment vertical="center" wrapText="1"/>
    </xf>
    <xf numFmtId="0" fontId="10" fillId="0" borderId="3" xfId="0" applyFont="1" applyBorder="1" applyAlignment="1">
      <alignment horizontal="justify" vertical="center" wrapText="1"/>
    </xf>
    <xf numFmtId="0" fontId="9" fillId="0" borderId="3"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2" xfId="0" applyFont="1" applyBorder="1" applyAlignment="1">
      <alignment horizontal="justify" vertical="center" wrapText="1"/>
    </xf>
    <xf numFmtId="165" fontId="20" fillId="0" borderId="0" xfId="5" applyFont="1" applyAlignment="1">
      <alignment vertical="center"/>
    </xf>
    <xf numFmtId="165" fontId="21" fillId="0" borderId="0" xfId="0" applyNumberFormat="1" applyFont="1" applyAlignment="1">
      <alignment horizontal="right"/>
    </xf>
    <xf numFmtId="165" fontId="0" fillId="0" borderId="5" xfId="0" applyNumberFormat="1" applyBorder="1" applyAlignment="1" applyProtection="1">
      <alignment horizontal="center"/>
      <protection locked="0"/>
    </xf>
    <xf numFmtId="0" fontId="21" fillId="0" borderId="0" xfId="0" applyFont="1" applyAlignment="1">
      <alignment horizontal="right"/>
    </xf>
    <xf numFmtId="0" fontId="21" fillId="0" borderId="0" xfId="0" applyFont="1"/>
    <xf numFmtId="49" fontId="21" fillId="0" borderId="0" xfId="0" applyNumberFormat="1" applyFont="1" applyAlignment="1">
      <alignment horizontal="right"/>
    </xf>
    <xf numFmtId="167" fontId="0" fillId="0" borderId="0" xfId="0" applyNumberFormat="1"/>
    <xf numFmtId="167" fontId="0" fillId="0" borderId="5" xfId="32" applyNumberFormat="1" applyFont="1" applyBorder="1" applyAlignment="1" applyProtection="1">
      <alignment horizontal="center"/>
      <protection locked="0"/>
    </xf>
    <xf numFmtId="165" fontId="21" fillId="0" borderId="6" xfId="0" applyNumberFormat="1" applyFont="1" applyBorder="1" applyAlignment="1">
      <alignment horizontal="right"/>
    </xf>
    <xf numFmtId="165" fontId="21" fillId="0" borderId="0" xfId="0" applyNumberFormat="1" applyFont="1"/>
    <xf numFmtId="0" fontId="0" fillId="3" borderId="5" xfId="0" applyFill="1" applyBorder="1"/>
    <xf numFmtId="0" fontId="0" fillId="4" borderId="5" xfId="0" applyFill="1" applyBorder="1"/>
    <xf numFmtId="165" fontId="24" fillId="0" borderId="7" xfId="38" applyNumberFormat="1" applyFont="1" applyBorder="1"/>
    <xf numFmtId="165" fontId="105" fillId="0" borderId="7" xfId="38" applyNumberFormat="1" applyBorder="1" applyAlignment="1">
      <alignment vertical="center"/>
    </xf>
    <xf numFmtId="165" fontId="25" fillId="0" borderId="7" xfId="38" applyNumberFormat="1" applyFont="1" applyBorder="1" applyAlignment="1">
      <alignment horizontal="left" vertical="center"/>
    </xf>
    <xf numFmtId="165" fontId="105" fillId="3" borderId="8" xfId="38" applyNumberFormat="1" applyFill="1" applyBorder="1" applyAlignment="1">
      <alignment vertical="center"/>
    </xf>
    <xf numFmtId="165" fontId="26" fillId="0" borderId="0" xfId="38" applyNumberFormat="1" applyFont="1" applyBorder="1" applyAlignment="1" applyProtection="1">
      <alignment vertical="center"/>
      <protection locked="0"/>
    </xf>
    <xf numFmtId="165" fontId="27" fillId="0" borderId="5" xfId="0" applyNumberFormat="1" applyFont="1" applyBorder="1" applyAlignment="1" applyProtection="1">
      <alignment horizontal="center"/>
      <protection locked="0"/>
    </xf>
    <xf numFmtId="165" fontId="105" fillId="0" borderId="0" xfId="38" applyNumberFormat="1" applyBorder="1" applyAlignment="1">
      <alignment vertical="center"/>
    </xf>
    <xf numFmtId="165" fontId="0" fillId="0" borderId="0" xfId="38" applyNumberFormat="1" applyFont="1" applyBorder="1" applyAlignment="1">
      <alignment vertical="center"/>
    </xf>
    <xf numFmtId="165" fontId="105" fillId="0" borderId="0" xfId="38" applyNumberFormat="1" applyBorder="1" applyAlignment="1" applyProtection="1">
      <alignment vertical="center"/>
      <protection locked="0"/>
    </xf>
    <xf numFmtId="165" fontId="24" fillId="0" borderId="0" xfId="38" applyNumberFormat="1" applyFont="1" applyBorder="1"/>
    <xf numFmtId="0" fontId="22" fillId="5" borderId="0" xfId="0" applyFont="1" applyFill="1"/>
    <xf numFmtId="168" fontId="22" fillId="5" borderId="0" xfId="0" applyNumberFormat="1" applyFont="1" applyFill="1"/>
    <xf numFmtId="165" fontId="28" fillId="0" borderId="9" xfId="0" applyNumberFormat="1" applyFont="1" applyBorder="1" applyAlignment="1">
      <alignment horizontal="left"/>
    </xf>
    <xf numFmtId="0" fontId="28" fillId="6" borderId="10" xfId="0" applyFont="1" applyFill="1" applyBorder="1" applyAlignment="1" applyProtection="1">
      <alignment horizontal="center"/>
      <protection locked="0"/>
    </xf>
    <xf numFmtId="167" fontId="29" fillId="0" borderId="11" xfId="0" applyNumberFormat="1" applyFont="1" applyBorder="1" applyAlignment="1">
      <alignment horizontal="left"/>
    </xf>
    <xf numFmtId="169" fontId="29" fillId="3" borderId="12" xfId="0" applyNumberFormat="1" applyFont="1" applyFill="1" applyBorder="1" applyProtection="1">
      <protection locked="0"/>
    </xf>
    <xf numFmtId="170" fontId="29" fillId="3" borderId="10" xfId="0" applyNumberFormat="1" applyFont="1" applyFill="1" applyBorder="1" applyProtection="1">
      <protection locked="0"/>
    </xf>
    <xf numFmtId="0" fontId="29" fillId="0" borderId="9" xfId="0" applyFont="1" applyBorder="1" applyAlignment="1">
      <alignment horizontal="left"/>
    </xf>
    <xf numFmtId="170" fontId="29" fillId="3" borderId="12" xfId="0" applyNumberFormat="1" applyFont="1" applyFill="1" applyBorder="1" applyProtection="1">
      <protection locked="0"/>
    </xf>
    <xf numFmtId="167" fontId="29" fillId="0" borderId="13" xfId="0" applyNumberFormat="1" applyFont="1" applyBorder="1" applyAlignment="1">
      <alignment horizontal="left"/>
    </xf>
    <xf numFmtId="170" fontId="29" fillId="0" borderId="5" xfId="0" applyNumberFormat="1" applyFont="1" applyBorder="1"/>
    <xf numFmtId="171" fontId="29" fillId="0" borderId="5" xfId="0" applyNumberFormat="1" applyFont="1" applyBorder="1"/>
    <xf numFmtId="167" fontId="29" fillId="0" borderId="14" xfId="0" applyNumberFormat="1" applyFont="1" applyBorder="1" applyAlignment="1">
      <alignment horizontal="left"/>
    </xf>
    <xf numFmtId="170" fontId="29" fillId="0" borderId="15" xfId="0" applyNumberFormat="1" applyFont="1" applyBorder="1"/>
    <xf numFmtId="9" fontId="22" fillId="0" borderId="0" xfId="23" applyFont="1"/>
    <xf numFmtId="49" fontId="0" fillId="0" borderId="0" xfId="0" applyNumberFormat="1"/>
    <xf numFmtId="168" fontId="0" fillId="0" borderId="0" xfId="0" applyNumberFormat="1"/>
    <xf numFmtId="0" fontId="28" fillId="0" borderId="0" xfId="0" applyFont="1" applyAlignment="1">
      <alignment horizontal="center"/>
    </xf>
    <xf numFmtId="165" fontId="29" fillId="0" borderId="0" xfId="0" applyNumberFormat="1" applyFont="1"/>
    <xf numFmtId="165" fontId="30" fillId="0" borderId="16" xfId="0" applyNumberFormat="1" applyFont="1" applyBorder="1" applyAlignment="1">
      <alignment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21" fillId="0" borderId="0" xfId="0" applyFont="1" applyAlignment="1">
      <alignment horizontal="center"/>
    </xf>
    <xf numFmtId="0" fontId="31" fillId="0" borderId="0" xfId="0" applyFont="1" applyAlignment="1">
      <alignment horizontal="center" vertical="center"/>
    </xf>
    <xf numFmtId="0" fontId="32" fillId="0" borderId="0" xfId="0" applyFont="1" applyAlignment="1">
      <alignment horizontal="center"/>
    </xf>
    <xf numFmtId="165" fontId="32" fillId="0" borderId="19" xfId="0" applyNumberFormat="1" applyFont="1" applyBorder="1" applyAlignment="1" applyProtection="1">
      <alignment wrapText="1"/>
      <protection locked="0"/>
    </xf>
    <xf numFmtId="172" fontId="0" fillId="3" borderId="20" xfId="2" applyNumberFormat="1" applyFont="1" applyFill="1" applyBorder="1" applyProtection="1">
      <protection locked="0"/>
    </xf>
    <xf numFmtId="167" fontId="21" fillId="0" borderId="0" xfId="0" applyNumberFormat="1" applyFont="1" applyAlignment="1">
      <alignment horizontal="center"/>
    </xf>
    <xf numFmtId="173" fontId="0" fillId="0" borderId="0" xfId="0" applyNumberFormat="1" applyProtection="1">
      <protection locked="0"/>
    </xf>
    <xf numFmtId="173" fontId="0" fillId="0" borderId="0" xfId="0" applyNumberFormat="1"/>
    <xf numFmtId="165" fontId="32" fillId="0" borderId="19" xfId="0" applyNumberFormat="1" applyFont="1" applyBorder="1" applyProtection="1">
      <protection locked="0"/>
    </xf>
    <xf numFmtId="0" fontId="0" fillId="0" borderId="0" xfId="0" applyProtection="1">
      <protection locked="0"/>
    </xf>
    <xf numFmtId="174" fontId="0" fillId="0" borderId="0" xfId="0" applyNumberFormat="1" applyProtection="1">
      <protection locked="0"/>
    </xf>
    <xf numFmtId="169" fontId="0" fillId="3" borderId="20" xfId="2" applyNumberFormat="1" applyFont="1" applyFill="1" applyBorder="1" applyProtection="1">
      <protection locked="0"/>
    </xf>
    <xf numFmtId="170" fontId="0" fillId="0" borderId="0" xfId="0" applyNumberFormat="1" applyProtection="1">
      <protection locked="0"/>
    </xf>
    <xf numFmtId="49" fontId="32" fillId="0" borderId="19" xfId="0" applyNumberFormat="1" applyFont="1" applyBorder="1" applyProtection="1">
      <protection locked="0"/>
    </xf>
    <xf numFmtId="0" fontId="32" fillId="0" borderId="19" xfId="0" applyFont="1" applyBorder="1" applyAlignment="1" applyProtection="1">
      <alignment wrapText="1"/>
      <protection locked="0"/>
    </xf>
    <xf numFmtId="166" fontId="1" fillId="3" borderId="21" xfId="4" applyFill="1" applyBorder="1" applyProtection="1">
      <protection locked="0"/>
    </xf>
    <xf numFmtId="166" fontId="1" fillId="3" borderId="20" xfId="4" applyFill="1" applyBorder="1" applyProtection="1">
      <protection locked="0"/>
    </xf>
    <xf numFmtId="165" fontId="0" fillId="0" borderId="22" xfId="0" applyNumberFormat="1" applyBorder="1"/>
    <xf numFmtId="175" fontId="0" fillId="0" borderId="23" xfId="0" applyNumberFormat="1" applyBorder="1"/>
    <xf numFmtId="176" fontId="0" fillId="0" borderId="0" xfId="0" applyNumberFormat="1"/>
    <xf numFmtId="170" fontId="0" fillId="0" borderId="0" xfId="0" applyNumberFormat="1"/>
    <xf numFmtId="170" fontId="22" fillId="5" borderId="0" xfId="0" applyNumberFormat="1" applyFont="1" applyFill="1"/>
    <xf numFmtId="49" fontId="32" fillId="0" borderId="24" xfId="0" applyNumberFormat="1" applyFont="1" applyBorder="1" applyProtection="1">
      <protection locked="0"/>
    </xf>
    <xf numFmtId="170" fontId="31" fillId="0" borderId="0" xfId="0" applyNumberFormat="1" applyFont="1" applyAlignment="1">
      <alignment horizontal="right"/>
    </xf>
    <xf numFmtId="165" fontId="33" fillId="0" borderId="25" xfId="0" applyNumberFormat="1" applyFont="1" applyBorder="1" applyAlignment="1">
      <alignment horizontal="center" vertical="center" wrapText="1"/>
    </xf>
    <xf numFmtId="0" fontId="34" fillId="0" borderId="0" xfId="0" applyFont="1" applyAlignment="1">
      <alignment horizontal="center" vertical="center"/>
    </xf>
    <xf numFmtId="167" fontId="35" fillId="0" borderId="0" xfId="0" applyNumberFormat="1" applyFont="1" applyAlignment="1">
      <alignment horizontal="center" vertical="center" wrapText="1"/>
    </xf>
    <xf numFmtId="167" fontId="35" fillId="0" borderId="0" xfId="0" applyNumberFormat="1" applyFont="1" applyAlignment="1" applyProtection="1">
      <alignment horizontal="center" vertical="center" wrapText="1"/>
      <protection locked="0"/>
    </xf>
    <xf numFmtId="175" fontId="36" fillId="3" borderId="26" xfId="2" applyNumberFormat="1" applyFont="1" applyFill="1" applyBorder="1" applyProtection="1">
      <protection locked="0"/>
    </xf>
    <xf numFmtId="172" fontId="36" fillId="3" borderId="26" xfId="2" applyNumberFormat="1" applyFont="1" applyFill="1" applyBorder="1" applyProtection="1">
      <protection locked="0"/>
    </xf>
    <xf numFmtId="0" fontId="31" fillId="0" borderId="0" xfId="0" applyFont="1" applyAlignment="1">
      <alignment horizontal="center"/>
    </xf>
    <xf numFmtId="0" fontId="31" fillId="0" borderId="0" xfId="0" applyFont="1" applyProtection="1">
      <protection locked="0"/>
    </xf>
    <xf numFmtId="168" fontId="22" fillId="0" borderId="0" xfId="0" applyNumberFormat="1" applyFont="1"/>
    <xf numFmtId="168" fontId="31" fillId="0" borderId="0" xfId="2" applyNumberFormat="1" applyFont="1" applyProtection="1">
      <protection locked="0"/>
    </xf>
    <xf numFmtId="176" fontId="31" fillId="0" borderId="0" xfId="23" applyNumberFormat="1" applyFont="1" applyAlignment="1">
      <alignment horizontal="center"/>
    </xf>
    <xf numFmtId="167" fontId="31" fillId="0" borderId="0" xfId="0" applyNumberFormat="1" applyFont="1" applyAlignment="1">
      <alignment horizontal="center"/>
    </xf>
    <xf numFmtId="176" fontId="31" fillId="0" borderId="0" xfId="23" applyNumberFormat="1" applyFont="1" applyAlignment="1" applyProtection="1">
      <alignment horizontal="center"/>
      <protection locked="0"/>
    </xf>
    <xf numFmtId="175" fontId="36" fillId="3" borderId="27" xfId="2" applyNumberFormat="1" applyFont="1" applyFill="1" applyBorder="1" applyProtection="1">
      <protection locked="0"/>
    </xf>
    <xf numFmtId="0" fontId="37" fillId="0" borderId="0" xfId="0" applyFont="1" applyAlignment="1" applyProtection="1">
      <alignment horizontal="left"/>
      <protection locked="0"/>
    </xf>
    <xf numFmtId="0" fontId="31" fillId="0" borderId="0" xfId="0" applyFont="1"/>
    <xf numFmtId="170" fontId="36" fillId="0" borderId="0" xfId="2" applyNumberFormat="1" applyFont="1" applyProtection="1">
      <protection locked="0"/>
    </xf>
    <xf numFmtId="170" fontId="31" fillId="0" borderId="0" xfId="2" applyNumberFormat="1" applyFont="1"/>
    <xf numFmtId="165" fontId="31" fillId="0" borderId="0" xfId="0" applyNumberFormat="1" applyFont="1"/>
    <xf numFmtId="178" fontId="0" fillId="0" borderId="0" xfId="0" applyNumberFormat="1"/>
    <xf numFmtId="179" fontId="0" fillId="0" borderId="0" xfId="0" applyNumberFormat="1"/>
    <xf numFmtId="167" fontId="32" fillId="0" borderId="28" xfId="0" applyNumberFormat="1" applyFont="1" applyBorder="1"/>
    <xf numFmtId="165" fontId="32" fillId="0" borderId="5" xfId="0" applyNumberFormat="1" applyFont="1" applyBorder="1" applyAlignment="1">
      <alignment horizontal="center"/>
    </xf>
    <xf numFmtId="165" fontId="32" fillId="0" borderId="29" xfId="0" applyNumberFormat="1" applyFont="1" applyBorder="1" applyAlignment="1">
      <alignment horizontal="center"/>
    </xf>
    <xf numFmtId="165" fontId="32" fillId="0" borderId="28" xfId="0" applyNumberFormat="1" applyFont="1" applyBorder="1"/>
    <xf numFmtId="1" fontId="0" fillId="3" borderId="5" xfId="0" applyNumberFormat="1" applyFill="1" applyBorder="1" applyAlignment="1" applyProtection="1">
      <alignment horizontal="center"/>
      <protection locked="0"/>
    </xf>
    <xf numFmtId="1" fontId="0" fillId="3" borderId="29" xfId="0" applyNumberFormat="1" applyFill="1" applyBorder="1" applyAlignment="1" applyProtection="1">
      <alignment horizontal="center"/>
      <protection locked="0"/>
    </xf>
    <xf numFmtId="165" fontId="32" fillId="0" borderId="30" xfId="0" applyNumberFormat="1" applyFont="1" applyBorder="1"/>
    <xf numFmtId="165" fontId="32" fillId="0" borderId="31" xfId="0" applyNumberFormat="1" applyFont="1" applyBorder="1"/>
    <xf numFmtId="1" fontId="0" fillId="3" borderId="15" xfId="0" applyNumberFormat="1" applyFill="1" applyBorder="1" applyAlignment="1" applyProtection="1">
      <alignment horizontal="center"/>
      <protection locked="0"/>
    </xf>
    <xf numFmtId="1" fontId="0" fillId="3" borderId="32" xfId="0" applyNumberFormat="1" applyFill="1" applyBorder="1" applyAlignment="1" applyProtection="1">
      <alignment horizontal="center"/>
      <protection locked="0"/>
    </xf>
    <xf numFmtId="165" fontId="32" fillId="0" borderId="33" xfId="0" applyNumberFormat="1" applyFont="1" applyBorder="1"/>
    <xf numFmtId="0" fontId="0" fillId="0" borderId="34" xfId="0" applyBorder="1"/>
    <xf numFmtId="165" fontId="38" fillId="0" borderId="34" xfId="38" applyNumberFormat="1" applyFont="1" applyBorder="1"/>
    <xf numFmtId="165" fontId="26" fillId="0" borderId="34" xfId="38" applyNumberFormat="1" applyFont="1" applyBorder="1" applyAlignment="1">
      <alignment vertical="center"/>
    </xf>
    <xf numFmtId="165" fontId="39" fillId="0" borderId="34" xfId="38" applyNumberFormat="1" applyFont="1" applyBorder="1" applyAlignment="1">
      <alignment vertical="center"/>
    </xf>
    <xf numFmtId="165" fontId="26" fillId="0" borderId="34" xfId="38" applyNumberFormat="1" applyFont="1" applyBorder="1" applyAlignment="1">
      <alignment horizontal="center" vertical="center"/>
    </xf>
    <xf numFmtId="165" fontId="26" fillId="4" borderId="35" xfId="38" applyNumberFormat="1" applyFont="1" applyFill="1" applyBorder="1" applyAlignment="1">
      <alignment horizontal="center" vertical="center"/>
    </xf>
    <xf numFmtId="165" fontId="26" fillId="0" borderId="36" xfId="38" applyNumberFormat="1" applyFont="1" applyBorder="1" applyAlignment="1">
      <alignment vertical="center"/>
    </xf>
    <xf numFmtId="165" fontId="26" fillId="0" borderId="0" xfId="38" applyNumberFormat="1" applyFont="1" applyBorder="1" applyAlignment="1" applyProtection="1">
      <alignment horizontal="center" vertical="center"/>
      <protection locked="0"/>
    </xf>
    <xf numFmtId="165" fontId="38" fillId="0" borderId="0" xfId="38" applyNumberFormat="1" applyFont="1" applyBorder="1"/>
    <xf numFmtId="165" fontId="26" fillId="0" borderId="0" xfId="38" applyNumberFormat="1" applyFont="1" applyBorder="1" applyAlignment="1">
      <alignment vertical="center"/>
    </xf>
    <xf numFmtId="165" fontId="40" fillId="0" borderId="0" xfId="38" applyNumberFormat="1" applyFont="1" applyBorder="1" applyAlignment="1">
      <alignment vertical="center"/>
    </xf>
    <xf numFmtId="0" fontId="16" fillId="0" borderId="0" xfId="0" applyFont="1" applyAlignment="1">
      <alignment horizontal="center"/>
    </xf>
    <xf numFmtId="165" fontId="16" fillId="0" borderId="37" xfId="0" applyNumberFormat="1" applyFont="1" applyBorder="1" applyAlignment="1">
      <alignment horizontal="center"/>
    </xf>
    <xf numFmtId="165" fontId="16" fillId="0" borderId="37" xfId="0" applyNumberFormat="1" applyFont="1" applyBorder="1" applyAlignment="1">
      <alignment horizontal="center" wrapText="1"/>
    </xf>
    <xf numFmtId="165" fontId="16" fillId="0" borderId="38" xfId="0" applyNumberFormat="1" applyFont="1" applyBorder="1" applyAlignment="1">
      <alignment horizontal="center"/>
    </xf>
    <xf numFmtId="0" fontId="26" fillId="0" borderId="0" xfId="0" applyFont="1" applyAlignment="1">
      <alignment horizontal="center" vertical="center"/>
    </xf>
    <xf numFmtId="165" fontId="0" fillId="0" borderId="39" xfId="0" applyNumberFormat="1" applyBorder="1" applyAlignment="1">
      <alignment horizontal="left"/>
    </xf>
    <xf numFmtId="1" fontId="16" fillId="4" borderId="5" xfId="0" applyNumberFormat="1" applyFont="1" applyFill="1" applyBorder="1" applyAlignment="1" applyProtection="1">
      <alignment horizontal="center"/>
      <protection locked="0"/>
    </xf>
    <xf numFmtId="1" fontId="36" fillId="4" borderId="5" xfId="0" applyNumberFormat="1" applyFont="1" applyFill="1" applyBorder="1" applyAlignment="1" applyProtection="1">
      <alignment horizontal="center"/>
      <protection locked="0"/>
    </xf>
    <xf numFmtId="1" fontId="36" fillId="5" borderId="40" xfId="0" applyNumberFormat="1" applyFont="1" applyFill="1" applyBorder="1" applyAlignment="1">
      <alignment horizontal="center"/>
    </xf>
    <xf numFmtId="0" fontId="0" fillId="0" borderId="0" xfId="0" applyAlignment="1" applyProtection="1">
      <alignment horizontal="left" vertical="top"/>
      <protection locked="0"/>
    </xf>
    <xf numFmtId="165" fontId="0" fillId="0" borderId="41" xfId="0" applyNumberFormat="1" applyBorder="1" applyAlignment="1">
      <alignment horizontal="left"/>
    </xf>
    <xf numFmtId="1" fontId="41" fillId="4" borderId="42" xfId="0" applyNumberFormat="1" applyFont="1" applyFill="1" applyBorder="1" applyAlignment="1" applyProtection="1">
      <alignment horizontal="center"/>
      <protection locked="0"/>
    </xf>
    <xf numFmtId="1" fontId="36" fillId="4" borderId="42" xfId="0" applyNumberFormat="1" applyFont="1" applyFill="1" applyBorder="1" applyAlignment="1" applyProtection="1">
      <alignment horizontal="center"/>
      <protection locked="0"/>
    </xf>
    <xf numFmtId="1" fontId="36" fillId="5" borderId="43" xfId="0" applyNumberFormat="1" applyFont="1" applyFill="1" applyBorder="1" applyAlignment="1">
      <alignment horizontal="center"/>
    </xf>
    <xf numFmtId="0" fontId="42" fillId="0" borderId="0" xfId="0" applyFont="1"/>
    <xf numFmtId="0" fontId="0" fillId="0" borderId="44" xfId="0" applyBorder="1"/>
    <xf numFmtId="165" fontId="0" fillId="0" borderId="37" xfId="0" applyNumberFormat="1" applyBorder="1" applyAlignment="1">
      <alignment horizontal="center"/>
    </xf>
    <xf numFmtId="165" fontId="0" fillId="0" borderId="38" xfId="0" applyNumberFormat="1" applyBorder="1" applyAlignment="1">
      <alignment horizontal="center"/>
    </xf>
    <xf numFmtId="0" fontId="16" fillId="4" borderId="42" xfId="0" applyFont="1" applyFill="1" applyBorder="1" applyAlignment="1" applyProtection="1">
      <alignment horizontal="center"/>
      <protection locked="0"/>
    </xf>
    <xf numFmtId="0" fontId="0" fillId="0" borderId="43" xfId="0" applyBorder="1" applyAlignment="1">
      <alignment horizontal="center"/>
    </xf>
    <xf numFmtId="167" fontId="0" fillId="0" borderId="0" xfId="0" applyNumberFormat="1" applyAlignment="1">
      <alignment horizontal="left"/>
    </xf>
    <xf numFmtId="0" fontId="16" fillId="0" borderId="0" xfId="0" applyFont="1"/>
    <xf numFmtId="165" fontId="0" fillId="0" borderId="38" xfId="0" applyNumberFormat="1" applyBorder="1" applyAlignment="1">
      <alignment horizontal="center" wrapText="1"/>
    </xf>
    <xf numFmtId="0" fontId="43" fillId="0" borderId="0" xfId="0" applyFont="1" applyAlignment="1">
      <alignment horizontal="center" wrapText="1"/>
    </xf>
    <xf numFmtId="0" fontId="0" fillId="4" borderId="43" xfId="0" applyFill="1" applyBorder="1" applyAlignment="1" applyProtection="1">
      <alignment horizontal="center"/>
      <protection locked="0"/>
    </xf>
    <xf numFmtId="167" fontId="0" fillId="0" borderId="0" xfId="0" applyNumberFormat="1" applyAlignment="1" applyProtection="1">
      <alignment horizontal="center"/>
      <protection locked="0"/>
    </xf>
    <xf numFmtId="165" fontId="28" fillId="0" borderId="37" xfId="0" applyNumberFormat="1" applyFont="1" applyBorder="1" applyAlignment="1">
      <alignment horizontal="center"/>
    </xf>
    <xf numFmtId="165" fontId="28" fillId="0" borderId="38" xfId="0" applyNumberFormat="1" applyFont="1" applyBorder="1" applyAlignment="1">
      <alignment horizontal="center"/>
    </xf>
    <xf numFmtId="1" fontId="0" fillId="4" borderId="5" xfId="0" applyNumberFormat="1" applyFill="1" applyBorder="1" applyAlignment="1" applyProtection="1">
      <alignment horizontal="center"/>
      <protection locked="0"/>
    </xf>
    <xf numFmtId="1" fontId="0" fillId="0" borderId="40" xfId="0" applyNumberFormat="1" applyBorder="1" applyAlignment="1">
      <alignment horizontal="center"/>
    </xf>
    <xf numFmtId="1" fontId="16" fillId="4" borderId="45" xfId="0" applyNumberFormat="1" applyFont="1" applyFill="1" applyBorder="1" applyAlignment="1" applyProtection="1">
      <alignment horizontal="center"/>
      <protection locked="0"/>
    </xf>
    <xf numFmtId="1" fontId="0" fillId="4" borderId="45" xfId="0" applyNumberFormat="1" applyFill="1" applyBorder="1" applyAlignment="1" applyProtection="1">
      <alignment horizontal="center"/>
      <protection locked="0"/>
    </xf>
    <xf numFmtId="165" fontId="41" fillId="0" borderId="46" xfId="0" applyNumberFormat="1" applyFont="1" applyBorder="1" applyAlignment="1">
      <alignment horizontal="left"/>
    </xf>
    <xf numFmtId="0" fontId="0" fillId="0" borderId="47" xfId="0" applyBorder="1"/>
    <xf numFmtId="0" fontId="28" fillId="6" borderId="48" xfId="0" applyFont="1" applyFill="1" applyBorder="1" applyAlignment="1" applyProtection="1">
      <alignment horizontal="center"/>
      <protection locked="0"/>
    </xf>
    <xf numFmtId="0" fontId="28" fillId="6" borderId="49" xfId="0" applyFont="1" applyFill="1" applyBorder="1" applyAlignment="1" applyProtection="1">
      <alignment horizontal="center"/>
      <protection locked="0"/>
    </xf>
    <xf numFmtId="0" fontId="0" fillId="0" borderId="50" xfId="0" applyBorder="1" applyAlignment="1">
      <alignment horizontal="left"/>
    </xf>
    <xf numFmtId="169" fontId="0" fillId="4" borderId="26" xfId="0" applyNumberFormat="1" applyFill="1" applyBorder="1" applyAlignment="1">
      <alignment horizontal="right" wrapText="1"/>
    </xf>
    <xf numFmtId="170" fontId="0" fillId="4" borderId="26" xfId="0" applyNumberFormat="1" applyFill="1" applyBorder="1" applyAlignment="1">
      <alignment horizontal="right" wrapText="1"/>
    </xf>
    <xf numFmtId="170" fontId="0" fillId="4" borderId="5" xfId="0" applyNumberFormat="1" applyFill="1" applyBorder="1" applyAlignment="1" applyProtection="1">
      <alignment horizontal="right" wrapText="1"/>
      <protection locked="0"/>
    </xf>
    <xf numFmtId="0" fontId="0" fillId="0" borderId="51" xfId="0" applyBorder="1" applyAlignment="1">
      <alignment horizontal="left"/>
    </xf>
    <xf numFmtId="169" fontId="0" fillId="0" borderId="26" xfId="0" applyNumberFormat="1" applyBorder="1" applyAlignment="1">
      <alignment horizontal="right" wrapText="1"/>
    </xf>
    <xf numFmtId="166" fontId="36" fillId="0" borderId="26" xfId="4" applyFont="1" applyBorder="1" applyAlignment="1">
      <alignment horizontal="right" wrapText="1"/>
    </xf>
    <xf numFmtId="170" fontId="0" fillId="0" borderId="26" xfId="0" applyNumberFormat="1" applyBorder="1" applyAlignment="1">
      <alignment horizontal="right" wrapText="1"/>
    </xf>
    <xf numFmtId="170" fontId="0" fillId="0" borderId="5" xfId="0" applyNumberFormat="1" applyBorder="1" applyAlignment="1">
      <alignment horizontal="right" wrapText="1"/>
    </xf>
    <xf numFmtId="0" fontId="0" fillId="0" borderId="30" xfId="0" applyBorder="1" applyAlignment="1">
      <alignment horizontal="left" wrapText="1"/>
    </xf>
    <xf numFmtId="169" fontId="0" fillId="0" borderId="26" xfId="2" applyNumberFormat="1" applyFont="1" applyBorder="1" applyAlignment="1">
      <alignment horizontal="right"/>
    </xf>
    <xf numFmtId="0" fontId="0" fillId="0" borderId="0" xfId="0" applyAlignment="1">
      <alignment horizontal="center" wrapText="1"/>
    </xf>
    <xf numFmtId="165" fontId="0" fillId="0" borderId="0" xfId="2" applyFont="1"/>
    <xf numFmtId="165" fontId="0" fillId="0" borderId="0" xfId="0" applyNumberFormat="1"/>
    <xf numFmtId="165" fontId="0" fillId="0" borderId="52" xfId="0" applyNumberFormat="1" applyBorder="1" applyAlignment="1">
      <alignment horizontal="left"/>
    </xf>
    <xf numFmtId="165" fontId="44" fillId="0" borderId="53" xfId="0" applyNumberFormat="1" applyFont="1" applyBorder="1" applyAlignment="1">
      <alignment horizontal="center" wrapText="1"/>
    </xf>
    <xf numFmtId="165" fontId="44" fillId="0" borderId="54" xfId="0" applyNumberFormat="1" applyFont="1" applyBorder="1" applyAlignment="1">
      <alignment horizontal="center" wrapText="1"/>
    </xf>
    <xf numFmtId="165" fontId="0" fillId="4" borderId="5" xfId="0" applyNumberFormat="1" applyFill="1" applyBorder="1" applyProtection="1">
      <protection locked="0"/>
    </xf>
    <xf numFmtId="0" fontId="0" fillId="4" borderId="26" xfId="0" applyFill="1" applyBorder="1" applyAlignment="1">
      <alignment horizontal="center" vertical="center"/>
    </xf>
    <xf numFmtId="0" fontId="0" fillId="0" borderId="5" xfId="0" applyBorder="1" applyAlignment="1">
      <alignment horizontal="center" vertical="center"/>
    </xf>
    <xf numFmtId="180" fontId="0" fillId="4" borderId="26" xfId="0" applyNumberFormat="1" applyFill="1" applyBorder="1" applyAlignment="1">
      <alignment horizontal="center" vertical="center"/>
    </xf>
    <xf numFmtId="1" fontId="0" fillId="0" borderId="5" xfId="0" applyNumberFormat="1" applyBorder="1" applyAlignment="1">
      <alignment horizontal="center" vertical="center"/>
    </xf>
    <xf numFmtId="170" fontId="0" fillId="4" borderId="26" xfId="0" applyNumberFormat="1" applyFill="1" applyBorder="1" applyAlignment="1">
      <alignment horizontal="center" vertical="center"/>
    </xf>
    <xf numFmtId="181" fontId="0" fillId="0" borderId="5" xfId="0" applyNumberFormat="1" applyBorder="1" applyAlignment="1">
      <alignment horizontal="center" vertical="center"/>
    </xf>
    <xf numFmtId="181" fontId="0" fillId="0" borderId="55" xfId="0" applyNumberFormat="1" applyBorder="1" applyAlignment="1">
      <alignment horizontal="center" vertical="center"/>
    </xf>
    <xf numFmtId="49" fontId="0" fillId="4" borderId="45" xfId="0" applyNumberFormat="1" applyFill="1" applyBorder="1" applyAlignment="1" applyProtection="1">
      <alignment horizontal="left"/>
      <protection locked="0"/>
    </xf>
    <xf numFmtId="0" fontId="0" fillId="4" borderId="56" xfId="0" applyFill="1" applyBorder="1" applyAlignment="1">
      <alignment horizontal="center" vertical="center"/>
    </xf>
    <xf numFmtId="170" fontId="0" fillId="4" borderId="56" xfId="0" applyNumberFormat="1" applyFill="1" applyBorder="1" applyAlignment="1">
      <alignment horizontal="center" vertical="center"/>
    </xf>
    <xf numFmtId="49" fontId="0" fillId="4" borderId="57" xfId="0" applyNumberFormat="1" applyFill="1" applyBorder="1" applyAlignment="1" applyProtection="1">
      <alignment horizontal="left"/>
      <protection locked="0"/>
    </xf>
    <xf numFmtId="0" fontId="0" fillId="4" borderId="58" xfId="0" applyFill="1" applyBorder="1" applyAlignment="1">
      <alignment horizontal="center" vertical="center"/>
    </xf>
    <xf numFmtId="170" fontId="0" fillId="4" borderId="58" xfId="0" applyNumberFormat="1" applyFill="1" applyBorder="1" applyAlignment="1">
      <alignment horizontal="center" vertical="center"/>
    </xf>
    <xf numFmtId="49" fontId="0" fillId="4" borderId="59" xfId="0" applyNumberFormat="1" applyFill="1" applyBorder="1" applyAlignment="1">
      <alignment horizontal="left"/>
    </xf>
    <xf numFmtId="0" fontId="0" fillId="4" borderId="60" xfId="0" applyFill="1" applyBorder="1" applyAlignment="1">
      <alignment horizontal="center" vertical="center"/>
    </xf>
    <xf numFmtId="0" fontId="0" fillId="0" borderId="61" xfId="0" applyBorder="1" applyAlignment="1">
      <alignment horizontal="center" vertical="center"/>
    </xf>
    <xf numFmtId="180" fontId="0" fillId="4" borderId="62" xfId="0" applyNumberFormat="1" applyFill="1" applyBorder="1" applyAlignment="1">
      <alignment horizontal="center" vertical="center"/>
    </xf>
    <xf numFmtId="1" fontId="0" fillId="0" borderId="61" xfId="0" applyNumberFormat="1" applyBorder="1" applyAlignment="1">
      <alignment horizontal="center" vertical="center"/>
    </xf>
    <xf numFmtId="170" fontId="0" fillId="4" borderId="62" xfId="0" applyNumberFormat="1" applyFill="1" applyBorder="1" applyAlignment="1">
      <alignment horizontal="center" vertical="center"/>
    </xf>
    <xf numFmtId="181" fontId="0" fillId="0" borderId="61" xfId="0" applyNumberFormat="1" applyBorder="1" applyAlignment="1">
      <alignment horizontal="center" vertical="center"/>
    </xf>
    <xf numFmtId="0" fontId="0" fillId="4" borderId="62" xfId="0" applyFill="1" applyBorder="1" applyAlignment="1">
      <alignment horizontal="center" vertical="center"/>
    </xf>
    <xf numFmtId="181" fontId="0" fillId="0" borderId="63" xfId="0" applyNumberFormat="1" applyBorder="1" applyAlignment="1">
      <alignment horizontal="center" vertical="center"/>
    </xf>
    <xf numFmtId="0" fontId="45" fillId="0" borderId="0" xfId="0" applyFont="1"/>
    <xf numFmtId="165" fontId="46" fillId="0" borderId="64" xfId="38" applyNumberFormat="1" applyFont="1" applyBorder="1"/>
    <xf numFmtId="165" fontId="47" fillId="0" borderId="64" xfId="38" applyNumberFormat="1" applyFont="1" applyBorder="1"/>
    <xf numFmtId="165" fontId="26" fillId="0" borderId="64" xfId="38" applyNumberFormat="1" applyFont="1" applyBorder="1" applyAlignment="1">
      <alignment vertical="center"/>
    </xf>
    <xf numFmtId="165" fontId="48" fillId="0" borderId="64" xfId="38" applyNumberFormat="1" applyFont="1" applyBorder="1" applyAlignment="1">
      <alignment vertical="center"/>
    </xf>
    <xf numFmtId="165" fontId="49" fillId="0" borderId="64" xfId="38" applyNumberFormat="1" applyFont="1" applyBorder="1" applyAlignment="1">
      <alignment vertical="center"/>
    </xf>
    <xf numFmtId="0" fontId="0" fillId="0" borderId="64" xfId="0" applyBorder="1"/>
    <xf numFmtId="165" fontId="47" fillId="0" borderId="64" xfId="38" applyNumberFormat="1" applyFont="1" applyBorder="1" applyAlignment="1">
      <alignment vertical="center"/>
    </xf>
    <xf numFmtId="165" fontId="50" fillId="0" borderId="65" xfId="0" applyNumberFormat="1" applyFont="1" applyBorder="1" applyAlignment="1">
      <alignment horizontal="center" vertical="center"/>
    </xf>
    <xf numFmtId="165" fontId="50" fillId="0" borderId="66" xfId="0" applyNumberFormat="1" applyFont="1" applyBorder="1" applyAlignment="1">
      <alignment horizontal="center" vertical="center" wrapText="1"/>
    </xf>
    <xf numFmtId="0" fontId="1" fillId="0" borderId="67" xfId="0" applyFont="1" applyBorder="1" applyAlignment="1">
      <alignment horizontal="center"/>
    </xf>
    <xf numFmtId="0" fontId="16" fillId="6" borderId="68" xfId="0" applyFont="1" applyFill="1" applyBorder="1" applyAlignment="1" applyProtection="1">
      <alignment horizontal="center"/>
      <protection locked="0"/>
    </xf>
    <xf numFmtId="165" fontId="50" fillId="0" borderId="69" xfId="0" applyNumberFormat="1" applyFont="1" applyBorder="1" applyAlignment="1">
      <alignment horizontal="center" vertical="center"/>
    </xf>
    <xf numFmtId="0" fontId="50" fillId="0" borderId="70" xfId="0" applyFont="1" applyBorder="1" applyAlignment="1">
      <alignment horizontal="center" vertical="center"/>
    </xf>
    <xf numFmtId="165" fontId="50" fillId="0" borderId="71" xfId="0" applyNumberFormat="1" applyFont="1" applyBorder="1" applyAlignment="1">
      <alignment horizontal="center" vertical="center"/>
    </xf>
    <xf numFmtId="165" fontId="50" fillId="0" borderId="72" xfId="0" applyNumberFormat="1" applyFont="1" applyBorder="1" applyAlignment="1">
      <alignment horizontal="center" vertical="center" wrapText="1"/>
    </xf>
    <xf numFmtId="0" fontId="1" fillId="0" borderId="73" xfId="0" applyFont="1" applyBorder="1" applyAlignment="1">
      <alignment horizontal="center"/>
    </xf>
    <xf numFmtId="0" fontId="16" fillId="6" borderId="0" xfId="0" applyFont="1" applyFill="1" applyAlignment="1" applyProtection="1">
      <alignment horizontal="center"/>
      <protection locked="0"/>
    </xf>
    <xf numFmtId="0" fontId="16" fillId="6" borderId="74" xfId="0" applyFont="1" applyFill="1" applyBorder="1" applyAlignment="1" applyProtection="1">
      <alignment horizontal="center"/>
      <protection locked="0"/>
    </xf>
    <xf numFmtId="49" fontId="1" fillId="0" borderId="5" xfId="0" applyNumberFormat="1" applyFont="1" applyBorder="1" applyAlignment="1">
      <alignment horizontal="left"/>
    </xf>
    <xf numFmtId="170" fontId="1" fillId="2" borderId="26" xfId="0" applyNumberFormat="1" applyFont="1" applyFill="1" applyBorder="1" applyAlignment="1">
      <alignment horizontal="center" vertical="center" wrapText="1"/>
    </xf>
    <xf numFmtId="182" fontId="1" fillId="2" borderId="5" xfId="0" applyNumberFormat="1" applyFont="1" applyFill="1" applyBorder="1" applyAlignment="1">
      <alignment horizontal="center" vertical="center" wrapText="1"/>
    </xf>
    <xf numFmtId="181" fontId="1" fillId="2" borderId="26" xfId="0" applyNumberFormat="1" applyFont="1" applyFill="1" applyBorder="1" applyAlignment="1">
      <alignment horizontal="center" vertical="center" wrapText="1"/>
    </xf>
    <xf numFmtId="170" fontId="1" fillId="2" borderId="5" xfId="0" applyNumberFormat="1" applyFont="1" applyFill="1" applyBorder="1" applyAlignment="1">
      <alignment horizontal="center" vertical="center" wrapText="1"/>
    </xf>
    <xf numFmtId="173" fontId="1" fillId="2" borderId="5" xfId="0" applyNumberFormat="1" applyFont="1" applyFill="1" applyBorder="1" applyAlignment="1">
      <alignment horizontal="center" vertical="center" wrapText="1"/>
    </xf>
    <xf numFmtId="170" fontId="1" fillId="2" borderId="5" xfId="0" applyNumberFormat="1" applyFont="1" applyFill="1" applyBorder="1" applyAlignment="1" applyProtection="1">
      <alignment vertical="center"/>
      <protection locked="0"/>
    </xf>
    <xf numFmtId="49" fontId="1" fillId="7" borderId="5" xfId="0" applyNumberFormat="1" applyFont="1" applyFill="1" applyBorder="1" applyAlignment="1">
      <alignment horizontal="left"/>
    </xf>
    <xf numFmtId="170" fontId="1" fillId="8" borderId="5" xfId="0" applyNumberFormat="1" applyFont="1" applyFill="1" applyBorder="1" applyAlignment="1" applyProtection="1">
      <alignment vertical="center"/>
      <protection locked="0"/>
    </xf>
    <xf numFmtId="183" fontId="1" fillId="2" borderId="5" xfId="0" applyNumberFormat="1" applyFont="1" applyFill="1" applyBorder="1" applyAlignment="1">
      <alignment horizontal="center" vertical="center" wrapText="1"/>
    </xf>
    <xf numFmtId="1" fontId="105" fillId="2" borderId="26" xfId="23" applyNumberFormat="1" applyFill="1" applyBorder="1" applyAlignment="1">
      <alignment horizontal="center" vertical="center" wrapText="1"/>
    </xf>
    <xf numFmtId="1" fontId="51" fillId="2" borderId="26" xfId="0" applyNumberFormat="1" applyFont="1" applyFill="1" applyBorder="1" applyAlignment="1">
      <alignment horizontal="center" vertical="center" wrapText="1"/>
    </xf>
    <xf numFmtId="170" fontId="1" fillId="8" borderId="5" xfId="0" applyNumberFormat="1" applyFont="1" applyFill="1" applyBorder="1" applyAlignment="1" applyProtection="1">
      <alignment horizontal="right" vertical="center"/>
      <protection locked="0"/>
    </xf>
    <xf numFmtId="1" fontId="1" fillId="2" borderId="26" xfId="0" applyNumberFormat="1" applyFont="1" applyFill="1" applyBorder="1" applyAlignment="1">
      <alignment horizontal="center" vertical="center" wrapText="1"/>
    </xf>
    <xf numFmtId="184" fontId="51" fillId="2" borderId="26" xfId="0" applyNumberFormat="1" applyFont="1" applyFill="1" applyBorder="1" applyAlignment="1">
      <alignment horizontal="center" vertical="center" wrapText="1"/>
    </xf>
    <xf numFmtId="9" fontId="1" fillId="2" borderId="26" xfId="0" applyNumberFormat="1" applyFont="1" applyFill="1" applyBorder="1" applyAlignment="1">
      <alignment horizontal="center" vertical="center" wrapText="1"/>
    </xf>
    <xf numFmtId="49" fontId="50" fillId="0" borderId="65" xfId="0" applyNumberFormat="1" applyFont="1" applyBorder="1" applyAlignment="1">
      <alignment horizontal="center" vertical="center"/>
    </xf>
    <xf numFmtId="49" fontId="50" fillId="0" borderId="66" xfId="0" applyNumberFormat="1" applyFont="1" applyBorder="1" applyAlignment="1">
      <alignment horizontal="center" vertical="center" wrapText="1"/>
    </xf>
    <xf numFmtId="49" fontId="1" fillId="5" borderId="75" xfId="0" applyNumberFormat="1" applyFont="1" applyFill="1" applyBorder="1"/>
    <xf numFmtId="170" fontId="1" fillId="0" borderId="26" xfId="0" applyNumberFormat="1" applyFont="1" applyBorder="1" applyAlignment="1">
      <alignment vertical="center"/>
    </xf>
    <xf numFmtId="170" fontId="1" fillId="0" borderId="5" xfId="0" applyNumberFormat="1" applyFont="1" applyBorder="1" applyAlignment="1">
      <alignment vertical="center"/>
    </xf>
    <xf numFmtId="49" fontId="1" fillId="5" borderId="2" xfId="0" applyNumberFormat="1" applyFont="1" applyFill="1" applyBorder="1"/>
    <xf numFmtId="49" fontId="1" fillId="7" borderId="5" xfId="0" applyNumberFormat="1" applyFont="1" applyFill="1" applyBorder="1"/>
    <xf numFmtId="170" fontId="1" fillId="9" borderId="26" xfId="0" applyNumberFormat="1" applyFont="1" applyFill="1" applyBorder="1" applyAlignment="1">
      <alignment vertical="center"/>
    </xf>
    <xf numFmtId="170" fontId="1" fillId="7" borderId="5" xfId="0" applyNumberFormat="1" applyFont="1" applyFill="1" applyBorder="1" applyAlignment="1">
      <alignment vertical="center"/>
    </xf>
    <xf numFmtId="49" fontId="1" fillId="5" borderId="76" xfId="0" applyNumberFormat="1" applyFont="1" applyFill="1" applyBorder="1"/>
    <xf numFmtId="170" fontId="1" fillId="0" borderId="77" xfId="0" applyNumberFormat="1" applyFont="1" applyBorder="1" applyAlignment="1">
      <alignment vertical="center"/>
    </xf>
    <xf numFmtId="165" fontId="53" fillId="0" borderId="0" xfId="5" applyFont="1" applyAlignment="1">
      <alignment vertical="center"/>
    </xf>
    <xf numFmtId="0" fontId="36" fillId="0" borderId="0" xfId="0" applyFont="1"/>
    <xf numFmtId="165" fontId="54" fillId="0" borderId="0" xfId="17" applyFont="1" applyAlignment="1">
      <alignment horizontal="right" vertical="center"/>
    </xf>
    <xf numFmtId="0" fontId="22" fillId="0" borderId="0" xfId="0" applyFont="1" applyAlignment="1">
      <alignment horizontal="center"/>
    </xf>
    <xf numFmtId="0" fontId="41" fillId="0" borderId="0" xfId="0" applyFont="1" applyAlignment="1">
      <alignment horizontal="left"/>
    </xf>
    <xf numFmtId="0" fontId="55" fillId="0" borderId="0" xfId="0" applyFont="1"/>
    <xf numFmtId="0" fontId="22" fillId="0" borderId="0" xfId="0" applyFont="1"/>
    <xf numFmtId="165" fontId="56" fillId="0" borderId="0" xfId="17" applyFont="1"/>
    <xf numFmtId="165" fontId="56" fillId="0" borderId="0" xfId="17" applyFont="1" applyAlignment="1">
      <alignment horizontal="center"/>
    </xf>
    <xf numFmtId="165" fontId="56" fillId="0" borderId="0" xfId="17" applyFont="1" applyAlignment="1">
      <alignment horizontal="right"/>
    </xf>
    <xf numFmtId="165" fontId="105" fillId="0" borderId="0" xfId="16"/>
    <xf numFmtId="0" fontId="22" fillId="0" borderId="0" xfId="0" applyFont="1" applyAlignment="1">
      <alignment horizontal="left" indent="1"/>
    </xf>
    <xf numFmtId="0" fontId="57" fillId="0" borderId="0" xfId="0" applyFont="1" applyAlignment="1">
      <alignment horizontal="left" indent="1"/>
    </xf>
    <xf numFmtId="165" fontId="0" fillId="0" borderId="78" xfId="32" applyNumberFormat="1" applyFont="1" applyBorder="1" applyAlignment="1">
      <alignment horizontal="right"/>
    </xf>
    <xf numFmtId="14" fontId="17" fillId="4" borderId="78" xfId="32" applyNumberFormat="1" applyFont="1" applyFill="1" applyBorder="1" applyAlignment="1">
      <alignment horizontal="center" vertical="center"/>
    </xf>
    <xf numFmtId="165" fontId="54" fillId="0" borderId="78" xfId="32" applyNumberFormat="1" applyFont="1" applyBorder="1" applyAlignment="1">
      <alignment horizontal="right"/>
    </xf>
    <xf numFmtId="165" fontId="17" fillId="4" borderId="78" xfId="32" applyNumberFormat="1" applyFont="1" applyFill="1" applyBorder="1" applyAlignment="1">
      <alignment horizontal="center" vertical="center"/>
    </xf>
    <xf numFmtId="167" fontId="17" fillId="4" borderId="78" xfId="32" applyNumberFormat="1" applyFont="1" applyFill="1" applyBorder="1" applyAlignment="1">
      <alignment horizontal="center" vertical="center"/>
    </xf>
    <xf numFmtId="165" fontId="22" fillId="0" borderId="0" xfId="16" applyFont="1"/>
    <xf numFmtId="186" fontId="17" fillId="4" borderId="78" xfId="32" applyNumberFormat="1" applyFont="1" applyFill="1" applyBorder="1" applyAlignment="1">
      <alignment horizontal="center"/>
    </xf>
    <xf numFmtId="170" fontId="17" fillId="4" borderId="78" xfId="32" applyNumberFormat="1" applyFont="1" applyFill="1" applyBorder="1" applyAlignment="1">
      <alignment horizontal="center"/>
    </xf>
    <xf numFmtId="165" fontId="17" fillId="4" borderId="78" xfId="32" applyNumberFormat="1" applyFont="1" applyFill="1" applyBorder="1" applyAlignment="1">
      <alignment horizontal="center"/>
    </xf>
    <xf numFmtId="167" fontId="17" fillId="4" borderId="78" xfId="32" applyNumberFormat="1" applyFont="1" applyFill="1" applyBorder="1" applyAlignment="1">
      <alignment horizontal="center"/>
    </xf>
    <xf numFmtId="0" fontId="59" fillId="0" borderId="0" xfId="0" applyFont="1"/>
    <xf numFmtId="0" fontId="57" fillId="0" borderId="0" xfId="16" applyNumberFormat="1" applyFont="1"/>
    <xf numFmtId="165" fontId="60" fillId="0" borderId="0" xfId="16" applyFont="1"/>
    <xf numFmtId="165" fontId="22" fillId="0" borderId="0" xfId="18" applyFont="1"/>
    <xf numFmtId="165" fontId="60" fillId="0" borderId="0" xfId="18" applyFont="1"/>
    <xf numFmtId="165" fontId="3" fillId="0" borderId="0" xfId="5" applyFont="1" applyAlignment="1">
      <alignment vertical="center"/>
    </xf>
    <xf numFmtId="165" fontId="29" fillId="0" borderId="0" xfId="0" applyNumberFormat="1" applyFont="1" applyAlignment="1">
      <alignment horizontal="right"/>
    </xf>
    <xf numFmtId="0" fontId="29" fillId="0" borderId="0" xfId="0" applyFont="1" applyAlignment="1">
      <alignment horizontal="center"/>
    </xf>
    <xf numFmtId="167" fontId="29" fillId="0" borderId="0" xfId="0" applyNumberFormat="1" applyFont="1" applyAlignment="1">
      <alignment horizontal="center"/>
    </xf>
    <xf numFmtId="168" fontId="29" fillId="0" borderId="0" xfId="2" applyNumberFormat="1" applyFont="1" applyAlignment="1">
      <alignment horizontal="left"/>
    </xf>
    <xf numFmtId="0" fontId="56" fillId="0" borderId="0" xfId="0" applyFont="1" applyAlignment="1">
      <alignment horizontal="center"/>
    </xf>
    <xf numFmtId="167" fontId="29" fillId="0" borderId="0" xfId="0" applyNumberFormat="1" applyFont="1" applyAlignment="1">
      <alignment horizontal="right"/>
    </xf>
    <xf numFmtId="167" fontId="29" fillId="0" borderId="0" xfId="0" applyNumberFormat="1" applyFont="1" applyAlignment="1">
      <alignment horizontal="left"/>
    </xf>
    <xf numFmtId="165" fontId="62" fillId="0" borderId="0" xfId="0" applyNumberFormat="1" applyFont="1"/>
    <xf numFmtId="0" fontId="44" fillId="0" borderId="0" xfId="0" applyFont="1"/>
    <xf numFmtId="0" fontId="63" fillId="2" borderId="0" xfId="0" applyFont="1" applyFill="1" applyAlignment="1" applyProtection="1">
      <alignment horizontal="left" vertical="center"/>
      <protection locked="0"/>
    </xf>
    <xf numFmtId="0" fontId="65" fillId="2" borderId="0" xfId="0" applyFont="1" applyFill="1" applyAlignment="1" applyProtection="1">
      <alignment horizontal="left" vertical="center"/>
      <protection locked="0"/>
    </xf>
    <xf numFmtId="0" fontId="65" fillId="2" borderId="57" xfId="0" applyFont="1" applyFill="1" applyBorder="1" applyAlignment="1" applyProtection="1">
      <alignment horizontal="left" vertical="center"/>
      <protection locked="0"/>
    </xf>
    <xf numFmtId="165" fontId="65" fillId="0" borderId="0" xfId="0" applyNumberFormat="1" applyFont="1"/>
    <xf numFmtId="0" fontId="0" fillId="0" borderId="0" xfId="0" applyAlignment="1">
      <alignment horizontal="left" wrapText="1"/>
    </xf>
    <xf numFmtId="0" fontId="44" fillId="0" borderId="0" xfId="0" applyFont="1" applyAlignment="1" applyProtection="1">
      <alignment horizontal="left"/>
      <protection locked="0"/>
    </xf>
    <xf numFmtId="165" fontId="66" fillId="0" borderId="0" xfId="0" applyNumberFormat="1" applyFont="1" applyAlignment="1">
      <alignment vertical="center" wrapText="1"/>
    </xf>
    <xf numFmtId="165" fontId="66" fillId="0" borderId="47" xfId="0" applyNumberFormat="1" applyFont="1" applyBorder="1" applyAlignment="1">
      <alignment horizontal="center" wrapText="1"/>
    </xf>
    <xf numFmtId="165" fontId="66" fillId="0" borderId="79" xfId="0" applyNumberFormat="1" applyFont="1" applyBorder="1" applyAlignment="1">
      <alignment horizontal="center" wrapText="1"/>
    </xf>
    <xf numFmtId="0" fontId="66" fillId="0" borderId="0" xfId="0" applyFont="1" applyAlignment="1">
      <alignment wrapText="1"/>
    </xf>
    <xf numFmtId="0" fontId="62" fillId="0" borderId="30" xfId="0" applyFont="1" applyBorder="1" applyAlignment="1">
      <alignment horizontal="center"/>
    </xf>
    <xf numFmtId="1" fontId="28" fillId="3" borderId="80" xfId="0" applyNumberFormat="1" applyFont="1" applyFill="1" applyBorder="1" applyAlignment="1">
      <alignment horizontal="center"/>
    </xf>
    <xf numFmtId="0" fontId="28" fillId="3" borderId="80" xfId="0" applyFont="1" applyFill="1" applyBorder="1" applyAlignment="1">
      <alignment horizontal="center"/>
    </xf>
    <xf numFmtId="0" fontId="62" fillId="0" borderId="81" xfId="0" applyFont="1" applyBorder="1" applyAlignment="1">
      <alignment horizontal="center"/>
    </xf>
    <xf numFmtId="165" fontId="3" fillId="0" borderId="0" xfId="15" applyFont="1" applyAlignment="1">
      <alignment vertical="center"/>
    </xf>
    <xf numFmtId="0" fontId="0" fillId="0" borderId="0" xfId="0" applyAlignment="1">
      <alignment horizontal="left"/>
    </xf>
    <xf numFmtId="187" fontId="0" fillId="0" borderId="0" xfId="0" applyNumberFormat="1"/>
    <xf numFmtId="178" fontId="105" fillId="0" borderId="0" xfId="32" applyNumberFormat="1" applyBorder="1" applyAlignment="1" applyProtection="1">
      <alignment horizontal="center"/>
      <protection locked="0"/>
    </xf>
    <xf numFmtId="167" fontId="0" fillId="0" borderId="0" xfId="0" applyNumberFormat="1" applyAlignment="1">
      <alignment horizontal="center"/>
    </xf>
    <xf numFmtId="1" fontId="36" fillId="0" borderId="0" xfId="0" applyNumberFormat="1" applyFont="1" applyAlignment="1">
      <alignment horizontal="center"/>
    </xf>
    <xf numFmtId="1" fontId="41" fillId="5" borderId="0" xfId="0" applyNumberFormat="1" applyFont="1" applyFill="1" applyAlignment="1">
      <alignment horizontal="center"/>
    </xf>
    <xf numFmtId="0" fontId="69" fillId="0" borderId="0" xfId="0" applyFont="1"/>
    <xf numFmtId="0" fontId="29" fillId="0" borderId="0" xfId="0" applyFont="1" applyAlignment="1">
      <alignment wrapText="1"/>
    </xf>
    <xf numFmtId="0" fontId="44" fillId="0" borderId="47" xfId="0" applyFont="1" applyBorder="1" applyAlignment="1">
      <alignment horizontal="center" vertical="center" wrapText="1"/>
    </xf>
    <xf numFmtId="0" fontId="44" fillId="0" borderId="82" xfId="0" applyFont="1" applyBorder="1" applyAlignment="1">
      <alignment horizontal="center" vertical="center" wrapText="1"/>
    </xf>
    <xf numFmtId="0" fontId="44" fillId="0" borderId="83" xfId="0" applyFont="1" applyBorder="1" applyAlignment="1">
      <alignment horizontal="center" vertical="center" wrapText="1"/>
    </xf>
    <xf numFmtId="0" fontId="44" fillId="0" borderId="84" xfId="0" applyFont="1" applyBorder="1" applyAlignment="1">
      <alignment horizontal="center" vertical="center" wrapText="1"/>
    </xf>
    <xf numFmtId="0" fontId="44" fillId="0" borderId="81" xfId="0" applyFont="1" applyBorder="1" applyAlignment="1">
      <alignment horizontal="left" vertical="center"/>
    </xf>
    <xf numFmtId="181" fontId="44" fillId="0" borderId="81" xfId="0" applyNumberFormat="1" applyFont="1" applyBorder="1" applyAlignment="1">
      <alignment horizontal="center" vertical="center"/>
    </xf>
    <xf numFmtId="0" fontId="44" fillId="0" borderId="81" xfId="0" applyFont="1" applyBorder="1" applyAlignment="1">
      <alignment horizontal="center" vertical="center"/>
    </xf>
    <xf numFmtId="181" fontId="22" fillId="10" borderId="85" xfId="0" applyNumberFormat="1" applyFont="1" applyFill="1" applyBorder="1" applyAlignment="1">
      <alignment horizontal="center"/>
    </xf>
    <xf numFmtId="181" fontId="36" fillId="10" borderId="85" xfId="0" applyNumberFormat="1" applyFont="1" applyFill="1" applyBorder="1" applyAlignment="1">
      <alignment horizontal="center"/>
    </xf>
    <xf numFmtId="167" fontId="29" fillId="0" borderId="0" xfId="0" applyNumberFormat="1" applyFont="1"/>
    <xf numFmtId="0" fontId="71" fillId="0" borderId="0" xfId="0" applyFont="1"/>
    <xf numFmtId="165" fontId="16" fillId="0" borderId="0" xfId="0" applyNumberFormat="1" applyFont="1" applyAlignment="1">
      <alignment horizontal="center"/>
    </xf>
    <xf numFmtId="165" fontId="0" fillId="0" borderId="0" xfId="0" applyNumberFormat="1" applyAlignment="1">
      <alignment horizontal="right"/>
    </xf>
    <xf numFmtId="167" fontId="28" fillId="0" borderId="0" xfId="0" applyNumberFormat="1" applyFont="1" applyAlignment="1">
      <alignment horizontal="center"/>
    </xf>
    <xf numFmtId="165" fontId="62" fillId="2" borderId="0" xfId="0" applyNumberFormat="1" applyFont="1" applyFill="1" applyAlignment="1" applyProtection="1">
      <alignment horizontal="left" vertical="top"/>
      <protection locked="0"/>
    </xf>
    <xf numFmtId="0" fontId="44" fillId="0" borderId="5" xfId="0" applyFont="1" applyBorder="1" applyAlignment="1">
      <alignment horizontal="center" vertical="center" wrapText="1"/>
    </xf>
    <xf numFmtId="9" fontId="72" fillId="11" borderId="2" xfId="23" applyFont="1" applyFill="1" applyBorder="1" applyAlignment="1">
      <alignment horizontal="center" vertical="center" wrapText="1"/>
    </xf>
    <xf numFmtId="170" fontId="22" fillId="5" borderId="86" xfId="0" applyNumberFormat="1" applyFont="1" applyFill="1" applyBorder="1" applyAlignment="1">
      <alignment horizontal="right"/>
    </xf>
    <xf numFmtId="170" fontId="22" fillId="5" borderId="87" xfId="2" applyNumberFormat="1" applyFont="1" applyFill="1" applyBorder="1"/>
    <xf numFmtId="9" fontId="22" fillId="5" borderId="87" xfId="23" applyFont="1" applyFill="1" applyBorder="1"/>
    <xf numFmtId="170" fontId="22" fillId="5" borderId="87" xfId="0" applyNumberFormat="1" applyFont="1" applyFill="1" applyBorder="1" applyAlignment="1">
      <alignment horizontal="right"/>
    </xf>
    <xf numFmtId="0" fontId="22" fillId="5" borderId="86" xfId="0" applyFont="1" applyFill="1" applyBorder="1"/>
    <xf numFmtId="9" fontId="22" fillId="5" borderId="87" xfId="23" applyFont="1" applyFill="1" applyBorder="1" applyAlignment="1">
      <alignment horizontal="center"/>
    </xf>
    <xf numFmtId="170" fontId="22" fillId="0" borderId="0" xfId="0" applyNumberFormat="1" applyFont="1"/>
    <xf numFmtId="170" fontId="22" fillId="5" borderId="87" xfId="0" applyNumberFormat="1" applyFont="1" applyFill="1" applyBorder="1"/>
    <xf numFmtId="165" fontId="22" fillId="0" borderId="0" xfId="0" applyNumberFormat="1" applyFont="1"/>
    <xf numFmtId="0" fontId="74" fillId="0" borderId="0" xfId="0" applyFont="1"/>
    <xf numFmtId="0" fontId="74" fillId="0" borderId="0" xfId="0" applyFont="1" applyAlignment="1">
      <alignment horizontal="right"/>
    </xf>
    <xf numFmtId="165" fontId="19" fillId="0" borderId="0" xfId="15" applyFont="1" applyAlignment="1">
      <alignment vertical="center"/>
    </xf>
    <xf numFmtId="0" fontId="75" fillId="0" borderId="0" xfId="0" applyFont="1" applyAlignment="1">
      <alignment horizontal="left" vertical="center"/>
    </xf>
    <xf numFmtId="0" fontId="75" fillId="0" borderId="0" xfId="0" applyFont="1" applyAlignment="1">
      <alignment horizontal="left"/>
    </xf>
    <xf numFmtId="188" fontId="75" fillId="0" borderId="0" xfId="0" applyNumberFormat="1" applyFont="1" applyAlignment="1">
      <alignment horizontal="left"/>
    </xf>
    <xf numFmtId="0" fontId="77" fillId="0" borderId="0" xfId="0" applyFont="1"/>
    <xf numFmtId="0" fontId="80" fillId="0" borderId="0" xfId="0" applyFont="1" applyAlignment="1">
      <alignment horizontal="right"/>
    </xf>
    <xf numFmtId="0" fontId="50" fillId="0" borderId="88" xfId="0" applyFont="1" applyBorder="1" applyAlignment="1">
      <alignment horizontal="center" vertical="center" wrapText="1"/>
    </xf>
    <xf numFmtId="0" fontId="81" fillId="0" borderId="89" xfId="0" applyFont="1" applyBorder="1" applyAlignment="1">
      <alignment horizontal="right"/>
    </xf>
    <xf numFmtId="9" fontId="83" fillId="0" borderId="0" xfId="0" applyNumberFormat="1" applyFont="1"/>
    <xf numFmtId="0" fontId="50" fillId="0" borderId="90" xfId="0" applyFont="1" applyBorder="1" applyAlignment="1">
      <alignment horizontal="center"/>
    </xf>
    <xf numFmtId="0" fontId="81" fillId="0" borderId="91" xfId="0" applyFont="1" applyBorder="1" applyAlignment="1">
      <alignment horizontal="right"/>
    </xf>
    <xf numFmtId="0" fontId="50" fillId="0" borderId="92" xfId="0" applyFont="1" applyBorder="1" applyAlignment="1">
      <alignment horizontal="center"/>
    </xf>
    <xf numFmtId="0" fontId="81" fillId="0" borderId="93" xfId="0" applyFont="1" applyBorder="1" applyAlignment="1">
      <alignment horizontal="right"/>
    </xf>
    <xf numFmtId="0" fontId="84" fillId="0" borderId="0" xfId="0" applyFont="1" applyAlignment="1">
      <alignment horizontal="center"/>
    </xf>
    <xf numFmtId="0" fontId="81" fillId="0" borderId="0" xfId="0" applyFont="1" applyAlignment="1">
      <alignment horizontal="right"/>
    </xf>
    <xf numFmtId="0" fontId="10" fillId="0" borderId="0" xfId="0" applyFont="1" applyAlignment="1">
      <alignment horizontal="center" vertical="center"/>
    </xf>
    <xf numFmtId="9" fontId="83" fillId="0" borderId="0" xfId="0" applyNumberFormat="1" applyFont="1" applyAlignment="1">
      <alignment horizontal="center"/>
    </xf>
    <xf numFmtId="189" fontId="85" fillId="5" borderId="0" xfId="0" applyNumberFormat="1" applyFont="1" applyFill="1" applyAlignment="1">
      <alignment vertical="center"/>
    </xf>
    <xf numFmtId="0" fontId="81" fillId="5" borderId="0" xfId="0" applyFont="1" applyFill="1" applyAlignment="1">
      <alignment horizontal="right"/>
    </xf>
    <xf numFmtId="0" fontId="10" fillId="5" borderId="0" xfId="0" applyFont="1" applyFill="1" applyAlignment="1">
      <alignment horizontal="center" vertical="center"/>
    </xf>
    <xf numFmtId="0" fontId="86" fillId="5" borderId="0" xfId="0" applyFont="1" applyFill="1" applyAlignment="1">
      <alignment horizontal="center" vertical="center"/>
    </xf>
    <xf numFmtId="181" fontId="85" fillId="5" borderId="0" xfId="23" applyNumberFormat="1" applyFont="1" applyFill="1" applyAlignment="1">
      <alignment horizontal="right"/>
    </xf>
    <xf numFmtId="9" fontId="87" fillId="5" borderId="0" xfId="0" applyNumberFormat="1" applyFont="1" applyFill="1"/>
    <xf numFmtId="0" fontId="88" fillId="5" borderId="0" xfId="0" applyFont="1" applyFill="1" applyAlignment="1">
      <alignment horizontal="center" vertical="center"/>
    </xf>
    <xf numFmtId="9" fontId="87" fillId="5" borderId="0" xfId="0" applyNumberFormat="1" applyFont="1" applyFill="1" applyAlignment="1">
      <alignment horizontal="left"/>
    </xf>
    <xf numFmtId="0" fontId="44" fillId="0" borderId="0" xfId="0" applyFont="1" applyAlignment="1">
      <alignment horizontal="center" vertical="center"/>
    </xf>
    <xf numFmtId="0" fontId="85" fillId="5" borderId="0" xfId="0" applyFont="1" applyFill="1" applyAlignment="1">
      <alignment horizontal="left" vertical="center"/>
    </xf>
    <xf numFmtId="170" fontId="89" fillId="0" borderId="0" xfId="0" applyNumberFormat="1" applyFont="1" applyAlignment="1">
      <alignment horizontal="right" vertical="center"/>
    </xf>
    <xf numFmtId="0" fontId="90" fillId="5" borderId="0" xfId="0" applyFont="1" applyFill="1" applyAlignment="1">
      <alignment horizontal="left" vertical="center"/>
    </xf>
    <xf numFmtId="0" fontId="50" fillId="0" borderId="94" xfId="0" applyFont="1" applyBorder="1" applyAlignment="1">
      <alignment horizontal="center"/>
    </xf>
    <xf numFmtId="0" fontId="81" fillId="0" borderId="95" xfId="0" applyFont="1" applyBorder="1" applyAlignment="1">
      <alignment horizontal="right"/>
    </xf>
    <xf numFmtId="9" fontId="87" fillId="0" borderId="0" xfId="0" applyNumberFormat="1" applyFont="1"/>
    <xf numFmtId="0" fontId="50" fillId="0" borderId="96" xfId="0" applyFont="1" applyBorder="1" applyAlignment="1">
      <alignment horizontal="center"/>
    </xf>
    <xf numFmtId="0" fontId="81" fillId="0" borderId="97" xfId="0" applyFont="1" applyBorder="1" applyAlignment="1">
      <alignment horizontal="right"/>
    </xf>
    <xf numFmtId="0" fontId="50" fillId="0" borderId="96" xfId="0" applyFont="1" applyBorder="1" applyAlignment="1">
      <alignment horizontal="center" vertical="center"/>
    </xf>
    <xf numFmtId="0" fontId="50" fillId="0" borderId="98" xfId="0" applyFont="1" applyBorder="1" applyAlignment="1">
      <alignment horizontal="center" vertical="center"/>
    </xf>
    <xf numFmtId="0" fontId="81" fillId="0" borderId="99" xfId="0" applyFont="1" applyBorder="1" applyAlignment="1">
      <alignment horizontal="right"/>
    </xf>
    <xf numFmtId="0" fontId="92" fillId="0" borderId="0" xfId="0" applyFont="1"/>
    <xf numFmtId="0" fontId="93" fillId="0" borderId="0" xfId="0" applyFont="1"/>
    <xf numFmtId="0" fontId="94" fillId="0" borderId="0" xfId="0" applyFont="1" applyAlignment="1">
      <alignment horizontal="center" vertical="center"/>
    </xf>
    <xf numFmtId="0" fontId="95" fillId="0" borderId="0" xfId="0" applyFont="1" applyAlignment="1">
      <alignment horizontal="center" vertical="center"/>
    </xf>
    <xf numFmtId="0" fontId="95" fillId="0" borderId="0" xfId="0" applyFont="1" applyAlignment="1">
      <alignment horizontal="right" vertical="center" indent="1"/>
    </xf>
    <xf numFmtId="0" fontId="96" fillId="0" borderId="0" xfId="0" applyFont="1" applyAlignment="1">
      <alignment horizontal="center"/>
    </xf>
    <xf numFmtId="0" fontId="97" fillId="0" borderId="100" xfId="0" applyFont="1" applyBorder="1" applyAlignment="1">
      <alignment horizontal="center" vertical="center"/>
    </xf>
    <xf numFmtId="0" fontId="44" fillId="0" borderId="101" xfId="0" applyFont="1" applyBorder="1" applyAlignment="1">
      <alignment vertical="center"/>
    </xf>
    <xf numFmtId="0" fontId="97" fillId="0" borderId="102" xfId="0" applyFont="1" applyBorder="1" applyAlignment="1">
      <alignment horizontal="center" vertical="center"/>
    </xf>
    <xf numFmtId="0" fontId="44" fillId="0" borderId="103" xfId="0" applyFont="1" applyBorder="1" applyAlignment="1">
      <alignment vertical="center"/>
    </xf>
    <xf numFmtId="0" fontId="97" fillId="0" borderId="104" xfId="0" applyFont="1" applyBorder="1" applyAlignment="1">
      <alignment horizontal="center" vertical="center"/>
    </xf>
    <xf numFmtId="0" fontId="44" fillId="0" borderId="105" xfId="0" applyFont="1" applyBorder="1" applyAlignment="1">
      <alignment vertical="center"/>
    </xf>
    <xf numFmtId="0" fontId="44" fillId="0" borderId="106" xfId="0" applyFont="1" applyBorder="1" applyAlignment="1">
      <alignment vertical="center"/>
    </xf>
    <xf numFmtId="0" fontId="4" fillId="0" borderId="0" xfId="0" applyFont="1" applyAlignment="1">
      <alignment horizontal="center"/>
    </xf>
    <xf numFmtId="0" fontId="76" fillId="6" borderId="107" xfId="0" applyFont="1" applyFill="1" applyBorder="1" applyAlignment="1">
      <alignment vertical="center"/>
    </xf>
    <xf numFmtId="0" fontId="32" fillId="0" borderId="0" xfId="0" applyFont="1"/>
    <xf numFmtId="0" fontId="98" fillId="0" borderId="0" xfId="22" applyFont="1" applyAlignment="1">
      <alignment horizontal="center" vertical="center" wrapText="1"/>
    </xf>
    <xf numFmtId="0" fontId="98" fillId="12" borderId="108" xfId="22" applyFont="1" applyFill="1" applyBorder="1" applyAlignment="1">
      <alignment horizontal="center" vertical="center" wrapText="1"/>
    </xf>
    <xf numFmtId="0" fontId="100" fillId="0" borderId="0" xfId="0" applyFont="1"/>
    <xf numFmtId="0" fontId="100" fillId="0" borderId="0" xfId="0" applyFont="1" applyAlignment="1">
      <alignment horizontal="center"/>
    </xf>
    <xf numFmtId="0" fontId="101" fillId="0" borderId="0" xfId="0" applyFont="1"/>
    <xf numFmtId="0" fontId="102" fillId="6" borderId="107" xfId="0" applyFont="1" applyFill="1" applyBorder="1" applyAlignment="1">
      <alignment vertical="center"/>
    </xf>
    <xf numFmtId="0" fontId="30" fillId="0" borderId="0" xfId="0" applyFont="1"/>
    <xf numFmtId="0" fontId="103" fillId="6" borderId="5" xfId="0" applyFont="1" applyFill="1" applyBorder="1" applyAlignment="1">
      <alignment horizontal="center"/>
    </xf>
    <xf numFmtId="0" fontId="0" fillId="0" borderId="5" xfId="0" applyBorder="1"/>
    <xf numFmtId="0" fontId="0" fillId="0" borderId="5" xfId="0" applyBorder="1" applyAlignment="1">
      <alignment horizontal="center"/>
    </xf>
    <xf numFmtId="0" fontId="60" fillId="0" borderId="5" xfId="0" applyFont="1" applyBorder="1" applyAlignment="1">
      <alignment horizontal="center"/>
    </xf>
    <xf numFmtId="0" fontId="104" fillId="0" borderId="5" xfId="0" applyFont="1" applyBorder="1" applyAlignment="1">
      <alignment horizontal="left" indent="1"/>
    </xf>
    <xf numFmtId="0" fontId="60" fillId="0" borderId="0" xfId="0" applyFont="1"/>
    <xf numFmtId="0" fontId="60" fillId="0" borderId="5" xfId="0" applyFont="1" applyBorder="1"/>
    <xf numFmtId="165" fontId="60" fillId="0" borderId="5" xfId="18" applyFont="1" applyBorder="1"/>
    <xf numFmtId="10" fontId="105" fillId="2" borderId="26" xfId="23" applyNumberFormat="1" applyFill="1" applyBorder="1" applyAlignment="1">
      <alignment horizontal="center" vertical="center" wrapText="1"/>
    </xf>
    <xf numFmtId="9" fontId="105" fillId="2" borderId="26" xfId="23" applyFill="1" applyBorder="1" applyAlignment="1">
      <alignment horizontal="center"/>
    </xf>
    <xf numFmtId="10" fontId="105" fillId="2" borderId="26" xfId="23" applyNumberFormat="1" applyFill="1" applyBorder="1" applyAlignment="1">
      <alignment horizontal="center" vertical="center"/>
    </xf>
    <xf numFmtId="9" fontId="105" fillId="2" borderId="26" xfId="23" applyFill="1" applyBorder="1" applyAlignment="1">
      <alignment horizontal="center" vertical="center"/>
    </xf>
    <xf numFmtId="190" fontId="0" fillId="0" borderId="0" xfId="0" applyNumberFormat="1"/>
    <xf numFmtId="191" fontId="0" fillId="0" borderId="0" xfId="0" applyNumberFormat="1"/>
    <xf numFmtId="2" fontId="0" fillId="0" borderId="0" xfId="0" applyNumberFormat="1"/>
    <xf numFmtId="179" fontId="31" fillId="0" borderId="0" xfId="0" applyNumberFormat="1" applyFont="1" applyAlignment="1">
      <alignment horizontal="center" vertical="center"/>
    </xf>
    <xf numFmtId="175" fontId="36" fillId="18" borderId="0" xfId="2" applyNumberFormat="1" applyFont="1" applyFill="1" applyBorder="1" applyProtection="1">
      <protection locked="0"/>
    </xf>
    <xf numFmtId="191" fontId="36" fillId="19" borderId="0" xfId="2" applyNumberFormat="1" applyFont="1" applyFill="1" applyBorder="1" applyProtection="1">
      <protection locked="0"/>
    </xf>
    <xf numFmtId="191" fontId="0" fillId="19" borderId="0" xfId="0" applyNumberFormat="1" applyFill="1" applyBorder="1"/>
    <xf numFmtId="179" fontId="0" fillId="19" borderId="0" xfId="0" applyNumberFormat="1" applyFill="1" applyBorder="1"/>
    <xf numFmtId="176" fontId="0" fillId="0" borderId="0" xfId="0" applyNumberFormat="1" applyBorder="1"/>
    <xf numFmtId="177" fontId="31" fillId="0" borderId="0" xfId="2" applyNumberFormat="1" applyFont="1" applyBorder="1"/>
    <xf numFmtId="165" fontId="31" fillId="0" borderId="0" xfId="0" applyNumberFormat="1" applyFont="1" applyBorder="1"/>
    <xf numFmtId="0" fontId="30" fillId="0" borderId="165" xfId="0" applyFont="1" applyBorder="1" applyAlignment="1">
      <alignment vertical="distributed" wrapText="1"/>
    </xf>
    <xf numFmtId="165" fontId="33" fillId="0" borderId="166" xfId="0" applyNumberFormat="1" applyFont="1" applyBorder="1" applyAlignment="1">
      <alignment horizontal="center" vertical="center" wrapText="1"/>
    </xf>
    <xf numFmtId="167" fontId="33" fillId="0" borderId="167" xfId="0" applyNumberFormat="1" applyFont="1" applyBorder="1" applyAlignment="1">
      <alignment horizontal="center" vertical="center" wrapText="1"/>
    </xf>
    <xf numFmtId="165" fontId="31" fillId="0" borderId="168" xfId="0" applyNumberFormat="1" applyFont="1" applyBorder="1"/>
    <xf numFmtId="177" fontId="31" fillId="0" borderId="169" xfId="2" applyNumberFormat="1" applyFont="1" applyBorder="1"/>
    <xf numFmtId="165" fontId="31" fillId="0" borderId="170" xfId="0" applyNumberFormat="1" applyFont="1" applyBorder="1"/>
    <xf numFmtId="165" fontId="31" fillId="5" borderId="171" xfId="0" applyNumberFormat="1" applyFont="1" applyFill="1" applyBorder="1" applyAlignment="1">
      <alignment wrapText="1"/>
    </xf>
    <xf numFmtId="177" fontId="31" fillId="0" borderId="172" xfId="2" applyNumberFormat="1" applyFont="1" applyBorder="1"/>
    <xf numFmtId="165" fontId="24" fillId="0" borderId="173" xfId="38" applyNumberFormat="1" applyFont="1" applyBorder="1"/>
    <xf numFmtId="165" fontId="33" fillId="0" borderId="174" xfId="0" applyNumberFormat="1" applyFont="1" applyBorder="1" applyAlignment="1">
      <alignment horizontal="center" vertical="center" wrapText="1"/>
    </xf>
    <xf numFmtId="0" fontId="32" fillId="0" borderId="175" xfId="0" applyFont="1" applyBorder="1" applyAlignment="1">
      <alignment vertical="distributed" wrapText="1"/>
    </xf>
    <xf numFmtId="0" fontId="32" fillId="0" borderId="176" xfId="0" applyFont="1" applyBorder="1" applyAlignment="1">
      <alignment vertical="distributed" wrapText="1"/>
    </xf>
    <xf numFmtId="172" fontId="36" fillId="3" borderId="177" xfId="2" applyNumberFormat="1" applyFont="1" applyFill="1" applyBorder="1" applyProtection="1">
      <protection locked="0"/>
    </xf>
    <xf numFmtId="177" fontId="31" fillId="0" borderId="178" xfId="2" applyNumberFormat="1" applyFont="1" applyBorder="1"/>
    <xf numFmtId="0" fontId="30" fillId="0" borderId="173" xfId="0" applyFont="1" applyBorder="1" applyAlignment="1">
      <alignment vertical="distributed" wrapText="1"/>
    </xf>
    <xf numFmtId="167" fontId="33" fillId="0" borderId="179" xfId="0" applyNumberFormat="1" applyFont="1" applyBorder="1" applyAlignment="1">
      <alignment horizontal="center" vertical="center" wrapText="1"/>
    </xf>
    <xf numFmtId="167" fontId="0" fillId="0" borderId="5" xfId="32" applyNumberFormat="1" applyFont="1" applyBorder="1" applyAlignment="1" applyProtection="1">
      <alignment horizontal="center"/>
      <protection locked="0"/>
    </xf>
    <xf numFmtId="167" fontId="31" fillId="19" borderId="0" xfId="0" applyNumberFormat="1" applyFont="1" applyFill="1" applyBorder="1" applyAlignment="1">
      <alignment horizontal="center"/>
    </xf>
    <xf numFmtId="193" fontId="0" fillId="0" borderId="0" xfId="0" applyNumberFormat="1"/>
    <xf numFmtId="194" fontId="0" fillId="0" borderId="0" xfId="0" applyNumberFormat="1" applyProtection="1">
      <protection locked="0"/>
    </xf>
    <xf numFmtId="0" fontId="0" fillId="0" borderId="0" xfId="0" applyBorder="1"/>
    <xf numFmtId="0" fontId="0" fillId="0" borderId="0" xfId="0" applyBorder="1" applyAlignment="1">
      <alignment horizontal="center"/>
    </xf>
    <xf numFmtId="3" fontId="108" fillId="0" borderId="0" xfId="0" applyNumberFormat="1" applyFont="1" applyBorder="1"/>
    <xf numFmtId="3" fontId="108" fillId="20" borderId="0" xfId="0" applyNumberFormat="1" applyFont="1" applyFill="1" applyBorder="1"/>
    <xf numFmtId="3" fontId="0" fillId="0" borderId="0" xfId="0" applyNumberFormat="1" applyBorder="1"/>
    <xf numFmtId="192" fontId="0" fillId="0" borderId="0" xfId="0" applyNumberFormat="1" applyBorder="1"/>
    <xf numFmtId="195" fontId="105" fillId="2" borderId="26" xfId="23" applyNumberFormat="1" applyFill="1" applyBorder="1" applyAlignment="1">
      <alignment horizontal="center" vertical="center"/>
    </xf>
    <xf numFmtId="3" fontId="105" fillId="2" borderId="26" xfId="23" applyNumberFormat="1" applyFill="1" applyBorder="1" applyAlignment="1">
      <alignment horizontal="center" vertical="center" wrapText="1"/>
    </xf>
    <xf numFmtId="195" fontId="105" fillId="2" borderId="26" xfId="23" applyNumberFormat="1" applyFill="1" applyBorder="1" applyAlignment="1">
      <alignment horizontal="center" vertical="center" wrapText="1"/>
    </xf>
    <xf numFmtId="195" fontId="105" fillId="0" borderId="5" xfId="23" applyNumberFormat="1" applyBorder="1" applyAlignment="1">
      <alignment horizontal="center" vertical="center"/>
    </xf>
    <xf numFmtId="1" fontId="0" fillId="0" borderId="5" xfId="0" applyNumberFormat="1" applyBorder="1" applyAlignment="1">
      <alignment horizontal="center" vertical="center" wrapText="1"/>
    </xf>
    <xf numFmtId="3" fontId="0" fillId="0" borderId="5" xfId="0" applyNumberFormat="1" applyBorder="1" applyAlignment="1">
      <alignment horizontal="center" vertical="center" wrapText="1"/>
    </xf>
    <xf numFmtId="9" fontId="105" fillId="0" borderId="5" xfId="23" applyBorder="1" applyAlignment="1">
      <alignment horizontal="center" vertical="center"/>
    </xf>
    <xf numFmtId="165" fontId="2" fillId="13" borderId="0" xfId="14" applyFont="1" applyFill="1" applyAlignment="1">
      <alignment horizontal="center" vertical="center"/>
    </xf>
    <xf numFmtId="165" fontId="4" fillId="0" borderId="0" xfId="0" applyNumberFormat="1" applyFont="1" applyAlignment="1">
      <alignment horizontal="center"/>
    </xf>
    <xf numFmtId="165" fontId="8" fillId="0" borderId="5" xfId="0" applyNumberFormat="1" applyFont="1" applyBorder="1" applyAlignment="1">
      <alignment horizontal="justify" vertical="center" wrapText="1"/>
    </xf>
    <xf numFmtId="9" fontId="9" fillId="0" borderId="5" xfId="23" applyFont="1" applyBorder="1" applyAlignment="1">
      <alignment horizontal="justify" vertical="center" wrapText="1"/>
    </xf>
    <xf numFmtId="9" fontId="10" fillId="0" borderId="5" xfId="0" applyNumberFormat="1" applyFont="1" applyBorder="1" applyAlignment="1">
      <alignment horizontal="left" vertical="center" wrapText="1"/>
    </xf>
    <xf numFmtId="165" fontId="2" fillId="14" borderId="0" xfId="13" applyFont="1" applyFill="1" applyAlignment="1">
      <alignment horizontal="center" vertical="center"/>
    </xf>
    <xf numFmtId="0" fontId="6" fillId="0" borderId="0" xfId="0" applyFont="1" applyAlignment="1">
      <alignment horizontal="center"/>
    </xf>
    <xf numFmtId="0" fontId="7" fillId="3" borderId="5" xfId="0" applyFont="1" applyFill="1" applyBorder="1" applyAlignment="1">
      <alignment horizontal="center"/>
    </xf>
    <xf numFmtId="165" fontId="8" fillId="0" borderId="5" xfId="0" applyNumberFormat="1" applyFont="1" applyBorder="1" applyAlignment="1">
      <alignment horizontal="left" vertical="center" wrapText="1"/>
    </xf>
    <xf numFmtId="0" fontId="9" fillId="0" borderId="5" xfId="0" applyFont="1" applyBorder="1" applyAlignment="1">
      <alignment horizontal="justify" vertical="center" wrapText="1"/>
    </xf>
    <xf numFmtId="0" fontId="10" fillId="0" borderId="5" xfId="0" applyFont="1" applyBorder="1" applyAlignment="1">
      <alignment horizontal="left" vertical="center" wrapText="1"/>
    </xf>
    <xf numFmtId="0" fontId="0" fillId="0" borderId="109" xfId="0" applyBorder="1" applyAlignment="1">
      <alignment horizontal="center"/>
    </xf>
    <xf numFmtId="0" fontId="0" fillId="0" borderId="109" xfId="0" applyBorder="1" applyAlignment="1">
      <alignment horizontal="center" wrapText="1"/>
    </xf>
    <xf numFmtId="0" fontId="0" fillId="0" borderId="0" xfId="0" applyAlignment="1">
      <alignment horizontal="center"/>
    </xf>
    <xf numFmtId="0" fontId="0" fillId="0" borderId="0" xfId="0" applyAlignment="1">
      <alignment horizontal="center" wrapText="1"/>
    </xf>
    <xf numFmtId="0" fontId="7" fillId="4" borderId="5" xfId="0" applyFont="1" applyFill="1" applyBorder="1" applyAlignment="1">
      <alignment horizontal="center"/>
    </xf>
    <xf numFmtId="0" fontId="10" fillId="0" borderId="5" xfId="0" applyFont="1" applyBorder="1" applyAlignment="1">
      <alignment horizontal="justify" vertical="center" wrapText="1"/>
    </xf>
    <xf numFmtId="0" fontId="14" fillId="0" borderId="73" xfId="0" applyFont="1" applyBorder="1" applyAlignment="1">
      <alignment horizontal="justify" vertical="center" wrapText="1"/>
    </xf>
    <xf numFmtId="0" fontId="14" fillId="0" borderId="5" xfId="0" applyFont="1" applyBorder="1" applyAlignment="1">
      <alignment horizontal="left" vertical="center" wrapText="1"/>
    </xf>
    <xf numFmtId="0" fontId="14" fillId="0" borderId="5" xfId="0" applyFont="1" applyBorder="1" applyAlignment="1">
      <alignment horizontal="justify" vertical="center" wrapText="1"/>
    </xf>
    <xf numFmtId="0" fontId="10" fillId="0" borderId="45" xfId="0" applyFont="1" applyBorder="1" applyAlignment="1">
      <alignment horizontal="justify" wrapText="1"/>
    </xf>
    <xf numFmtId="0" fontId="9" fillId="0" borderId="73" xfId="0" applyFont="1" applyBorder="1" applyAlignment="1">
      <alignment horizontal="justify" vertical="center" wrapText="1"/>
    </xf>
    <xf numFmtId="0" fontId="9" fillId="0" borderId="5" xfId="0" applyFont="1" applyBorder="1" applyAlignment="1" applyProtection="1">
      <alignment vertical="center" wrapText="1"/>
      <protection locked="0"/>
    </xf>
    <xf numFmtId="0" fontId="10" fillId="0" borderId="5" xfId="0" applyFont="1" applyBorder="1" applyAlignment="1" applyProtection="1">
      <alignment horizontal="justify" vertical="center" wrapText="1"/>
      <protection locked="0"/>
    </xf>
    <xf numFmtId="0" fontId="10" fillId="0" borderId="5" xfId="0" applyFont="1" applyBorder="1" applyAlignment="1" applyProtection="1">
      <alignment horizontal="left" vertical="center" wrapText="1"/>
      <protection locked="0"/>
    </xf>
    <xf numFmtId="0" fontId="16"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0" fontId="9" fillId="5" borderId="5" xfId="0" applyFont="1" applyFill="1" applyBorder="1" applyAlignment="1" applyProtection="1">
      <alignment vertical="center" wrapText="1"/>
      <protection locked="0"/>
    </xf>
    <xf numFmtId="0" fontId="9" fillId="2" borderId="5" xfId="0" applyFont="1" applyFill="1" applyBorder="1" applyAlignment="1">
      <alignment vertical="center" wrapText="1"/>
    </xf>
    <xf numFmtId="0" fontId="17" fillId="0" borderId="5" xfId="0" applyFont="1" applyBorder="1" applyAlignment="1">
      <alignment horizontal="center" vertical="center" wrapText="1"/>
    </xf>
    <xf numFmtId="0" fontId="0" fillId="0" borderId="5" xfId="0" applyBorder="1" applyAlignment="1">
      <alignment horizontal="center" vertical="center" wrapText="1"/>
    </xf>
    <xf numFmtId="0" fontId="18" fillId="5" borderId="5" xfId="0" applyFont="1" applyFill="1" applyBorder="1" applyAlignment="1" applyProtection="1">
      <alignment vertical="center" wrapText="1"/>
      <protection locked="0"/>
    </xf>
    <xf numFmtId="0" fontId="8" fillId="0" borderId="5" xfId="0" applyFont="1" applyBorder="1" applyAlignment="1" applyProtection="1">
      <alignment vertical="center" wrapText="1"/>
      <protection locked="0"/>
    </xf>
    <xf numFmtId="165" fontId="19" fillId="14" borderId="0" xfId="5" applyFont="1" applyFill="1" applyAlignment="1">
      <alignment horizontal="center" vertical="center"/>
    </xf>
    <xf numFmtId="165" fontId="0" fillId="0" borderId="5" xfId="0" applyNumberFormat="1" applyBorder="1" applyAlignment="1" applyProtection="1">
      <alignment horizontal="center"/>
      <protection locked="0"/>
    </xf>
    <xf numFmtId="165" fontId="21" fillId="0" borderId="0" xfId="0" applyNumberFormat="1" applyFont="1" applyAlignment="1">
      <alignment horizontal="right"/>
    </xf>
    <xf numFmtId="49" fontId="0" fillId="0" borderId="26" xfId="0" applyNumberFormat="1" applyBorder="1" applyAlignment="1" applyProtection="1">
      <alignment horizontal="center" wrapText="1"/>
      <protection locked="0"/>
    </xf>
    <xf numFmtId="167" fontId="0" fillId="0" borderId="5" xfId="32" applyNumberFormat="1" applyFont="1" applyBorder="1" applyAlignment="1" applyProtection="1">
      <alignment horizontal="center"/>
      <protection locked="0"/>
    </xf>
    <xf numFmtId="165" fontId="21" fillId="0" borderId="110" xfId="0" applyNumberFormat="1" applyFont="1" applyBorder="1" applyAlignment="1">
      <alignment horizontal="right"/>
    </xf>
    <xf numFmtId="49" fontId="0" fillId="0" borderId="5" xfId="0" applyNumberFormat="1" applyBorder="1" applyAlignment="1" applyProtection="1">
      <alignment horizontal="center"/>
      <protection locked="0"/>
    </xf>
    <xf numFmtId="166" fontId="0" fillId="0" borderId="26" xfId="0" applyNumberFormat="1" applyBorder="1" applyAlignment="1" applyProtection="1">
      <alignment horizontal="center"/>
      <protection locked="0"/>
    </xf>
    <xf numFmtId="165" fontId="22" fillId="15" borderId="5" xfId="32" applyNumberFormat="1" applyFont="1" applyFill="1" applyBorder="1" applyAlignment="1" applyProtection="1">
      <alignment horizontal="center"/>
      <protection locked="0"/>
    </xf>
    <xf numFmtId="165" fontId="21" fillId="0" borderId="6" xfId="0" applyNumberFormat="1" applyFont="1" applyBorder="1" applyAlignment="1">
      <alignment horizontal="right"/>
    </xf>
    <xf numFmtId="49" fontId="0" fillId="0" borderId="26" xfId="0" applyNumberFormat="1" applyBorder="1" applyAlignment="1" applyProtection="1">
      <alignment horizontal="center"/>
      <protection locked="0"/>
    </xf>
    <xf numFmtId="0" fontId="0" fillId="2" borderId="5" xfId="0" applyFill="1" applyBorder="1" applyAlignment="1">
      <alignment horizontal="center"/>
    </xf>
    <xf numFmtId="165" fontId="23" fillId="0" borderId="110" xfId="0" applyNumberFormat="1" applyFont="1" applyBorder="1" applyAlignment="1">
      <alignment horizontal="right"/>
    </xf>
    <xf numFmtId="165" fontId="21" fillId="0" borderId="33" xfId="0" applyNumberFormat="1" applyFont="1" applyBorder="1" applyAlignment="1">
      <alignment horizontal="right"/>
    </xf>
    <xf numFmtId="49" fontId="16" fillId="0" borderId="5" xfId="0" applyNumberFormat="1" applyFont="1" applyBorder="1" applyAlignment="1" applyProtection="1">
      <alignment horizontal="center"/>
      <protection locked="0"/>
    </xf>
    <xf numFmtId="0" fontId="0" fillId="0" borderId="115" xfId="0" applyBorder="1" applyAlignment="1">
      <alignment horizontal="center"/>
    </xf>
    <xf numFmtId="165" fontId="0" fillId="0" borderId="39" xfId="0" applyNumberFormat="1" applyBorder="1" applyAlignment="1">
      <alignment horizontal="left"/>
    </xf>
    <xf numFmtId="165" fontId="0" fillId="0" borderId="41" xfId="0" applyNumberFormat="1" applyBorder="1" applyAlignment="1">
      <alignment horizontal="left"/>
    </xf>
    <xf numFmtId="165" fontId="0" fillId="0" borderId="116" xfId="0" applyNumberFormat="1" applyBorder="1" applyAlignment="1" applyProtection="1">
      <alignment horizontal="left" vertical="center"/>
      <protection locked="0"/>
    </xf>
    <xf numFmtId="165" fontId="27" fillId="0" borderId="111" xfId="0" applyNumberFormat="1" applyFont="1" applyBorder="1" applyAlignment="1">
      <alignment horizontal="right"/>
    </xf>
    <xf numFmtId="165" fontId="16" fillId="0" borderId="112" xfId="0" applyNumberFormat="1" applyFont="1" applyBorder="1" applyAlignment="1">
      <alignment horizontal="center"/>
    </xf>
    <xf numFmtId="0" fontId="0" fillId="16" borderId="113" xfId="0" applyFill="1" applyBorder="1" applyAlignment="1">
      <alignment horizontal="center"/>
    </xf>
    <xf numFmtId="165" fontId="32" fillId="0" borderId="114" xfId="0" applyNumberFormat="1" applyFont="1" applyBorder="1" applyAlignment="1">
      <alignment horizontal="center" wrapText="1"/>
    </xf>
    <xf numFmtId="165" fontId="50" fillId="0" borderId="65" xfId="0" applyNumberFormat="1" applyFont="1" applyBorder="1" applyAlignment="1">
      <alignment horizontal="center" vertical="center"/>
    </xf>
    <xf numFmtId="0" fontId="0" fillId="6" borderId="74" xfId="0" applyFill="1" applyBorder="1" applyAlignment="1">
      <alignment horizontal="center" vertical="center" textRotation="90"/>
    </xf>
    <xf numFmtId="49" fontId="1" fillId="2" borderId="183" xfId="0" applyNumberFormat="1" applyFont="1" applyFill="1" applyBorder="1" applyAlignment="1">
      <alignment horizontal="left" vertical="center" wrapText="1"/>
    </xf>
    <xf numFmtId="49" fontId="1" fillId="2" borderId="109" xfId="0" applyNumberFormat="1" applyFont="1" applyFill="1" applyBorder="1" applyAlignment="1">
      <alignment horizontal="left" vertical="center" wrapText="1"/>
    </xf>
    <xf numFmtId="49" fontId="1" fillId="2" borderId="184" xfId="0" applyNumberFormat="1" applyFont="1" applyFill="1" applyBorder="1" applyAlignment="1">
      <alignment horizontal="left" vertical="center" wrapText="1"/>
    </xf>
    <xf numFmtId="49" fontId="1" fillId="2" borderId="69" xfId="0" applyNumberFormat="1" applyFont="1" applyFill="1" applyBorder="1" applyAlignment="1">
      <alignment horizontal="left" vertical="center" wrapText="1"/>
    </xf>
    <xf numFmtId="49" fontId="1" fillId="2" borderId="70" xfId="0" applyNumberFormat="1" applyFont="1" applyFill="1" applyBorder="1" applyAlignment="1">
      <alignment horizontal="left" vertical="center" wrapText="1"/>
    </xf>
    <xf numFmtId="49" fontId="1" fillId="2" borderId="185" xfId="0" applyNumberFormat="1" applyFont="1" applyFill="1" applyBorder="1" applyAlignment="1">
      <alignment horizontal="left" vertical="center" wrapText="1"/>
    </xf>
    <xf numFmtId="0" fontId="1" fillId="2" borderId="182" xfId="0" applyFont="1" applyFill="1" applyBorder="1" applyAlignment="1">
      <alignment horizontal="center" vertical="center" wrapText="1"/>
    </xf>
    <xf numFmtId="0" fontId="1" fillId="2" borderId="71" xfId="0" applyFont="1" applyFill="1" applyBorder="1" applyAlignment="1">
      <alignment horizontal="center" vertical="center" wrapText="1"/>
    </xf>
    <xf numFmtId="0" fontId="1" fillId="2" borderId="183" xfId="0" applyFont="1" applyFill="1" applyBorder="1" applyAlignment="1">
      <alignment horizontal="left" vertical="center" wrapText="1"/>
    </xf>
    <xf numFmtId="0" fontId="1" fillId="2" borderId="109" xfId="0" applyFont="1" applyFill="1" applyBorder="1" applyAlignment="1">
      <alignment horizontal="left" vertical="center" wrapText="1"/>
    </xf>
    <xf numFmtId="0" fontId="1" fillId="2" borderId="184" xfId="0" applyFont="1" applyFill="1" applyBorder="1" applyAlignment="1">
      <alignment horizontal="left" vertical="center" wrapText="1"/>
    </xf>
    <xf numFmtId="0" fontId="1" fillId="2" borderId="69" xfId="0" applyFont="1" applyFill="1" applyBorder="1" applyAlignment="1">
      <alignment horizontal="left" vertical="center" wrapText="1"/>
    </xf>
    <xf numFmtId="0" fontId="1" fillId="2" borderId="70" xfId="0" applyFont="1" applyFill="1" applyBorder="1" applyAlignment="1">
      <alignment horizontal="left" vertical="center" wrapText="1"/>
    </xf>
    <xf numFmtId="0" fontId="1" fillId="2" borderId="185" xfId="0" applyFont="1" applyFill="1" applyBorder="1" applyAlignment="1">
      <alignment horizontal="left" vertical="center" wrapText="1"/>
    </xf>
    <xf numFmtId="49" fontId="1" fillId="2" borderId="180" xfId="0" applyNumberFormat="1" applyFont="1" applyFill="1" applyBorder="1" applyAlignment="1">
      <alignment horizontal="center" vertical="center" wrapText="1"/>
    </xf>
    <xf numFmtId="49" fontId="1" fillId="2" borderId="181" xfId="0" applyNumberFormat="1" applyFont="1" applyFill="1" applyBorder="1" applyAlignment="1">
      <alignment horizontal="center" vertical="center" wrapText="1"/>
    </xf>
    <xf numFmtId="49" fontId="1" fillId="8" borderId="183" xfId="0" applyNumberFormat="1" applyFont="1" applyFill="1" applyBorder="1" applyAlignment="1">
      <alignment horizontal="left" vertical="center" wrapText="1"/>
    </xf>
    <xf numFmtId="49" fontId="1" fillId="8" borderId="109" xfId="0" applyNumberFormat="1" applyFont="1" applyFill="1" applyBorder="1" applyAlignment="1">
      <alignment horizontal="left" vertical="center" wrapText="1"/>
    </xf>
    <xf numFmtId="49" fontId="1" fillId="8" borderId="184" xfId="0" applyNumberFormat="1" applyFont="1" applyFill="1" applyBorder="1" applyAlignment="1">
      <alignment horizontal="left" vertical="center" wrapText="1"/>
    </xf>
    <xf numFmtId="49" fontId="1" fillId="8" borderId="69" xfId="0" applyNumberFormat="1" applyFont="1" applyFill="1" applyBorder="1" applyAlignment="1">
      <alignment horizontal="left" vertical="center" wrapText="1"/>
    </xf>
    <xf numFmtId="49" fontId="1" fillId="8" borderId="70" xfId="0" applyNumberFormat="1" applyFont="1" applyFill="1" applyBorder="1" applyAlignment="1">
      <alignment horizontal="left" vertical="center" wrapText="1"/>
    </xf>
    <xf numFmtId="49" fontId="1" fillId="8" borderId="185" xfId="0" applyNumberFormat="1" applyFont="1" applyFill="1" applyBorder="1" applyAlignment="1">
      <alignment horizontal="left" vertical="center" wrapText="1"/>
    </xf>
    <xf numFmtId="49" fontId="1" fillId="2" borderId="117" xfId="0" applyNumberFormat="1" applyFont="1" applyFill="1" applyBorder="1" applyAlignment="1">
      <alignment horizontal="left" vertical="center" wrapText="1"/>
    </xf>
    <xf numFmtId="0" fontId="1" fillId="2" borderId="117" xfId="0" applyFont="1" applyFill="1" applyBorder="1" applyAlignment="1">
      <alignment horizontal="center" vertical="center" wrapText="1"/>
    </xf>
    <xf numFmtId="49" fontId="1" fillId="2" borderId="118" xfId="0" applyNumberFormat="1" applyFont="1" applyFill="1" applyBorder="1" applyAlignment="1">
      <alignment horizontal="center" vertical="center" wrapText="1"/>
    </xf>
    <xf numFmtId="49" fontId="1" fillId="8" borderId="117" xfId="0" applyNumberFormat="1" applyFont="1" applyFill="1" applyBorder="1" applyAlignment="1">
      <alignment horizontal="left" vertical="center" wrapText="1"/>
    </xf>
    <xf numFmtId="0" fontId="1" fillId="0" borderId="120" xfId="0" applyFont="1" applyBorder="1" applyAlignment="1">
      <alignment horizontal="left" vertical="center" wrapText="1"/>
    </xf>
    <xf numFmtId="0" fontId="1" fillId="0" borderId="117" xfId="0" applyFont="1" applyBorder="1" applyAlignment="1">
      <alignment horizontal="center" vertical="center" wrapText="1"/>
    </xf>
    <xf numFmtId="0" fontId="1" fillId="0" borderId="118" xfId="0" applyFont="1" applyBorder="1" applyAlignment="1">
      <alignment horizontal="center" vertical="center" wrapText="1"/>
    </xf>
    <xf numFmtId="0" fontId="1" fillId="0" borderId="119" xfId="0" applyFont="1" applyBorder="1" applyAlignment="1">
      <alignment horizontal="left" vertical="center" wrapText="1"/>
    </xf>
    <xf numFmtId="0" fontId="1" fillId="7" borderId="120" xfId="0" applyFont="1" applyFill="1" applyBorder="1" applyAlignment="1">
      <alignment horizontal="left" vertical="center" wrapText="1"/>
    </xf>
    <xf numFmtId="0" fontId="1" fillId="7" borderId="117" xfId="0" applyFont="1" applyFill="1" applyBorder="1" applyAlignment="1">
      <alignment horizontal="center" vertical="center" wrapText="1"/>
    </xf>
    <xf numFmtId="0" fontId="1" fillId="7" borderId="118" xfId="0" applyFont="1" applyFill="1" applyBorder="1" applyAlignment="1">
      <alignment horizontal="center" vertical="center" wrapText="1"/>
    </xf>
    <xf numFmtId="165" fontId="0" fillId="0" borderId="78" xfId="32" applyNumberFormat="1" applyFont="1" applyBorder="1" applyAlignment="1">
      <alignment horizontal="right"/>
    </xf>
    <xf numFmtId="185" fontId="17" fillId="4" borderId="78" xfId="32" applyNumberFormat="1" applyFont="1" applyFill="1" applyBorder="1" applyAlignment="1">
      <alignment horizontal="center" vertical="center"/>
    </xf>
    <xf numFmtId="165" fontId="17" fillId="4" borderId="78" xfId="32" applyNumberFormat="1" applyFont="1" applyFill="1" applyBorder="1" applyAlignment="1">
      <alignment horizontal="center"/>
    </xf>
    <xf numFmtId="165" fontId="2" fillId="14" borderId="0" xfId="5" applyFont="1" applyFill="1" applyAlignment="1">
      <alignment horizontal="center" vertical="center"/>
    </xf>
    <xf numFmtId="165" fontId="4" fillId="4" borderId="0" xfId="17" applyFont="1" applyFill="1" applyAlignment="1">
      <alignment horizontal="center" vertical="center" wrapText="1"/>
    </xf>
    <xf numFmtId="165" fontId="54" fillId="0" borderId="0" xfId="17" applyFont="1" applyAlignment="1">
      <alignment horizontal="right" vertical="center"/>
    </xf>
    <xf numFmtId="165" fontId="17" fillId="4" borderId="0" xfId="17" applyFont="1" applyFill="1" applyAlignment="1">
      <alignment horizontal="center" vertical="center" wrapText="1"/>
    </xf>
    <xf numFmtId="167" fontId="17" fillId="4" borderId="78" xfId="32" applyNumberFormat="1" applyFont="1" applyFill="1" applyBorder="1" applyAlignment="1">
      <alignment horizontal="center"/>
    </xf>
    <xf numFmtId="165" fontId="58" fillId="13" borderId="78" xfId="32" applyNumberFormat="1" applyFont="1" applyFill="1" applyBorder="1" applyAlignment="1">
      <alignment horizontal="center"/>
    </xf>
    <xf numFmtId="165" fontId="29" fillId="0" borderId="0" xfId="0" applyNumberFormat="1" applyFont="1" applyAlignment="1">
      <alignment horizontal="left"/>
    </xf>
    <xf numFmtId="165" fontId="16" fillId="0" borderId="0" xfId="0" applyNumberFormat="1" applyFont="1" applyAlignment="1">
      <alignment horizontal="center"/>
    </xf>
    <xf numFmtId="165" fontId="29" fillId="0" borderId="0" xfId="0" applyNumberFormat="1" applyFont="1" applyAlignment="1">
      <alignment horizontal="right"/>
    </xf>
    <xf numFmtId="0" fontId="61" fillId="0" borderId="0" xfId="0" applyFont="1" applyAlignment="1">
      <alignment horizontal="center"/>
    </xf>
    <xf numFmtId="0" fontId="64" fillId="2" borderId="26" xfId="0" applyFont="1" applyFill="1" applyBorder="1" applyAlignment="1" applyProtection="1">
      <alignment horizontal="left" vertical="center" wrapText="1"/>
      <protection locked="0"/>
    </xf>
    <xf numFmtId="165" fontId="22" fillId="13" borderId="0" xfId="32" applyNumberFormat="1" applyFont="1" applyFill="1" applyBorder="1" applyAlignment="1">
      <alignment horizontal="center"/>
    </xf>
    <xf numFmtId="165" fontId="16" fillId="0" borderId="0" xfId="0" applyNumberFormat="1" applyFont="1" applyAlignment="1">
      <alignment horizontal="center" wrapText="1"/>
    </xf>
    <xf numFmtId="0" fontId="67" fillId="0" borderId="122" xfId="0" applyFont="1" applyBorder="1" applyAlignment="1">
      <alignment horizontal="left" wrapText="1"/>
    </xf>
    <xf numFmtId="0" fontId="67" fillId="0" borderId="123" xfId="0" applyFont="1" applyBorder="1" applyAlignment="1">
      <alignment horizontal="left" wrapText="1"/>
    </xf>
    <xf numFmtId="165" fontId="19" fillId="14" borderId="0" xfId="15" applyFont="1" applyFill="1" applyAlignment="1">
      <alignment horizontal="center" vertical="center"/>
    </xf>
    <xf numFmtId="0" fontId="44" fillId="2" borderId="26" xfId="0" applyFont="1" applyFill="1" applyBorder="1" applyAlignment="1" applyProtection="1">
      <alignment horizontal="left" vertical="center" wrapText="1"/>
      <protection locked="0"/>
    </xf>
    <xf numFmtId="0" fontId="44" fillId="2" borderId="5" xfId="0" applyFont="1" applyFill="1" applyBorder="1" applyAlignment="1" applyProtection="1">
      <alignment horizontal="left" vertical="center" wrapText="1"/>
      <protection locked="0"/>
    </xf>
    <xf numFmtId="0" fontId="16" fillId="0" borderId="0" xfId="0" applyFont="1" applyAlignment="1">
      <alignment horizontal="center"/>
    </xf>
    <xf numFmtId="0" fontId="44" fillId="0" borderId="123" xfId="0" applyFont="1" applyBorder="1" applyAlignment="1">
      <alignment horizontal="center" vertical="center"/>
    </xf>
    <xf numFmtId="0" fontId="70" fillId="0" borderId="0" xfId="0" applyFont="1" applyAlignment="1">
      <alignment horizontal="left" wrapText="1"/>
    </xf>
    <xf numFmtId="0" fontId="44" fillId="2" borderId="5" xfId="0" applyFont="1" applyFill="1" applyBorder="1" applyAlignment="1" applyProtection="1">
      <alignment horizontal="left" wrapText="1"/>
      <protection locked="0"/>
    </xf>
    <xf numFmtId="0" fontId="68" fillId="2" borderId="5" xfId="0" applyFont="1" applyFill="1" applyBorder="1" applyAlignment="1" applyProtection="1">
      <alignment horizontal="left" vertical="center" wrapText="1"/>
      <protection locked="0"/>
    </xf>
    <xf numFmtId="165" fontId="22" fillId="13" borderId="0" xfId="33" applyNumberFormat="1" applyFont="1" applyFill="1" applyBorder="1" applyAlignment="1">
      <alignment horizontal="center"/>
    </xf>
    <xf numFmtId="165" fontId="61" fillId="0" borderId="0" xfId="0" applyNumberFormat="1" applyFont="1" applyAlignment="1">
      <alignment horizontal="center"/>
    </xf>
    <xf numFmtId="0" fontId="44" fillId="0" borderId="109" xfId="0" applyFont="1" applyBorder="1" applyAlignment="1">
      <alignment horizontal="left" vertical="center" wrapText="1"/>
    </xf>
    <xf numFmtId="0" fontId="106" fillId="2" borderId="5" xfId="0" applyFont="1" applyFill="1" applyBorder="1" applyAlignment="1" applyProtection="1">
      <alignment horizontal="left" vertical="center" wrapText="1"/>
      <protection locked="0"/>
    </xf>
    <xf numFmtId="0" fontId="107" fillId="2" borderId="5" xfId="0" applyFont="1" applyFill="1" applyBorder="1" applyAlignment="1" applyProtection="1">
      <alignment horizontal="left" vertical="center" wrapText="1"/>
      <protection locked="0"/>
    </xf>
    <xf numFmtId="0" fontId="44" fillId="0" borderId="57" xfId="0" applyFont="1" applyBorder="1" applyAlignment="1">
      <alignment horizontal="center" vertical="center"/>
    </xf>
    <xf numFmtId="49" fontId="36" fillId="0" borderId="5" xfId="0" applyNumberFormat="1" applyFont="1" applyBorder="1" applyAlignment="1">
      <alignment vertical="center" wrapText="1"/>
    </xf>
    <xf numFmtId="184" fontId="29" fillId="0" borderId="2" xfId="23" applyNumberFormat="1" applyFont="1" applyBorder="1" applyAlignment="1">
      <alignment horizontal="center" vertical="center" wrapText="1"/>
    </xf>
    <xf numFmtId="9" fontId="29" fillId="2" borderId="124" xfId="23" applyFont="1" applyFill="1" applyBorder="1" applyAlignment="1" applyProtection="1">
      <alignment horizontal="left" vertical="center" wrapText="1"/>
      <protection locked="0"/>
    </xf>
    <xf numFmtId="0" fontId="4" fillId="0" borderId="70" xfId="0" applyFont="1" applyBorder="1" applyAlignment="1">
      <alignment horizontal="center"/>
    </xf>
    <xf numFmtId="0" fontId="44" fillId="0" borderId="5" xfId="0" applyFont="1" applyBorder="1" applyAlignment="1">
      <alignment horizontal="center" vertical="center" wrapText="1"/>
    </xf>
    <xf numFmtId="9" fontId="62" fillId="16" borderId="5" xfId="23" applyFont="1" applyFill="1" applyBorder="1" applyAlignment="1">
      <alignment horizontal="center" vertical="center" wrapText="1"/>
    </xf>
    <xf numFmtId="9" fontId="62" fillId="17" borderId="5" xfId="23" applyFont="1" applyFill="1" applyBorder="1" applyAlignment="1">
      <alignment horizontal="center" vertical="center" wrapText="1"/>
    </xf>
    <xf numFmtId="0" fontId="0" fillId="0" borderId="5" xfId="0" applyBorder="1" applyAlignment="1">
      <alignment vertical="center" wrapText="1"/>
    </xf>
    <xf numFmtId="9" fontId="29" fillId="0" borderId="2" xfId="23" applyFont="1" applyBorder="1" applyAlignment="1">
      <alignment horizontal="center" vertical="center" wrapText="1"/>
    </xf>
    <xf numFmtId="170" fontId="61" fillId="0" borderId="0" xfId="0" applyNumberFormat="1" applyFont="1" applyAlignment="1">
      <alignment horizontal="center"/>
    </xf>
    <xf numFmtId="170" fontId="76" fillId="6" borderId="107" xfId="0" applyNumberFormat="1" applyFont="1" applyFill="1" applyBorder="1" applyAlignment="1">
      <alignment horizontal="center" vertical="center"/>
    </xf>
    <xf numFmtId="170" fontId="78" fillId="0" borderId="0" xfId="0" applyNumberFormat="1" applyFont="1" applyAlignment="1">
      <alignment horizontal="center"/>
    </xf>
    <xf numFmtId="170" fontId="79" fillId="3" borderId="8" xfId="0" applyNumberFormat="1" applyFont="1" applyFill="1" applyBorder="1" applyAlignment="1">
      <alignment horizontal="center" vertical="center"/>
    </xf>
    <xf numFmtId="0" fontId="82" fillId="0" borderId="125" xfId="0" applyFont="1" applyBorder="1" applyAlignment="1">
      <alignment horizontal="left" vertical="top" wrapText="1"/>
    </xf>
    <xf numFmtId="49" fontId="1" fillId="3" borderId="127" xfId="0" applyNumberFormat="1" applyFont="1" applyFill="1" applyBorder="1" applyAlignment="1" applyProtection="1">
      <alignment horizontal="center" vertical="center"/>
      <protection locked="0"/>
    </xf>
    <xf numFmtId="0" fontId="82" fillId="0" borderId="128" xfId="0" applyFont="1" applyBorder="1" applyAlignment="1">
      <alignment horizontal="left" vertical="top" wrapText="1"/>
    </xf>
    <xf numFmtId="49" fontId="1" fillId="3" borderId="129" xfId="0" applyNumberFormat="1" applyFont="1" applyFill="1" applyBorder="1" applyAlignment="1" applyProtection="1">
      <alignment horizontal="center" vertical="center"/>
      <protection locked="0"/>
    </xf>
    <xf numFmtId="49" fontId="1" fillId="3" borderId="126" xfId="0" applyNumberFormat="1" applyFont="1" applyFill="1" applyBorder="1" applyAlignment="1" applyProtection="1">
      <alignment horizontal="center" vertical="center"/>
      <protection locked="0"/>
    </xf>
    <xf numFmtId="49" fontId="1" fillId="3" borderId="127" xfId="0" applyNumberFormat="1" applyFont="1" applyFill="1" applyBorder="1" applyAlignment="1" applyProtection="1">
      <alignment horizontal="center" vertical="center" wrapText="1"/>
      <protection locked="0"/>
    </xf>
    <xf numFmtId="0" fontId="82" fillId="0" borderId="133" xfId="0" applyFont="1" applyBorder="1" applyAlignment="1">
      <alignment horizontal="left" vertical="top" wrapText="1"/>
    </xf>
    <xf numFmtId="0" fontId="1" fillId="4" borderId="134" xfId="0" applyFont="1" applyFill="1" applyBorder="1" applyAlignment="1" applyProtection="1">
      <alignment horizontal="center" vertical="top" wrapText="1"/>
      <protection locked="0"/>
    </xf>
    <xf numFmtId="0" fontId="82" fillId="0" borderId="135" xfId="0" applyFont="1" applyBorder="1" applyAlignment="1">
      <alignment horizontal="left" vertical="top" wrapText="1"/>
    </xf>
    <xf numFmtId="0" fontId="1" fillId="4" borderId="136" xfId="0" applyFont="1" applyFill="1" applyBorder="1" applyAlignment="1" applyProtection="1">
      <alignment horizontal="center" vertical="top" wrapText="1"/>
      <protection locked="0"/>
    </xf>
    <xf numFmtId="170" fontId="78" fillId="0" borderId="130" xfId="0" applyNumberFormat="1" applyFont="1" applyBorder="1" applyAlignment="1">
      <alignment horizontal="center"/>
    </xf>
    <xf numFmtId="170" fontId="91" fillId="4" borderId="131" xfId="0" applyNumberFormat="1" applyFont="1" applyFill="1" applyBorder="1" applyAlignment="1">
      <alignment horizontal="center" vertical="center"/>
    </xf>
    <xf numFmtId="170" fontId="91" fillId="4" borderId="132" xfId="0" applyNumberFormat="1" applyFont="1" applyFill="1" applyBorder="1" applyAlignment="1">
      <alignment horizontal="center" vertical="center"/>
    </xf>
    <xf numFmtId="0" fontId="82" fillId="0" borderId="137" xfId="0" applyFont="1" applyBorder="1" applyAlignment="1">
      <alignment horizontal="left" vertical="top" wrapText="1"/>
    </xf>
    <xf numFmtId="0" fontId="1" fillId="4" borderId="138" xfId="0" applyFont="1" applyFill="1" applyBorder="1" applyAlignment="1" applyProtection="1">
      <alignment horizontal="center" vertical="top" wrapText="1"/>
      <protection locked="0"/>
    </xf>
    <xf numFmtId="0" fontId="82" fillId="0" borderId="140" xfId="0" applyFont="1" applyBorder="1" applyAlignment="1">
      <alignment horizontal="left" vertical="center" wrapText="1"/>
    </xf>
    <xf numFmtId="0" fontId="1" fillId="2" borderId="141" xfId="0" applyFont="1" applyFill="1" applyBorder="1" applyAlignment="1" applyProtection="1">
      <alignment horizontal="center" vertical="top" wrapText="1"/>
      <protection locked="0"/>
    </xf>
    <xf numFmtId="0" fontId="1" fillId="0" borderId="142" xfId="23" applyNumberFormat="1" applyFont="1" applyBorder="1" applyAlignment="1">
      <alignment horizontal="left" vertical="center" wrapText="1"/>
    </xf>
    <xf numFmtId="0" fontId="1" fillId="2" borderId="143" xfId="0" applyFont="1" applyFill="1" applyBorder="1" applyAlignment="1" applyProtection="1">
      <alignment horizontal="center" vertical="top" wrapText="1"/>
      <protection locked="0"/>
    </xf>
    <xf numFmtId="170" fontId="78" fillId="0" borderId="139" xfId="0" applyNumberFormat="1" applyFont="1" applyBorder="1" applyAlignment="1">
      <alignment horizontal="center"/>
    </xf>
    <xf numFmtId="170" fontId="79" fillId="2" borderId="120" xfId="0" applyNumberFormat="1" applyFont="1" applyFill="1" applyBorder="1" applyAlignment="1">
      <alignment horizontal="center" vertical="center"/>
    </xf>
    <xf numFmtId="9" fontId="1" fillId="0" borderId="142" xfId="23" applyFont="1" applyBorder="1" applyAlignment="1">
      <alignment horizontal="left" vertical="center" wrapText="1"/>
    </xf>
    <xf numFmtId="0" fontId="1" fillId="2" borderId="144" xfId="0" applyFont="1" applyFill="1" applyBorder="1" applyAlignment="1" applyProtection="1">
      <alignment horizontal="center" vertical="top" wrapText="1"/>
      <protection locked="0"/>
    </xf>
    <xf numFmtId="165" fontId="22" fillId="13" borderId="0" xfId="34" applyNumberFormat="1" applyFont="1" applyFill="1" applyBorder="1" applyAlignment="1" applyProtection="1">
      <alignment horizontal="center"/>
      <protection locked="0"/>
    </xf>
    <xf numFmtId="0" fontId="0" fillId="2" borderId="5" xfId="0" applyFill="1" applyBorder="1" applyAlignment="1" applyProtection="1">
      <alignment horizontal="center"/>
      <protection locked="0"/>
    </xf>
    <xf numFmtId="0" fontId="98" fillId="12" borderId="145" xfId="22" applyFont="1" applyFill="1" applyBorder="1" applyAlignment="1">
      <alignment horizontal="center" vertical="center" wrapText="1"/>
    </xf>
    <xf numFmtId="0" fontId="98" fillId="12" borderId="146" xfId="22" applyFont="1" applyFill="1" applyBorder="1" applyAlignment="1">
      <alignment horizontal="center" vertical="center" wrapText="1"/>
    </xf>
    <xf numFmtId="0" fontId="98" fillId="12" borderId="147" xfId="22" applyFont="1" applyFill="1" applyBorder="1" applyAlignment="1">
      <alignment horizontal="center" vertical="center" wrapText="1"/>
    </xf>
    <xf numFmtId="0" fontId="32" fillId="0" borderId="151" xfId="0" applyFont="1" applyBorder="1" applyAlignment="1" applyProtection="1">
      <alignment horizontal="left" wrapText="1"/>
      <protection locked="0"/>
    </xf>
    <xf numFmtId="0" fontId="32" fillId="0" borderId="152" xfId="0" applyFont="1" applyBorder="1" applyAlignment="1" applyProtection="1">
      <alignment horizontal="left" vertical="center" wrapText="1"/>
      <protection locked="0"/>
    </xf>
    <xf numFmtId="0" fontId="32" fillId="0" borderId="153" xfId="0" applyFont="1" applyBorder="1" applyAlignment="1" applyProtection="1">
      <alignment horizontal="left" wrapText="1"/>
      <protection locked="0"/>
    </xf>
    <xf numFmtId="0" fontId="32" fillId="0" borderId="154" xfId="0" applyFont="1" applyBorder="1" applyAlignment="1" applyProtection="1">
      <alignment horizontal="left" wrapText="1"/>
      <protection locked="0"/>
    </xf>
    <xf numFmtId="0" fontId="32" fillId="0" borderId="155" xfId="0" applyFont="1" applyBorder="1" applyAlignment="1" applyProtection="1">
      <alignment horizontal="left"/>
      <protection locked="0"/>
    </xf>
    <xf numFmtId="0" fontId="99" fillId="12" borderId="5" xfId="0" applyFont="1" applyFill="1" applyBorder="1" applyAlignment="1">
      <alignment horizontal="center" vertical="center" textRotation="90"/>
    </xf>
    <xf numFmtId="0" fontId="31" fillId="0" borderId="148" xfId="0" applyFont="1" applyBorder="1" applyAlignment="1">
      <alignment horizontal="left" wrapText="1"/>
    </xf>
    <xf numFmtId="0" fontId="32" fillId="0" borderId="149" xfId="0" applyFont="1" applyBorder="1" applyAlignment="1" applyProtection="1">
      <alignment horizontal="left" wrapText="1"/>
      <protection locked="0"/>
    </xf>
    <xf numFmtId="0" fontId="32" fillId="0" borderId="150" xfId="0" applyFont="1" applyBorder="1" applyAlignment="1" applyProtection="1">
      <alignment horizontal="left" wrapText="1"/>
      <protection locked="0"/>
    </xf>
    <xf numFmtId="0" fontId="32" fillId="0" borderId="153" xfId="0" applyFont="1" applyBorder="1" applyAlignment="1" applyProtection="1">
      <alignment horizontal="left" vertical="top" wrapText="1"/>
      <protection locked="0"/>
    </xf>
    <xf numFmtId="0" fontId="32" fillId="0" borderId="154" xfId="0" applyFont="1" applyBorder="1" applyAlignment="1" applyProtection="1">
      <alignment horizontal="left"/>
      <protection locked="0"/>
    </xf>
    <xf numFmtId="0" fontId="32" fillId="0" borderId="153" xfId="0" applyFont="1" applyBorder="1" applyAlignment="1" applyProtection="1">
      <alignment horizontal="left"/>
      <protection locked="0"/>
    </xf>
    <xf numFmtId="0" fontId="32" fillId="0" borderId="156" xfId="0" applyFont="1" applyBorder="1" applyAlignment="1" applyProtection="1">
      <alignment horizontal="left" vertical="center" wrapText="1"/>
      <protection locked="0"/>
    </xf>
    <xf numFmtId="0" fontId="32" fillId="0" borderId="157" xfId="0" applyFont="1" applyBorder="1" applyAlignment="1" applyProtection="1">
      <alignment horizontal="left"/>
      <protection locked="0"/>
    </xf>
    <xf numFmtId="0" fontId="32" fillId="0" borderId="158" xfId="0" applyFont="1" applyBorder="1" applyAlignment="1" applyProtection="1">
      <alignment horizontal="left"/>
      <protection locked="0"/>
    </xf>
    <xf numFmtId="0" fontId="32" fillId="0" borderId="159" xfId="0" applyFont="1" applyBorder="1" applyAlignment="1" applyProtection="1">
      <alignment horizontal="left"/>
      <protection locked="0"/>
    </xf>
    <xf numFmtId="0" fontId="32" fillId="0" borderId="160" xfId="0" applyFont="1" applyBorder="1" applyAlignment="1" applyProtection="1">
      <alignment horizontal="left" vertical="top" wrapText="1"/>
      <protection locked="0"/>
    </xf>
    <xf numFmtId="0" fontId="32" fillId="0" borderId="161" xfId="0" applyFont="1" applyBorder="1" applyAlignment="1" applyProtection="1">
      <alignment horizontal="left"/>
      <protection locked="0"/>
    </xf>
    <xf numFmtId="0" fontId="32" fillId="0" borderId="103" xfId="0" applyFont="1" applyBorder="1" applyAlignment="1" applyProtection="1">
      <alignment horizontal="left"/>
      <protection locked="0"/>
    </xf>
    <xf numFmtId="0" fontId="32" fillId="0" borderId="162" xfId="0" applyFont="1" applyBorder="1" applyAlignment="1" applyProtection="1">
      <alignment horizontal="left"/>
      <protection locked="0"/>
    </xf>
    <xf numFmtId="0" fontId="32" fillId="0" borderId="163" xfId="0" applyFont="1" applyBorder="1" applyAlignment="1" applyProtection="1">
      <alignment horizontal="left"/>
      <protection locked="0"/>
    </xf>
    <xf numFmtId="0" fontId="32" fillId="0" borderId="164" xfId="0" applyFont="1" applyBorder="1" applyAlignment="1" applyProtection="1">
      <alignment horizontal="left"/>
      <protection locked="0"/>
    </xf>
    <xf numFmtId="0" fontId="4" fillId="0" borderId="0" xfId="0" applyFont="1" applyAlignment="1">
      <alignment horizontal="center"/>
    </xf>
    <xf numFmtId="0" fontId="64" fillId="2" borderId="186" xfId="0" applyFont="1" applyFill="1" applyBorder="1" applyAlignment="1" applyProtection="1">
      <alignment horizontal="center" vertical="center" wrapText="1"/>
      <protection locked="0"/>
    </xf>
    <xf numFmtId="0" fontId="64" fillId="2" borderId="0" xfId="0" applyFont="1" applyFill="1" applyBorder="1" applyAlignment="1" applyProtection="1">
      <alignment horizontal="center" vertical="center" wrapText="1"/>
      <protection locked="0"/>
    </xf>
    <xf numFmtId="0" fontId="0" fillId="0" borderId="187" xfId="0" applyBorder="1" applyAlignment="1">
      <alignment horizontal="center"/>
    </xf>
    <xf numFmtId="0" fontId="0" fillId="0" borderId="84" xfId="0" applyBorder="1" applyAlignment="1">
      <alignment horizontal="center"/>
    </xf>
    <xf numFmtId="165" fontId="66" fillId="0" borderId="188" xfId="0" applyNumberFormat="1" applyFont="1" applyBorder="1" applyAlignment="1">
      <alignment horizontal="center" vertical="center" wrapText="1"/>
    </xf>
    <xf numFmtId="165" fontId="66" fillId="0" borderId="189" xfId="0" applyNumberFormat="1" applyFont="1" applyBorder="1" applyAlignment="1">
      <alignment horizontal="center" vertical="center" wrapText="1"/>
    </xf>
    <xf numFmtId="165" fontId="66" fillId="0" borderId="190" xfId="0" applyNumberFormat="1" applyFont="1" applyBorder="1" applyAlignment="1">
      <alignment horizontal="center" vertical="center" wrapText="1"/>
    </xf>
    <xf numFmtId="0" fontId="64" fillId="2" borderId="6" xfId="0" applyFont="1" applyFill="1" applyBorder="1" applyAlignment="1" applyProtection="1">
      <alignment horizontal="left" vertical="center" wrapText="1"/>
      <protection locked="0"/>
    </xf>
    <xf numFmtId="0" fontId="64" fillId="2" borderId="121" xfId="0" applyFont="1" applyFill="1" applyBorder="1" applyAlignment="1" applyProtection="1">
      <alignment horizontal="left" vertical="center" wrapText="1"/>
      <protection locked="0"/>
    </xf>
  </cellXfs>
  <cellStyles count="40">
    <cellStyle name="Euro" xfId="1" xr:uid="{00000000-0005-0000-0000-000000000000}"/>
    <cellStyle name="Millares" xfId="2" builtinId="3"/>
    <cellStyle name="Millares 2" xfId="3" xr:uid="{00000000-0005-0000-0000-000002000000}"/>
    <cellStyle name="Moneda" xfId="4" builtinId="4"/>
    <cellStyle name="Normal" xfId="0" builtinId="0"/>
    <cellStyle name="Normal 2" xfId="5" xr:uid="{00000000-0005-0000-0000-000005000000}"/>
    <cellStyle name="Normal 2 2" xfId="6" xr:uid="{00000000-0005-0000-0000-000006000000}"/>
    <cellStyle name="Normal 2 3" xfId="7" xr:uid="{00000000-0005-0000-0000-000007000000}"/>
    <cellStyle name="Normal 2 4" xfId="8" xr:uid="{00000000-0005-0000-0000-000008000000}"/>
    <cellStyle name="Normal 2 5" xfId="9" xr:uid="{00000000-0005-0000-0000-000009000000}"/>
    <cellStyle name="Normal 2 6" xfId="10" xr:uid="{00000000-0005-0000-0000-00000A000000}"/>
    <cellStyle name="Normal 2 7" xfId="11" xr:uid="{00000000-0005-0000-0000-00000B000000}"/>
    <cellStyle name="Normal 2 8" xfId="12" xr:uid="{00000000-0005-0000-0000-00000C000000}"/>
    <cellStyle name="Normal 2_Dashboard ver 2.2 ES" xfId="13" xr:uid="{00000000-0005-0000-0000-00000D000000}"/>
    <cellStyle name="Normal 2_Ficticia HIV Dashboard_ES - Set Up and Maintenance Guide" xfId="14" xr:uid="{00000000-0005-0000-0000-00000E000000}"/>
    <cellStyle name="Normal 2_Prototipo" xfId="15" xr:uid="{00000000-0005-0000-0000-00000F000000}"/>
    <cellStyle name="Normal 3" xfId="16" xr:uid="{00000000-0005-0000-0000-000010000000}"/>
    <cellStyle name="Normal 4" xfId="17" xr:uid="{00000000-0005-0000-0000-000011000000}"/>
    <cellStyle name="Normal 5" xfId="18" xr:uid="{00000000-0005-0000-0000-000012000000}"/>
    <cellStyle name="Normal 6" xfId="19" xr:uid="{00000000-0005-0000-0000-000013000000}"/>
    <cellStyle name="Normal 7" xfId="20" xr:uid="{00000000-0005-0000-0000-000014000000}"/>
    <cellStyle name="Normal 8" xfId="21" xr:uid="{00000000-0005-0000-0000-000015000000}"/>
    <cellStyle name="Normal_TZ_R3HIV_Phase_2_21_August_08" xfId="22" xr:uid="{00000000-0005-0000-0000-000016000000}"/>
    <cellStyle name="Porcentaje" xfId="23" builtinId="5"/>
    <cellStyle name="Porcentual 2" xfId="24" xr:uid="{00000000-0005-0000-0000-000018000000}"/>
    <cellStyle name="Porcentual 3" xfId="25" xr:uid="{00000000-0005-0000-0000-000019000000}"/>
    <cellStyle name="Porcentual 4" xfId="26" xr:uid="{00000000-0005-0000-0000-00001A000000}"/>
    <cellStyle name="Porcentual 5" xfId="27" xr:uid="{00000000-0005-0000-0000-00001B000000}"/>
    <cellStyle name="Porcentual 6" xfId="28" xr:uid="{00000000-0005-0000-0000-00001C000000}"/>
    <cellStyle name="Porcentual 7" xfId="29" xr:uid="{00000000-0005-0000-0000-00001D000000}"/>
    <cellStyle name="Porcentual 8" xfId="30" xr:uid="{00000000-0005-0000-0000-00001E000000}"/>
    <cellStyle name="Título 3 2" xfId="31" xr:uid="{00000000-0005-0000-0000-00001F000000}"/>
    <cellStyle name="Título 3 3" xfId="32" xr:uid="{00000000-0005-0000-0000-000020000000}"/>
    <cellStyle name="Título 3 3_Prototipo" xfId="33" xr:uid="{00000000-0005-0000-0000-000021000000}"/>
    <cellStyle name="Título 3 3_PrototipoRep1" xfId="34" xr:uid="{00000000-0005-0000-0000-000022000000}"/>
    <cellStyle name="Título 3 4" xfId="35" xr:uid="{00000000-0005-0000-0000-000023000000}"/>
    <cellStyle name="Título 3 5" xfId="36" xr:uid="{00000000-0005-0000-0000-000024000000}"/>
    <cellStyle name="Título 3 6" xfId="37" xr:uid="{00000000-0005-0000-0000-000025000000}"/>
    <cellStyle name="Título 3 7" xfId="38" xr:uid="{00000000-0005-0000-0000-000026000000}"/>
    <cellStyle name="Título 3 8" xfId="39" xr:uid="{00000000-0005-0000-0000-000027000000}"/>
  </cellStyles>
  <dxfs count="39">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i val="0"/>
        <condense val="0"/>
        <extend val="0"/>
        <sz val="11"/>
        <color indexed="8"/>
      </font>
      <fill>
        <patternFill patternType="solid">
          <fgColor indexed="49"/>
          <bgColor indexed="11"/>
        </patternFill>
      </fill>
    </dxf>
    <dxf>
      <font>
        <b/>
        <i val="0"/>
        <condense val="0"/>
        <extend val="0"/>
        <sz val="11"/>
        <color indexed="8"/>
      </font>
      <fill>
        <patternFill patternType="solid">
          <fgColor indexed="51"/>
          <bgColor indexed="13"/>
        </patternFill>
      </fill>
    </dxf>
    <dxf>
      <font>
        <b/>
        <i val="0"/>
        <condense val="0"/>
        <extend val="0"/>
        <sz val="11"/>
        <color indexed="9"/>
      </font>
      <fill>
        <patternFill patternType="solid">
          <fgColor indexed="29"/>
          <bgColor indexed="19"/>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i val="0"/>
        <condense val="0"/>
        <extend val="0"/>
        <sz val="11"/>
        <color indexed="8"/>
      </font>
      <fill>
        <patternFill patternType="solid">
          <fgColor indexed="51"/>
          <bgColor indexed="13"/>
        </patternFill>
      </fill>
    </dxf>
    <dxf>
      <font>
        <b/>
        <i val="0"/>
        <condense val="0"/>
        <extend val="0"/>
        <sz val="11"/>
        <color indexed="8"/>
      </font>
      <fill>
        <patternFill patternType="solid">
          <fgColor indexed="49"/>
          <bgColor indexed="11"/>
        </patternFill>
      </fill>
    </dxf>
    <dxf>
      <font>
        <b/>
        <i val="0"/>
        <condense val="0"/>
        <extend val="0"/>
        <sz val="11"/>
        <color indexed="8"/>
      </font>
      <fill>
        <patternFill patternType="solid">
          <fgColor indexed="29"/>
          <bgColor indexed="19"/>
        </patternFill>
      </fill>
    </dxf>
    <dxf>
      <font>
        <b/>
        <i val="0"/>
        <condense val="0"/>
        <extend val="0"/>
        <sz val="11"/>
        <color indexed="8"/>
      </font>
      <fill>
        <patternFill patternType="solid">
          <fgColor indexed="51"/>
          <bgColor indexed="13"/>
        </patternFill>
      </fill>
    </dxf>
    <dxf>
      <font>
        <b/>
        <i val="0"/>
        <condense val="0"/>
        <extend val="0"/>
        <sz val="11"/>
        <color indexed="8"/>
      </font>
      <fill>
        <patternFill patternType="solid">
          <fgColor indexed="49"/>
          <bgColor indexed="11"/>
        </patternFill>
      </fill>
    </dxf>
    <dxf>
      <font>
        <b/>
        <i val="0"/>
        <condense val="0"/>
        <extend val="0"/>
        <sz val="11"/>
        <color indexed="8"/>
      </font>
      <fill>
        <patternFill patternType="solid">
          <fgColor indexed="29"/>
          <bgColor indexed="19"/>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val="0"/>
        <i val="0"/>
        <condense val="0"/>
        <extend val="0"/>
        <sz val="11"/>
        <color indexed="9"/>
      </font>
      <fill>
        <patternFill patternType="solid">
          <fgColor indexed="45"/>
          <bgColor indexed="29"/>
        </patternFill>
      </fill>
    </dxf>
    <dxf>
      <font>
        <b val="0"/>
        <i val="0"/>
        <condense val="0"/>
        <extend val="0"/>
        <sz val="11"/>
        <color indexed="8"/>
      </font>
      <fill>
        <patternFill patternType="solid">
          <fgColor indexed="51"/>
          <bgColor indexed="13"/>
        </patternFill>
      </fill>
    </dxf>
    <dxf>
      <font>
        <b val="0"/>
        <i val="0"/>
        <condense val="0"/>
        <extend val="0"/>
        <sz val="11"/>
        <color indexed="8"/>
      </font>
      <fill>
        <patternFill patternType="solid">
          <fgColor indexed="49"/>
          <bgColor indexed="11"/>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val="0"/>
        <i val="0"/>
        <condense val="0"/>
        <extend val="0"/>
        <sz val="11"/>
        <color indexed="8"/>
      </font>
      <fill>
        <patternFill patternType="solid">
          <fgColor indexed="26"/>
          <bgColor indexed="9"/>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45"/>
          <bgColor indexed="29"/>
        </patternFill>
      </fill>
    </dxf>
    <dxf>
      <font>
        <b val="0"/>
        <i val="0"/>
        <condense val="0"/>
        <extend val="0"/>
        <sz val="11"/>
        <color indexed="9"/>
      </font>
      <fill>
        <patternFill patternType="solid">
          <fgColor indexed="32"/>
          <bgColor indexed="8"/>
        </patternFill>
      </fill>
    </dxf>
    <dxf>
      <font>
        <b val="0"/>
        <i val="0"/>
        <condense val="0"/>
        <extend val="0"/>
        <sz val="11"/>
        <color indexed="9"/>
      </font>
      <fill>
        <patternFill patternType="solid">
          <fgColor indexed="32"/>
          <bgColor indexed="8"/>
        </patternFill>
      </fill>
    </dxf>
    <dxf>
      <font>
        <b val="0"/>
        <i val="0"/>
        <condense val="0"/>
        <extend val="0"/>
        <sz val="11"/>
        <color indexed="8"/>
      </font>
      <fill>
        <patternFill patternType="solid">
          <fgColor indexed="49"/>
          <bgColor indexed="11"/>
        </patternFill>
      </fill>
    </dxf>
    <dxf>
      <font>
        <b val="0"/>
        <i val="0"/>
        <condense val="0"/>
        <extend val="0"/>
        <sz val="11"/>
        <color indexed="9"/>
      </font>
      <fill>
        <patternFill patternType="solid">
          <fgColor indexed="32"/>
          <bgColor indexed="8"/>
        </patternFill>
      </fill>
    </dxf>
    <dxf>
      <font>
        <b val="0"/>
        <i val="0"/>
        <condense val="0"/>
        <extend val="0"/>
        <sz val="11"/>
        <color indexed="8"/>
      </font>
      <fill>
        <patternFill patternType="solid">
          <fgColor indexed="34"/>
          <bgColor indexed="43"/>
        </patternFill>
      </fill>
    </dxf>
    <dxf>
      <font>
        <b val="0"/>
        <i val="0"/>
        <condense val="0"/>
        <extend val="0"/>
        <sz val="11"/>
        <color indexed="8"/>
      </font>
      <fill>
        <patternFill patternType="solid">
          <fgColor indexed="13"/>
          <bgColor indexed="51"/>
        </patternFill>
      </fill>
    </dxf>
    <dxf>
      <font>
        <b val="0"/>
        <i val="0"/>
        <condense val="0"/>
        <extend val="0"/>
        <sz val="11"/>
        <color indexed="9"/>
      </font>
      <fill>
        <patternFill patternType="solid">
          <fgColor indexed="29"/>
          <bgColor indexed="19"/>
        </patternFill>
      </fill>
    </dxf>
    <dxf>
      <font>
        <b val="0"/>
        <i val="0"/>
        <condense val="0"/>
        <extend val="0"/>
        <sz val="11"/>
        <color indexed="9"/>
      </font>
      <fill>
        <patternFill patternType="solid">
          <fgColor indexed="59"/>
          <bgColor indexed="6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5050"/>
      <rgbColor rgb="00800080"/>
      <rgbColor rgb="000070C0"/>
      <rgbColor rgb="00C0C0C0"/>
      <rgbColor rgb="00808080"/>
      <rgbColor rgb="00A6A6A6"/>
      <rgbColor rgb="00993366"/>
      <rgbColor rgb="00FFF8EF"/>
      <rgbColor rgb="00CCFFFF"/>
      <rgbColor rgb="001F1C1B"/>
      <rgbColor rgb="00FF7171"/>
      <rgbColor rgb="000066CC"/>
      <rgbColor rgb="00D9D9D9"/>
      <rgbColor rgb="00131312"/>
      <rgbColor rgb="00FF00FF"/>
      <rgbColor rgb="00FFF88F"/>
      <rgbColor rgb="0093CDDD"/>
      <rgbColor rgb="00800080"/>
      <rgbColor rgb="00800000"/>
      <rgbColor rgb="004F81BD"/>
      <rgbColor rgb="000000FF"/>
      <rgbColor rgb="0000CCFF"/>
      <rgbColor rgb="00F2F2F2"/>
      <rgbColor rgb="00CCFFCC"/>
      <rgbColor rgb="00FFFF99"/>
      <rgbColor rgb="0099CCFF"/>
      <rgbColor rgb="00ED7D31"/>
      <rgbColor rgb="00BFBFBF"/>
      <rgbColor rgb="00FFCC99"/>
      <rgbColor rgb="003366FF"/>
      <rgbColor rgb="0033CC33"/>
      <rgbColor rgb="0099CC00"/>
      <rgbColor rgb="00FFCC00"/>
      <rgbColor rgb="00FF9900"/>
      <rgbColor rgb="00FF6600"/>
      <rgbColor rgb="00595959"/>
      <rgbColor rgb="00878787"/>
      <rgbColor rgb="00003366"/>
      <rgbColor rgb="00339966"/>
      <rgbColor rgb="00003300"/>
      <rgbColor rgb="00333300"/>
      <rgbColor rgb="00993300"/>
      <rgbColor rgb="00C0504D"/>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26406872973246"/>
          <c:y val="0.11382159005648999"/>
          <c:w val="0.8172252684471486"/>
          <c:h val="0.67761475634721324"/>
        </c:manualLayout>
      </c:layout>
      <c:barChart>
        <c:barDir val="col"/>
        <c:grouping val="clustered"/>
        <c:varyColors val="0"/>
        <c:ser>
          <c:idx val="0"/>
          <c:order val="0"/>
          <c:tx>
            <c:v>PRESUPUESTO</c:v>
          </c:tx>
          <c:spPr>
            <a:solidFill>
              <a:srgbClr val="993366"/>
            </a:solidFill>
            <a:ln w="12700">
              <a:solidFill>
                <a:srgbClr val="000000"/>
              </a:solidFill>
              <a:prstDash val="solid"/>
            </a:ln>
          </c:spPr>
          <c:invertIfNegative val="0"/>
          <c:val>
            <c:numRef>
              <c:f>'Introducción de datos'!$C$33:$N$33</c:f>
              <c:numCache>
                <c:formatCode>_([$$-440A]* #,##0.00_);_([$$-440A]* \(#,##0.00\);_([$$-440A]* \-??_);_(@_)</c:formatCode>
                <c:ptCount val="12"/>
                <c:pt idx="0" formatCode="[$$-340A]\ #,##0.00">
                  <c:v>1721029</c:v>
                </c:pt>
                <c:pt idx="1">
                  <c:v>3110315</c:v>
                </c:pt>
              </c:numCache>
            </c:numRef>
          </c:val>
          <c:extLst>
            <c:ext xmlns:c16="http://schemas.microsoft.com/office/drawing/2014/chart" uri="{C3380CC4-5D6E-409C-BE32-E72D297353CC}">
              <c16:uniqueId val="{00000001-C0D4-4B3C-BDE3-8BD005D4CD51}"/>
            </c:ext>
          </c:extLst>
        </c:ser>
        <c:ser>
          <c:idx val="1"/>
          <c:order val="1"/>
          <c:tx>
            <c:v>DESEMBOLSO</c:v>
          </c:tx>
          <c:spPr>
            <a:solidFill>
              <a:srgbClr val="0070C0"/>
            </a:solidFill>
            <a:ln w="12700">
              <a:solidFill>
                <a:srgbClr val="000000"/>
              </a:solidFill>
              <a:prstDash val="solid"/>
            </a:ln>
          </c:spPr>
          <c:invertIfNegative val="0"/>
          <c:val>
            <c:numRef>
              <c:f>'Introducción de datos'!$C$34:$N$34</c:f>
              <c:numCache>
                <c:formatCode>_([$$-440A]* #,##0.00_);_([$$-440A]* \(#,##0.00\);_([$$-440A]* \-??_);_(@_)</c:formatCode>
                <c:ptCount val="12"/>
                <c:pt idx="0" formatCode="[$$-340A]\ #,##0.00">
                  <c:v>1721029</c:v>
                </c:pt>
                <c:pt idx="1">
                  <c:v>3110315</c:v>
                </c:pt>
                <c:pt idx="2">
                  <c:v>0</c:v>
                </c:pt>
              </c:numCache>
            </c:numRef>
          </c:val>
          <c:extLst>
            <c:ext xmlns:c16="http://schemas.microsoft.com/office/drawing/2014/chart" uri="{C3380CC4-5D6E-409C-BE32-E72D297353CC}">
              <c16:uniqueId val="{00000003-C0D4-4B3C-BDE3-8BD005D4CD51}"/>
            </c:ext>
          </c:extLst>
        </c:ser>
        <c:dLbls>
          <c:showLegendKey val="0"/>
          <c:showVal val="0"/>
          <c:showCatName val="0"/>
          <c:showSerName val="0"/>
          <c:showPercent val="0"/>
          <c:showBubbleSize val="0"/>
        </c:dLbls>
        <c:gapWidth val="70"/>
        <c:axId val="192562112"/>
        <c:axId val="1"/>
      </c:barChart>
      <c:catAx>
        <c:axId val="192562112"/>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a:pPr>
            <a:endParaRPr lang="es-SV"/>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000000"/>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a:pPr>
            <a:endParaRPr lang="es-SV"/>
          </a:p>
        </c:txPr>
        <c:crossAx val="192562112"/>
        <c:crossesAt val="1"/>
        <c:crossBetween val="between"/>
      </c:valAx>
      <c:dTable>
        <c:showHorzBorder val="1"/>
        <c:showVertBorder val="1"/>
        <c:showOutline val="1"/>
        <c:showKeys val="1"/>
      </c:dTable>
      <c:spPr>
        <a:solidFill>
          <a:srgbClr val="FFFFFF"/>
        </a:solidFill>
        <a:ln w="12700">
          <a:solidFill>
            <a:srgbClr val="000000"/>
          </a:solidFill>
          <a:prstDash val="solid"/>
        </a:ln>
      </c:spPr>
    </c:plotArea>
    <c:plotVisOnly val="1"/>
    <c:dispBlanksAs val="gap"/>
    <c:showDLblsOverMax val="0"/>
  </c:chart>
  <c:spPr>
    <a:noFill/>
    <a:ln w="6350">
      <a:noFill/>
    </a:ln>
  </c:spPr>
  <c:txPr>
    <a:bodyPr/>
    <a:lstStyle/>
    <a:p>
      <a:pPr>
        <a:defRPr sz="8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6702819956617"/>
          <c:y val="0.16489361702127658"/>
          <c:w val="0.7852494577006508"/>
          <c:h val="0.51063829787234039"/>
        </c:manualLayout>
      </c:layout>
      <c:barChart>
        <c:barDir val="col"/>
        <c:grouping val="clustered"/>
        <c:varyColors val="0"/>
        <c:ser>
          <c:idx val="0"/>
          <c:order val="0"/>
          <c:tx>
            <c:v>Meta</c:v>
          </c:tx>
          <c:spPr>
            <a:solidFill>
              <a:srgbClr val="0066CC"/>
            </a:solidFill>
            <a:ln w="25400">
              <a:noFill/>
            </a:ln>
          </c:spPr>
          <c:invertIfNegative val="0"/>
          <c:dLbls>
            <c:dLbl>
              <c:idx val="1"/>
              <c:numFmt formatCode="0%" sourceLinked="0"/>
              <c:spPr>
                <a:noFill/>
                <a:ln w="25400">
                  <a:noFill/>
                </a:ln>
              </c:spPr>
              <c:txPr>
                <a:bodyPr/>
                <a:lstStyle/>
                <a:p>
                  <a:pPr>
                    <a:defRPr sz="8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0-FFAA-4D6A-9138-3E763CCF59AC}"/>
                </c:ext>
              </c:extLst>
            </c:dLbl>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'Introducción de datos'!$H$129:$Q$129</c:f>
              <c:numCache>
                <c:formatCode>General</c:formatCode>
                <c:ptCount val="10"/>
                <c:pt idx="0">
                  <c:v>2019</c:v>
                </c:pt>
                <c:pt idx="1">
                  <c:v>2020</c:v>
                </c:pt>
                <c:pt idx="2">
                  <c:v>2021</c:v>
                </c:pt>
                <c:pt idx="3">
                  <c:v>2022</c:v>
                </c:pt>
                <c:pt idx="4">
                  <c:v>2023</c:v>
                </c:pt>
                <c:pt idx="5">
                  <c:v>2024</c:v>
                </c:pt>
                <c:pt idx="6">
                  <c:v>2025</c:v>
                </c:pt>
              </c:numCache>
            </c:numRef>
          </c:cat>
          <c:val>
            <c:numRef>
              <c:f>'Introducción de datos'!$H$133:$Q$133</c:f>
              <c:numCache>
                <c:formatCode>0</c:formatCode>
                <c:ptCount val="10"/>
                <c:pt idx="0">
                  <c:v>27</c:v>
                </c:pt>
                <c:pt idx="1">
                  <c:v>35</c:v>
                </c:pt>
              </c:numCache>
            </c:numRef>
          </c:val>
          <c:extLst>
            <c:ext xmlns:c16="http://schemas.microsoft.com/office/drawing/2014/chart" uri="{C3380CC4-5D6E-409C-BE32-E72D297353CC}">
              <c16:uniqueId val="{00000001-FFAA-4D6A-9138-3E763CCF59AC}"/>
            </c:ext>
          </c:extLst>
        </c:ser>
        <c:ser>
          <c:idx val="1"/>
          <c:order val="1"/>
          <c:tx>
            <c:v>Logro</c:v>
          </c:tx>
          <c:spPr>
            <a:solidFill>
              <a:srgbClr val="00CCFF"/>
            </a:solidFill>
            <a:ln w="12700">
              <a:solidFill>
                <a:srgbClr val="000000"/>
              </a:solidFill>
              <a:prstDash val="solid"/>
            </a:ln>
          </c:spPr>
          <c:invertIfNegative val="0"/>
          <c:dLbls>
            <c:dLbl>
              <c:idx val="0"/>
              <c:layout>
                <c:manualLayout>
                  <c:x val="5.9071729957805907E-2"/>
                  <c:y val="8.5106382978723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E28-4237-B986-EC5E5CD13861}"/>
                </c:ext>
              </c:extLst>
            </c:dLbl>
            <c:dLbl>
              <c:idx val="1"/>
              <c:layout>
                <c:manualLayout>
                  <c:x val="5.6258790436005623E-2"/>
                  <c:y val="8.51063829787234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E28-4237-B986-EC5E5CD13861}"/>
                </c:ext>
              </c:extLst>
            </c:dLbl>
            <c:numFmt formatCode="0.00%" sourceLinked="0"/>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'Introducción de datos'!$H$129:$Q$129</c:f>
              <c:numCache>
                <c:formatCode>General</c:formatCode>
                <c:ptCount val="10"/>
                <c:pt idx="0">
                  <c:v>2019</c:v>
                </c:pt>
                <c:pt idx="1">
                  <c:v>2020</c:v>
                </c:pt>
                <c:pt idx="2">
                  <c:v>2021</c:v>
                </c:pt>
                <c:pt idx="3">
                  <c:v>2022</c:v>
                </c:pt>
                <c:pt idx="4">
                  <c:v>2023</c:v>
                </c:pt>
                <c:pt idx="5">
                  <c:v>2024</c:v>
                </c:pt>
                <c:pt idx="6">
                  <c:v>2025</c:v>
                </c:pt>
              </c:numCache>
            </c:numRef>
          </c:cat>
          <c:val>
            <c:numRef>
              <c:f>'Introducción de datos'!$H$134:$Q$134</c:f>
              <c:numCache>
                <c:formatCode>0</c:formatCode>
                <c:ptCount val="10"/>
                <c:pt idx="0">
                  <c:v>21</c:v>
                </c:pt>
                <c:pt idx="1">
                  <c:v>37</c:v>
                </c:pt>
              </c:numCache>
            </c:numRef>
          </c:val>
          <c:extLst>
            <c:ext xmlns:c16="http://schemas.microsoft.com/office/drawing/2014/chart" uri="{C3380CC4-5D6E-409C-BE32-E72D297353CC}">
              <c16:uniqueId val="{00000002-FFAA-4D6A-9138-3E763CCF59AC}"/>
            </c:ext>
          </c:extLst>
        </c:ser>
        <c:dLbls>
          <c:showLegendKey val="0"/>
          <c:showVal val="0"/>
          <c:showCatName val="0"/>
          <c:showSerName val="0"/>
          <c:showPercent val="0"/>
          <c:showBubbleSize val="0"/>
        </c:dLbls>
        <c:gapWidth val="35"/>
        <c:axId val="617045248"/>
        <c:axId val="1"/>
      </c:barChart>
      <c:catAx>
        <c:axId val="617045248"/>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617045248"/>
        <c:crossesAt val="1"/>
        <c:crossBetween val="between"/>
      </c:valAx>
      <c:spPr>
        <a:noFill/>
        <a:ln w="25400">
          <a:noFill/>
        </a:ln>
      </c:spPr>
    </c:plotArea>
    <c:legend>
      <c:legendPos val="r"/>
      <c:layout>
        <c:manualLayout>
          <c:xMode val="edge"/>
          <c:yMode val="edge"/>
          <c:x val="0.61820902134068689"/>
          <c:y val="0.33865248226950356"/>
          <c:w val="0.28455541158620989"/>
          <c:h val="0.170212765957446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505302336020355E-2"/>
          <c:y val="9.722331583552056E-2"/>
          <c:w val="0.87284044363813196"/>
          <c:h val="0.67708606736657917"/>
        </c:manualLayout>
      </c:layout>
      <c:barChart>
        <c:barDir val="col"/>
        <c:grouping val="clustered"/>
        <c:varyColors val="0"/>
        <c:ser>
          <c:idx val="0"/>
          <c:order val="0"/>
          <c:tx>
            <c:v>Meta</c:v>
          </c:tx>
          <c:spPr>
            <a:solidFill>
              <a:srgbClr val="0066CC"/>
            </a:solidFill>
            <a:ln w="25400">
              <a:noFill/>
            </a:ln>
          </c:spPr>
          <c:invertIfNegative val="0"/>
          <c:dLbls>
            <c:spPr>
              <a:noFill/>
              <a:ln>
                <a:noFill/>
              </a:ln>
              <a:effectLst/>
            </c:spPr>
            <c:txPr>
              <a:bodyPr wrap="square" lIns="38100" tIns="19050" rIns="38100" bIns="19050" anchor="ctr">
                <a:spAutoFit/>
              </a:bodyPr>
              <a:lstStyle/>
              <a:p>
                <a:pPr>
                  <a:defRPr sz="900" b="1"/>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datos'!$H$129:$Q$129</c:f>
              <c:numCache>
                <c:formatCode>General</c:formatCode>
                <c:ptCount val="10"/>
                <c:pt idx="0">
                  <c:v>2019</c:v>
                </c:pt>
                <c:pt idx="1">
                  <c:v>2020</c:v>
                </c:pt>
                <c:pt idx="2">
                  <c:v>2021</c:v>
                </c:pt>
                <c:pt idx="3">
                  <c:v>2022</c:v>
                </c:pt>
                <c:pt idx="4">
                  <c:v>2023</c:v>
                </c:pt>
                <c:pt idx="5">
                  <c:v>2024</c:v>
                </c:pt>
                <c:pt idx="6">
                  <c:v>2025</c:v>
                </c:pt>
              </c:numCache>
            </c:numRef>
          </c:cat>
          <c:val>
            <c:numRef>
              <c:f>'Introducción de datos'!$H$135:$Q$135</c:f>
              <c:numCache>
                <c:formatCode>#,##0</c:formatCode>
                <c:ptCount val="10"/>
                <c:pt idx="0">
                  <c:v>2153</c:v>
                </c:pt>
                <c:pt idx="1">
                  <c:v>1035</c:v>
                </c:pt>
              </c:numCache>
            </c:numRef>
          </c:val>
          <c:extLst>
            <c:ext xmlns:c16="http://schemas.microsoft.com/office/drawing/2014/chart" uri="{C3380CC4-5D6E-409C-BE32-E72D297353CC}">
              <c16:uniqueId val="{00000000-EDC9-431A-81B1-C541CFC3B2B9}"/>
            </c:ext>
          </c:extLst>
        </c:ser>
        <c:ser>
          <c:idx val="1"/>
          <c:order val="1"/>
          <c:tx>
            <c:v>Logro</c:v>
          </c:tx>
          <c:spPr>
            <a:solidFill>
              <a:srgbClr val="00CCFF"/>
            </a:solidFill>
            <a:ln w="25400">
              <a:noFill/>
            </a:ln>
          </c:spPr>
          <c:invertIfNegative val="0"/>
          <c:dLbls>
            <c:dLbl>
              <c:idx val="1"/>
              <c:layout>
                <c:manualLayout>
                  <c:x val="4.7505938242280284E-2"/>
                  <c:y val="9.72222222222222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635-40E1-8BF3-2F2EAD8F75E6}"/>
                </c:ext>
              </c:extLst>
            </c:dLbl>
            <c:spPr>
              <a:noFill/>
              <a:ln>
                <a:noFill/>
              </a:ln>
              <a:effectLst/>
            </c:spPr>
            <c:txPr>
              <a:bodyPr wrap="square" lIns="38100" tIns="19050" rIns="38100" bIns="19050" anchor="ctr">
                <a:spAutoFit/>
              </a:bodyPr>
              <a:lstStyle/>
              <a:p>
                <a:pPr>
                  <a:defRPr sz="800" b="1"/>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'Introducción de datos'!$H$129:$Q$129</c:f>
              <c:numCache>
                <c:formatCode>General</c:formatCode>
                <c:ptCount val="10"/>
                <c:pt idx="0">
                  <c:v>2019</c:v>
                </c:pt>
                <c:pt idx="1">
                  <c:v>2020</c:v>
                </c:pt>
                <c:pt idx="2">
                  <c:v>2021</c:v>
                </c:pt>
                <c:pt idx="3">
                  <c:v>2022</c:v>
                </c:pt>
                <c:pt idx="4">
                  <c:v>2023</c:v>
                </c:pt>
                <c:pt idx="5">
                  <c:v>2024</c:v>
                </c:pt>
                <c:pt idx="6">
                  <c:v>2025</c:v>
                </c:pt>
              </c:numCache>
            </c:numRef>
          </c:cat>
          <c:val>
            <c:numRef>
              <c:f>'Introducción de datos'!$H$136:$Q$136</c:f>
              <c:numCache>
                <c:formatCode>#,##0</c:formatCode>
                <c:ptCount val="10"/>
                <c:pt idx="0">
                  <c:v>1328</c:v>
                </c:pt>
                <c:pt idx="1">
                  <c:v>983</c:v>
                </c:pt>
              </c:numCache>
            </c:numRef>
          </c:val>
          <c:extLst>
            <c:ext xmlns:c16="http://schemas.microsoft.com/office/drawing/2014/chart" uri="{C3380CC4-5D6E-409C-BE32-E72D297353CC}">
              <c16:uniqueId val="{00000001-EDC9-431A-81B1-C541CFC3B2B9}"/>
            </c:ext>
          </c:extLst>
        </c:ser>
        <c:dLbls>
          <c:showLegendKey val="0"/>
          <c:showVal val="0"/>
          <c:showCatName val="0"/>
          <c:showSerName val="0"/>
          <c:showPercent val="0"/>
          <c:showBubbleSize val="0"/>
        </c:dLbls>
        <c:gapWidth val="27"/>
        <c:overlap val="-4"/>
        <c:axId val="617045576"/>
        <c:axId val="1"/>
      </c:barChart>
      <c:catAx>
        <c:axId val="617045576"/>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617045576"/>
        <c:crossesAt val="1"/>
        <c:crossBetween val="between"/>
      </c:valAx>
      <c:spPr>
        <a:noFill/>
        <a:ln w="25400">
          <a:noFill/>
        </a:ln>
      </c:spPr>
    </c:plotArea>
    <c:legend>
      <c:legendPos val="r"/>
      <c:layout>
        <c:manualLayout>
          <c:xMode val="edge"/>
          <c:yMode val="edge"/>
          <c:x val="0.47831771622371433"/>
          <c:y val="0.40625437445319335"/>
          <c:w val="0.33996023856858848"/>
          <c:h val="0.1250006357861113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50102179502415E-2"/>
          <c:y val="0.19653179190751446"/>
          <c:w val="0.8459830649055099"/>
          <c:h val="0.50867052023121384"/>
        </c:manualLayout>
      </c:layout>
      <c:barChart>
        <c:barDir val="col"/>
        <c:grouping val="clustered"/>
        <c:varyColors val="0"/>
        <c:ser>
          <c:idx val="0"/>
          <c:order val="0"/>
          <c:tx>
            <c:v>Meta </c:v>
          </c:tx>
          <c:spPr>
            <a:solidFill>
              <a:srgbClr val="0066CC"/>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'Introducción de datos'!$H$129:$Q$129</c:f>
              <c:numCache>
                <c:formatCode>General</c:formatCode>
                <c:ptCount val="10"/>
                <c:pt idx="0">
                  <c:v>2019</c:v>
                </c:pt>
                <c:pt idx="1">
                  <c:v>2020</c:v>
                </c:pt>
                <c:pt idx="2">
                  <c:v>2021</c:v>
                </c:pt>
                <c:pt idx="3">
                  <c:v>2022</c:v>
                </c:pt>
                <c:pt idx="4">
                  <c:v>2023</c:v>
                </c:pt>
                <c:pt idx="5">
                  <c:v>2024</c:v>
                </c:pt>
                <c:pt idx="6">
                  <c:v>2025</c:v>
                </c:pt>
              </c:numCache>
            </c:numRef>
          </c:cat>
          <c:val>
            <c:numRef>
              <c:f>'Introducción de datos'!$H$131:$Q$131</c:f>
              <c:numCache>
                <c:formatCode>0.000%</c:formatCode>
                <c:ptCount val="10"/>
                <c:pt idx="0" formatCode="0.00%">
                  <c:v>0.55000000000000004</c:v>
                </c:pt>
                <c:pt idx="1">
                  <c:v>0.64993000000000001</c:v>
                </c:pt>
              </c:numCache>
            </c:numRef>
          </c:val>
          <c:extLst>
            <c:ext xmlns:c16="http://schemas.microsoft.com/office/drawing/2014/chart" uri="{C3380CC4-5D6E-409C-BE32-E72D297353CC}">
              <c16:uniqueId val="{00000000-CE1B-4807-B791-2C3A4E67B4A4}"/>
            </c:ext>
          </c:extLst>
        </c:ser>
        <c:ser>
          <c:idx val="1"/>
          <c:order val="1"/>
          <c:tx>
            <c:v>Logro</c:v>
          </c:tx>
          <c:spPr>
            <a:solidFill>
              <a:srgbClr val="00CCFF"/>
            </a:solidFill>
            <a:ln w="12700">
              <a:solidFill>
                <a:srgbClr val="000000"/>
              </a:solidFill>
              <a:prstDash val="solid"/>
            </a:ln>
          </c:spPr>
          <c:invertIfNegative val="0"/>
          <c:dLbls>
            <c:dLbl>
              <c:idx val="1"/>
              <c:layout>
                <c:manualLayout>
                  <c:x val="5.6547619047619048E-2"/>
                  <c:y val="0.1156069364161849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81-4FD3-8831-94208820E9D6}"/>
                </c:ext>
              </c:extLst>
            </c:dLbl>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'Introducción de datos'!$H$129:$Q$129</c:f>
              <c:numCache>
                <c:formatCode>General</c:formatCode>
                <c:ptCount val="10"/>
                <c:pt idx="0">
                  <c:v>2019</c:v>
                </c:pt>
                <c:pt idx="1">
                  <c:v>2020</c:v>
                </c:pt>
                <c:pt idx="2">
                  <c:v>2021</c:v>
                </c:pt>
                <c:pt idx="3">
                  <c:v>2022</c:v>
                </c:pt>
                <c:pt idx="4">
                  <c:v>2023</c:v>
                </c:pt>
                <c:pt idx="5">
                  <c:v>2024</c:v>
                </c:pt>
                <c:pt idx="6">
                  <c:v>2025</c:v>
                </c:pt>
              </c:numCache>
            </c:numRef>
          </c:cat>
          <c:val>
            <c:numRef>
              <c:f>'Introducción de datos'!$H$132:$Q$132</c:f>
              <c:numCache>
                <c:formatCode>0.000%</c:formatCode>
                <c:ptCount val="10"/>
                <c:pt idx="0" formatCode="0.00%">
                  <c:v>0.80989999999999995</c:v>
                </c:pt>
                <c:pt idx="1">
                  <c:v>0.786582</c:v>
                </c:pt>
              </c:numCache>
            </c:numRef>
          </c:val>
          <c:extLst>
            <c:ext xmlns:c16="http://schemas.microsoft.com/office/drawing/2014/chart" uri="{C3380CC4-5D6E-409C-BE32-E72D297353CC}">
              <c16:uniqueId val="{00000001-CE1B-4807-B791-2C3A4E67B4A4}"/>
            </c:ext>
          </c:extLst>
        </c:ser>
        <c:dLbls>
          <c:showLegendKey val="0"/>
          <c:showVal val="0"/>
          <c:showCatName val="0"/>
          <c:showSerName val="0"/>
          <c:showPercent val="0"/>
          <c:showBubbleSize val="0"/>
        </c:dLbls>
        <c:gapWidth val="35"/>
        <c:axId val="568487976"/>
        <c:axId val="1"/>
      </c:barChart>
      <c:catAx>
        <c:axId val="568487976"/>
        <c:scaling>
          <c:orientation val="minMax"/>
        </c:scaling>
        <c:delete val="0"/>
        <c:axPos val="b"/>
        <c:numFmt formatCode="General" sourceLinked="1"/>
        <c:majorTickMark val="out"/>
        <c:minorTickMark val="none"/>
        <c:tickLblPos val="nextTo"/>
        <c:spPr>
          <a:ln w="12700">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12700">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s-SV"/>
          </a:p>
        </c:txPr>
        <c:crossAx val="568487976"/>
        <c:crossesAt val="1"/>
        <c:crossBetween val="between"/>
      </c:valAx>
      <c:spPr>
        <a:noFill/>
        <a:ln w="25400">
          <a:noFill/>
        </a:ln>
      </c:spPr>
    </c:plotArea>
    <c:legend>
      <c:legendPos val="r"/>
      <c:layout>
        <c:manualLayout>
          <c:xMode val="edge"/>
          <c:yMode val="edge"/>
          <c:x val="0.64844042932133483"/>
          <c:y val="0.37043314672371158"/>
          <c:w val="0.25334528496437947"/>
          <c:h val="0.1666475505590703"/>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375963140238728"/>
          <c:y val="7.2398190045248875E-2"/>
          <c:w val="0.70300816403328026"/>
          <c:h val="0.61085972850678738"/>
        </c:manualLayout>
      </c:layout>
      <c:barChart>
        <c:barDir val="col"/>
        <c:grouping val="clustered"/>
        <c:varyColors val="0"/>
        <c:ser>
          <c:idx val="0"/>
          <c:order val="0"/>
          <c:spPr>
            <a:solidFill>
              <a:srgbClr val="93CDDD"/>
            </a:solidFill>
            <a:ln w="12700">
              <a:solidFill>
                <a:srgbClr val="000000"/>
              </a:solidFill>
              <a:prstDash val="solid"/>
            </a:ln>
          </c:spPr>
          <c:invertIfNegative val="0"/>
          <c:dLbls>
            <c:numFmt formatCode="_ [$$-240A]\ * #,##0.00_ ;_ [$$-240A]\ * \-#,##0.00_ ;_ [$$-240A]\ * \-??_ ;_ @_ "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datos'!$B$55:$B$58</c:f>
              <c:strCache>
                <c:ptCount val="4"/>
                <c:pt idx="0">
                  <c:v> Desembolsado por el FM al RP+Saldode caja del periodo anterios </c:v>
                </c:pt>
                <c:pt idx="1">
                  <c:v> Gasto* + Desembolso agentes* </c:v>
                </c:pt>
                <c:pt idx="2">
                  <c:v> Compromisos al 30 de Junio  MINSAL  </c:v>
                </c:pt>
                <c:pt idx="3">
                  <c:v> Saldo en caja </c:v>
                </c:pt>
              </c:strCache>
            </c:strRef>
          </c:cat>
          <c:val>
            <c:numRef>
              <c:f>'Introducción de datos'!$D$55:$D$58</c:f>
              <c:numCache>
                <c:formatCode>_ [$$-240A]\ * #,##0.00_ ;_ [$$-240A]\ * \-#,##0.00_ ;_ [$$-240A]\ * \-??_ ;_ @_ </c:formatCode>
                <c:ptCount val="4"/>
                <c:pt idx="0">
                  <c:v>1755866.92</c:v>
                </c:pt>
                <c:pt idx="1">
                  <c:v>1482451.83</c:v>
                </c:pt>
                <c:pt idx="2" formatCode="[$$-340A]\ #,##0.00">
                  <c:v>114060.7</c:v>
                </c:pt>
                <c:pt idx="3" formatCode="[$$-340A]\ #,##0.00">
                  <c:v>159354.38999999984</c:v>
                </c:pt>
              </c:numCache>
            </c:numRef>
          </c:val>
          <c:extLst>
            <c:ext xmlns:c16="http://schemas.microsoft.com/office/drawing/2014/chart" uri="{C3380CC4-5D6E-409C-BE32-E72D297353CC}">
              <c16:uniqueId val="{00000001-F8CB-48BB-BE58-C30C44B16D50}"/>
            </c:ext>
          </c:extLst>
        </c:ser>
        <c:dLbls>
          <c:showLegendKey val="0"/>
          <c:showVal val="0"/>
          <c:showCatName val="0"/>
          <c:showSerName val="0"/>
          <c:showPercent val="0"/>
          <c:showBubbleSize val="0"/>
        </c:dLbls>
        <c:gapWidth val="150"/>
        <c:axId val="526268576"/>
        <c:axId val="1"/>
      </c:barChart>
      <c:catAx>
        <c:axId val="526268576"/>
        <c:scaling>
          <c:orientation val="minMax"/>
        </c:scaling>
        <c:delete val="0"/>
        <c:axPos val="b"/>
        <c:numFmt formatCode="General" sourceLinked="1"/>
        <c:majorTickMark val="out"/>
        <c:minorTickMark val="none"/>
        <c:tickLblPos val="nextTo"/>
        <c:spPr>
          <a:ln w="12700">
            <a:solidFill>
              <a:srgbClr val="808080"/>
            </a:solidFill>
            <a:prstDash val="solid"/>
          </a:ln>
        </c:spPr>
        <c:txPr>
          <a:bodyPr rot="0" vert="horz"/>
          <a:lstStyle/>
          <a:p>
            <a:pPr>
              <a:defRPr/>
            </a:pPr>
            <a:endParaRPr lang="es-SV"/>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808080"/>
              </a:solidFill>
              <a:prstDash val="solid"/>
            </a:ln>
          </c:spPr>
        </c:majorGridlines>
        <c:numFmt formatCode="[$$-340A]\ #,##0.00" sourceLinked="0"/>
        <c:majorTickMark val="out"/>
        <c:minorTickMark val="none"/>
        <c:tickLblPos val="nextTo"/>
        <c:spPr>
          <a:ln w="12700">
            <a:solidFill>
              <a:srgbClr val="808080"/>
            </a:solidFill>
            <a:prstDash val="solid"/>
          </a:ln>
        </c:spPr>
        <c:txPr>
          <a:bodyPr rot="0" vert="horz"/>
          <a:lstStyle/>
          <a:p>
            <a:pPr>
              <a:defRPr/>
            </a:pPr>
            <a:endParaRPr lang="es-SV"/>
          </a:p>
        </c:txPr>
        <c:crossAx val="526268576"/>
        <c:crossesAt val="1"/>
        <c:crossBetween val="between"/>
      </c:valAx>
      <c:dTable>
        <c:showHorzBorder val="1"/>
        <c:showVertBorder val="1"/>
        <c:showOutline val="1"/>
        <c:showKeys val="1"/>
      </c:dTable>
      <c:spPr>
        <a:solidFill>
          <a:srgbClr val="FFFFFF"/>
        </a:solidFill>
        <a:ln w="25400">
          <a:noFill/>
        </a:ln>
      </c:spPr>
    </c:plotArea>
    <c:plotVisOnly val="1"/>
    <c:dispBlanksAs val="gap"/>
    <c:showDLblsOverMax val="0"/>
  </c:chart>
  <c:spPr>
    <a:noFill/>
    <a:ln w="6350">
      <a:noFill/>
    </a:ln>
  </c:spPr>
  <c:txPr>
    <a:bodyPr/>
    <a:lstStyle/>
    <a:p>
      <a:pPr>
        <a:defRPr sz="12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9944546405382"/>
          <c:y val="0.10491803278688525"/>
          <c:w val="0.81391056381110249"/>
          <c:h val="0.77689230662185382"/>
        </c:manualLayout>
      </c:layout>
      <c:barChart>
        <c:barDir val="col"/>
        <c:grouping val="clustered"/>
        <c:varyColors val="0"/>
        <c:ser>
          <c:idx val="0"/>
          <c:order val="0"/>
          <c:spPr>
            <a:solidFill>
              <a:srgbClr val="ED7D31"/>
            </a:solidFill>
            <a:ln w="25400">
              <a:noFill/>
            </a:ln>
          </c:spPr>
          <c:invertIfNegative val="0"/>
          <c:dLbls>
            <c:dLbl>
              <c:idx val="3"/>
              <c:layout>
                <c:manualLayout>
                  <c:x val="-2.5062656641604928E-3"/>
                  <c:y val="-2.16583250849791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3F-4AB3-996D-C00D624C1C07}"/>
                </c:ext>
              </c:extLst>
            </c:dLbl>
            <c:numFmt formatCode="_ [$$-240A]\ * #,##0.00_ ;_ [$$-240A]\ * \-#,##0.00_ ;_ [$$-240A]\ * \-??_ ;_ @_ "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datos'!$B$60:$B$65</c:f>
              <c:strCache>
                <c:ptCount val="6"/>
                <c:pt idx="0">
                  <c:v>Desembolsado compras  PNUD</c:v>
                </c:pt>
                <c:pt idx="1">
                  <c:v>Gastos de los Agentes de Compra PNUD</c:v>
                </c:pt>
                <c:pt idx="2">
                  <c:v>Desembolsado compras MINSAL</c:v>
                </c:pt>
                <c:pt idx="3">
                  <c:v>Gasto de RP MINSAL</c:v>
                </c:pt>
                <c:pt idx="4">
                  <c:v>Desembolsado compras OPS</c:v>
                </c:pt>
                <c:pt idx="5">
                  <c:v>Gastos de los Agentes de Compra OPS</c:v>
                </c:pt>
              </c:strCache>
            </c:strRef>
          </c:cat>
          <c:val>
            <c:numRef>
              <c:f>'Introducción de datos'!$E$60:$E$65</c:f>
              <c:numCache>
                <c:formatCode>[$$-240A]\ #,##0.00</c:formatCode>
                <c:ptCount val="6"/>
                <c:pt idx="0">
                  <c:v>1730026.54</c:v>
                </c:pt>
                <c:pt idx="1">
                  <c:v>1456950.83</c:v>
                </c:pt>
                <c:pt idx="2">
                  <c:v>597693.96</c:v>
                </c:pt>
                <c:pt idx="3">
                  <c:v>394108.94</c:v>
                </c:pt>
                <c:pt idx="4">
                  <c:v>767625.51</c:v>
                </c:pt>
                <c:pt idx="5">
                  <c:v>712364.45</c:v>
                </c:pt>
              </c:numCache>
            </c:numRef>
          </c:val>
          <c:extLst>
            <c:ext xmlns:c16="http://schemas.microsoft.com/office/drawing/2014/chart" uri="{C3380CC4-5D6E-409C-BE32-E72D297353CC}">
              <c16:uniqueId val="{00000000-943F-4AB3-996D-C00D624C1C07}"/>
            </c:ext>
          </c:extLst>
        </c:ser>
        <c:dLbls>
          <c:showLegendKey val="0"/>
          <c:showVal val="0"/>
          <c:showCatName val="0"/>
          <c:showSerName val="0"/>
          <c:showPercent val="0"/>
          <c:showBubbleSize val="0"/>
        </c:dLbls>
        <c:gapWidth val="219"/>
        <c:overlap val="-27"/>
        <c:axId val="526269560"/>
        <c:axId val="1"/>
      </c:barChart>
      <c:catAx>
        <c:axId val="526269560"/>
        <c:scaling>
          <c:orientation val="minMax"/>
        </c:scaling>
        <c:delete val="0"/>
        <c:axPos val="b"/>
        <c:numFmt formatCode="General" sourceLinked="1"/>
        <c:majorTickMark val="none"/>
        <c:minorTickMark val="none"/>
        <c:tickLblPos val="nextTo"/>
        <c:spPr>
          <a:ln w="12700">
            <a:solidFill>
              <a:srgbClr val="D9D9D9"/>
            </a:solidFill>
            <a:prstDash val="solid"/>
          </a:ln>
        </c:spPr>
        <c:txPr>
          <a:bodyPr rot="0" vert="horz"/>
          <a:lstStyle/>
          <a:p>
            <a:pPr>
              <a:defRPr/>
            </a:pPr>
            <a:endParaRPr lang="es-SV"/>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D9D9D9"/>
              </a:solidFill>
              <a:prstDash val="solid"/>
            </a:ln>
          </c:spPr>
        </c:majorGridlines>
        <c:numFmt formatCode="_ [$$-240A]\ * #,##0.00_ ;_ [$$-240A]\ * \-#,##0.00_ ;_ [$$-240A]\ * \-??_ ;_ @_ " sourceLinked="0"/>
        <c:majorTickMark val="none"/>
        <c:minorTickMark val="none"/>
        <c:tickLblPos val="nextTo"/>
        <c:spPr>
          <a:ln w="6350">
            <a:noFill/>
          </a:ln>
        </c:spPr>
        <c:txPr>
          <a:bodyPr rot="0" vert="horz"/>
          <a:lstStyle/>
          <a:p>
            <a:pPr>
              <a:defRPr/>
            </a:pPr>
            <a:endParaRPr lang="es-SV"/>
          </a:p>
        </c:txPr>
        <c:crossAx val="526269560"/>
        <c:crossesAt val="1"/>
        <c:crossBetween val="between"/>
      </c:valAx>
      <c:spPr>
        <a:solidFill>
          <a:srgbClr val="FFFFFF"/>
        </a:solid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2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82698443933991"/>
          <c:y val="8.461538461538462E-2"/>
          <c:w val="0.33658103018797775"/>
          <c:h val="0.55996292223244248"/>
        </c:manualLayout>
      </c:layout>
      <c:barChart>
        <c:barDir val="col"/>
        <c:grouping val="clustered"/>
        <c:varyColors val="0"/>
        <c:ser>
          <c:idx val="0"/>
          <c:order val="0"/>
          <c:tx>
            <c:strRef>
              <c:f>'Introducción de datos'!$C$38</c:f>
              <c:strCache>
                <c:ptCount val="1"/>
                <c:pt idx="0">
                  <c:v>Presupuesto acumulado (en $)</c:v>
                </c:pt>
              </c:strCache>
            </c:strRef>
          </c:tx>
          <c:spPr>
            <a:solidFill>
              <a:srgbClr val="4F81BD"/>
            </a:solidFill>
            <a:ln w="25400">
              <a:noFill/>
            </a:ln>
          </c:spPr>
          <c:invertIfNegative val="0"/>
          <c:cat>
            <c:strRef>
              <c:f>'Introducción de datos'!$B$39:$B$47</c:f>
              <c:strCache>
                <c:ptCount val="9"/>
                <c:pt idx="0">
                  <c:v> 1: Detección precoz de casos de tuberculosis </c:v>
                </c:pt>
                <c:pt idx="1">
                  <c:v> 2: Tratamiento de casos TB de todas las formas </c:v>
                </c:pt>
                <c:pt idx="2">
                  <c:v> 3: Detección de casos TB/MDR </c:v>
                </c:pt>
                <c:pt idx="3">
                  <c:v> 4: Tratamiento de casos TB/MDR </c:v>
                </c:pt>
                <c:pt idx="4">
                  <c:v> 5: Disminución de la mortalidad por TB/VIH </c:v>
                </c:pt>
                <c:pt idx="5">
                  <c:v> 6: Atención integral a grupos de más alto riesgo </c:v>
                </c:pt>
                <c:pt idx="6">
                  <c:v>7: Fortalecimiento al Sistema de Salud</c:v>
                </c:pt>
                <c:pt idx="7">
                  <c:v>Monitoreo y Evaluación</c:v>
                </c:pt>
                <c:pt idx="8">
                  <c:v>Planificación, Coordinación y Gerencia</c:v>
                </c:pt>
              </c:strCache>
            </c:strRef>
          </c:cat>
          <c:val>
            <c:numRef>
              <c:f>'Introducción de datos'!$C$39:$C$47</c:f>
              <c:numCache>
                <c:formatCode>_ [$$-240A]\ * #,##0.00_ ;_ [$$-240A]\ * \-#,##0.00_ ;_ [$$-240A]\ * \-??_ ;_ @_ </c:formatCode>
                <c:ptCount val="9"/>
                <c:pt idx="0">
                  <c:v>1145652.6000000001</c:v>
                </c:pt>
                <c:pt idx="1">
                  <c:v>230849.59999999998</c:v>
                </c:pt>
                <c:pt idx="2">
                  <c:v>188500</c:v>
                </c:pt>
                <c:pt idx="3">
                  <c:v>38186.120000000003</c:v>
                </c:pt>
                <c:pt idx="4">
                  <c:v>85420.67</c:v>
                </c:pt>
                <c:pt idx="5">
                  <c:v>692244.47999999998</c:v>
                </c:pt>
                <c:pt idx="6">
                  <c:v>35000</c:v>
                </c:pt>
                <c:pt idx="7">
                  <c:v>357041.07999999996</c:v>
                </c:pt>
                <c:pt idx="8">
                  <c:v>337420.1</c:v>
                </c:pt>
              </c:numCache>
            </c:numRef>
          </c:val>
          <c:extLst>
            <c:ext xmlns:c16="http://schemas.microsoft.com/office/drawing/2014/chart" uri="{C3380CC4-5D6E-409C-BE32-E72D297353CC}">
              <c16:uniqueId val="{00000000-7588-4787-9B27-A32E5E721DDD}"/>
            </c:ext>
          </c:extLst>
        </c:ser>
        <c:ser>
          <c:idx val="1"/>
          <c:order val="1"/>
          <c:tx>
            <c:strRef>
              <c:f>'Introducción de datos'!$D$38</c:f>
              <c:strCache>
                <c:ptCount val="1"/>
                <c:pt idx="0">
                  <c:v>Gastos acumulados (en $)</c:v>
                </c:pt>
              </c:strCache>
            </c:strRef>
          </c:tx>
          <c:spPr>
            <a:solidFill>
              <a:srgbClr val="C0504D"/>
            </a:solidFill>
            <a:ln w="25400">
              <a:noFill/>
            </a:ln>
          </c:spPr>
          <c:invertIfNegative val="0"/>
          <c:cat>
            <c:strRef>
              <c:f>'Introducción de datos'!$B$39:$B$47</c:f>
              <c:strCache>
                <c:ptCount val="9"/>
                <c:pt idx="0">
                  <c:v> 1: Detección precoz de casos de tuberculosis </c:v>
                </c:pt>
                <c:pt idx="1">
                  <c:v> 2: Tratamiento de casos TB de todas las formas </c:v>
                </c:pt>
                <c:pt idx="2">
                  <c:v> 3: Detección de casos TB/MDR </c:v>
                </c:pt>
                <c:pt idx="3">
                  <c:v> 4: Tratamiento de casos TB/MDR </c:v>
                </c:pt>
                <c:pt idx="4">
                  <c:v> 5: Disminución de la mortalidad por TB/VIH </c:v>
                </c:pt>
                <c:pt idx="5">
                  <c:v> 6: Atención integral a grupos de más alto riesgo </c:v>
                </c:pt>
                <c:pt idx="6">
                  <c:v>7: Fortalecimiento al Sistema de Salud</c:v>
                </c:pt>
                <c:pt idx="7">
                  <c:v>Monitoreo y Evaluación</c:v>
                </c:pt>
                <c:pt idx="8">
                  <c:v>Planificación, Coordinación y Gerencia</c:v>
                </c:pt>
              </c:strCache>
            </c:strRef>
          </c:cat>
          <c:val>
            <c:numRef>
              <c:f>'Introducción de datos'!$D$39:$D$47</c:f>
              <c:numCache>
                <c:formatCode>_ [$$-240A]\ * #,##0.00_ ;_ [$$-240A]\ * \-#,##0.00_ ;_ [$$-240A]\ * \-??_ ;_ @_ </c:formatCode>
                <c:ptCount val="9"/>
                <c:pt idx="0">
                  <c:v>990236.27</c:v>
                </c:pt>
                <c:pt idx="1">
                  <c:v>203580.78</c:v>
                </c:pt>
                <c:pt idx="2">
                  <c:v>148180</c:v>
                </c:pt>
                <c:pt idx="3">
                  <c:v>32546</c:v>
                </c:pt>
                <c:pt idx="4">
                  <c:v>35376.44</c:v>
                </c:pt>
                <c:pt idx="5" formatCode="_([$$-440A]* #,##0.00_);_([$$-440A]* \(#,##0.00\);_([$$-440A]* \-??_);_(@_)">
                  <c:v>597074.42000000004</c:v>
                </c:pt>
                <c:pt idx="6" formatCode="_([$$-440A]* #,##0.00_);_([$$-440A]* \(#,##0.00\);_([$$-440A]* \-??_);_(@_)">
                  <c:v>15111.5</c:v>
                </c:pt>
                <c:pt idx="7" formatCode="_([$$-440A]* #,##0.00_);_([$$-440A]* \(#,##0.00\);_([$$-440A]* \-??_);_(@_)">
                  <c:v>208559.05000000002</c:v>
                </c:pt>
                <c:pt idx="8" formatCode="_([$$-440A]* #,##0.00_);_([$$-440A]* \(#,##0.00\);_([$$-440A]* \-??_);_(@_)">
                  <c:v>333159.7</c:v>
                </c:pt>
              </c:numCache>
            </c:numRef>
          </c:val>
          <c:extLst>
            <c:ext xmlns:c16="http://schemas.microsoft.com/office/drawing/2014/chart" uri="{C3380CC4-5D6E-409C-BE32-E72D297353CC}">
              <c16:uniqueId val="{00000001-7588-4787-9B27-A32E5E721DDD}"/>
            </c:ext>
          </c:extLst>
        </c:ser>
        <c:dLbls>
          <c:showLegendKey val="0"/>
          <c:showVal val="0"/>
          <c:showCatName val="0"/>
          <c:showSerName val="0"/>
          <c:showPercent val="0"/>
          <c:showBubbleSize val="0"/>
        </c:dLbls>
        <c:gapWidth val="219"/>
        <c:overlap val="-27"/>
        <c:axId val="526270872"/>
        <c:axId val="1"/>
      </c:barChart>
      <c:catAx>
        <c:axId val="526270872"/>
        <c:scaling>
          <c:orientation val="minMax"/>
        </c:scaling>
        <c:delete val="0"/>
        <c:axPos val="b"/>
        <c:numFmt formatCode="General" sourceLinked="1"/>
        <c:majorTickMark val="none"/>
        <c:minorTickMark val="none"/>
        <c:tickLblPos val="nextTo"/>
        <c:spPr>
          <a:ln w="12700">
            <a:solidFill>
              <a:srgbClr val="D9D9D9"/>
            </a:solidFill>
            <a:prstDash val="solid"/>
          </a:ln>
        </c:spPr>
        <c:txPr>
          <a:bodyPr rot="0" vert="horz"/>
          <a:lstStyle/>
          <a:p>
            <a:pPr>
              <a:defRPr/>
            </a:pPr>
            <a:endParaRPr lang="es-SV"/>
          </a:p>
        </c:txPr>
        <c:crossAx val="1"/>
        <c:crosses val="autoZero"/>
        <c:auto val="1"/>
        <c:lblAlgn val="ctr"/>
        <c:lblOffset val="100"/>
        <c:tickLblSkip val="2"/>
        <c:tickMarkSkip val="1"/>
        <c:noMultiLvlLbl val="0"/>
      </c:catAx>
      <c:valAx>
        <c:axId val="1"/>
        <c:scaling>
          <c:orientation val="minMax"/>
        </c:scaling>
        <c:delete val="0"/>
        <c:axPos val="l"/>
        <c:majorGridlines>
          <c:spPr>
            <a:ln w="12700">
              <a:solidFill>
                <a:srgbClr val="D9D9D9"/>
              </a:solidFill>
              <a:prstDash val="solid"/>
            </a:ln>
          </c:spPr>
        </c:majorGridlines>
        <c:numFmt formatCode="_ [$$-240A]\ * #,##0.00_ ;_ [$$-240A]\ * \-#,##0.00_ ;_ [$$-240A]\ * \-??_ ;_ @_ " sourceLinked="0"/>
        <c:majorTickMark val="none"/>
        <c:minorTickMark val="none"/>
        <c:tickLblPos val="nextTo"/>
        <c:spPr>
          <a:ln w="6350">
            <a:noFill/>
          </a:ln>
        </c:spPr>
        <c:txPr>
          <a:bodyPr rot="0" vert="horz"/>
          <a:lstStyle/>
          <a:p>
            <a:pPr>
              <a:defRPr/>
            </a:pPr>
            <a:endParaRPr lang="es-SV"/>
          </a:p>
        </c:txPr>
        <c:crossAx val="526270872"/>
        <c:crosses val="autoZero"/>
        <c:crossBetween val="between"/>
      </c:valAx>
      <c:dTable>
        <c:showHorzBorder val="1"/>
        <c:showVertBorder val="1"/>
        <c:showOutline val="1"/>
        <c:showKeys val="1"/>
      </c:dTable>
      <c:spPr>
        <a:noFill/>
        <a:ln w="25400">
          <a:noFill/>
        </a:ln>
      </c:spPr>
    </c:plotArea>
    <c:plotVisOnly val="1"/>
    <c:dispBlanksAs val="gap"/>
    <c:showDLblsOverMax val="0"/>
  </c:chart>
  <c:spPr>
    <a:solidFill>
      <a:srgbClr val="FFFFFF"/>
    </a:solidFill>
    <a:ln w="12700">
      <a:solidFill>
        <a:srgbClr val="D9D9D9"/>
      </a:solidFill>
      <a:prstDash val="solid"/>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53129387266462"/>
          <c:y val="0.2536249831930989"/>
          <c:w val="0.78260941802174833"/>
          <c:h val="0.2971035517404873"/>
        </c:manualLayout>
      </c:layout>
      <c:barChart>
        <c:barDir val="bar"/>
        <c:grouping val="percentStacked"/>
        <c:varyColors val="0"/>
        <c:ser>
          <c:idx val="0"/>
          <c:order val="0"/>
          <c:tx>
            <c:strRef>
              <c:f>'Introducción de datos'!$D$89</c:f>
              <c:strCache>
                <c:ptCount val="1"/>
                <c:pt idx="0">
                  <c:v> Cubiertos </c:v>
                </c:pt>
              </c:strCache>
            </c:strRef>
          </c:tx>
          <c:spPr>
            <a:solidFill>
              <a:srgbClr val="33CC33"/>
            </a:solidFill>
            <a:ln w="25400">
              <a:noFill/>
            </a:ln>
          </c:spPr>
          <c:invertIfNegative val="0"/>
          <c:dPt>
            <c:idx val="0"/>
            <c:invertIfNegative val="0"/>
            <c:bubble3D val="0"/>
            <c:spPr>
              <a:solidFill>
                <a:srgbClr val="99CC00"/>
              </a:solidFill>
              <a:ln w="25400">
                <a:noFill/>
              </a:ln>
            </c:spPr>
            <c:extLst>
              <c:ext xmlns:c16="http://schemas.microsoft.com/office/drawing/2014/chart" uri="{C3380CC4-5D6E-409C-BE32-E72D297353CC}">
                <c16:uniqueId val="{00000000-E6AF-4D8C-A322-570F36DC7BD4}"/>
              </c:ext>
            </c:extLst>
          </c:dPt>
          <c:dLbls>
            <c:dLbl>
              <c:idx val="0"/>
              <c:numFmt formatCode="General" sourceLinked="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0-E6AF-4D8C-A322-570F36DC7BD4}"/>
                </c:ext>
              </c:extLst>
            </c:dLbl>
            <c:numFmt formatCode="General" sourceLinked="0"/>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datos'!$D$90</c:f>
              <c:numCache>
                <c:formatCode>General</c:formatCode>
                <c:ptCount val="1"/>
                <c:pt idx="0">
                  <c:v>3</c:v>
                </c:pt>
              </c:numCache>
            </c:numRef>
          </c:val>
          <c:extLst>
            <c:ext xmlns:c16="http://schemas.microsoft.com/office/drawing/2014/chart" uri="{C3380CC4-5D6E-409C-BE32-E72D297353CC}">
              <c16:uniqueId val="{00000001-E6AF-4D8C-A322-570F36DC7BD4}"/>
            </c:ext>
          </c:extLst>
        </c:ser>
        <c:ser>
          <c:idx val="1"/>
          <c:order val="1"/>
          <c:tx>
            <c:strRef>
              <c:f>'Introducción de datos'!$E$89</c:f>
              <c:strCache>
                <c:ptCount val="1"/>
                <c:pt idx="0">
                  <c:v> Vacantes </c:v>
                </c:pt>
              </c:strCache>
            </c:strRef>
          </c:tx>
          <c:spPr>
            <a:solidFill>
              <a:srgbClr val="FF5050"/>
            </a:solidFill>
            <a:ln w="25400">
              <a:noFill/>
            </a:ln>
          </c:spPr>
          <c:invertIfNegative val="0"/>
          <c:dLbls>
            <c:dLbl>
              <c:idx val="0"/>
              <c:numFmt formatCode="General" sourceLinked="0"/>
              <c:spPr>
                <a:noFill/>
                <a:ln w="25400">
                  <a:noFill/>
                </a:ln>
              </c:spPr>
              <c:txPr>
                <a:bodyPr/>
                <a:lstStyle/>
                <a:p>
                  <a:pPr>
                    <a:defRPr sz="105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2-E6AF-4D8C-A322-570F36DC7BD4}"/>
                </c:ext>
              </c:extLst>
            </c:dLbl>
            <c:numFmt formatCode="General" sourceLinked="0"/>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datos'!$E$90</c:f>
              <c:numCache>
                <c:formatCode>General</c:formatCode>
                <c:ptCount val="1"/>
                <c:pt idx="0">
                  <c:v>0</c:v>
                </c:pt>
              </c:numCache>
            </c:numRef>
          </c:val>
          <c:extLst>
            <c:ext xmlns:c16="http://schemas.microsoft.com/office/drawing/2014/chart" uri="{C3380CC4-5D6E-409C-BE32-E72D297353CC}">
              <c16:uniqueId val="{00000003-E6AF-4D8C-A322-570F36DC7BD4}"/>
            </c:ext>
          </c:extLst>
        </c:ser>
        <c:dLbls>
          <c:showLegendKey val="0"/>
          <c:showVal val="0"/>
          <c:showCatName val="0"/>
          <c:showSerName val="0"/>
          <c:showPercent val="0"/>
          <c:showBubbleSize val="0"/>
        </c:dLbls>
        <c:gapWidth val="79"/>
        <c:overlap val="100"/>
        <c:axId val="532293648"/>
        <c:axId val="1"/>
      </c:barChart>
      <c:catAx>
        <c:axId val="532293648"/>
        <c:scaling>
          <c:orientation val="minMax"/>
        </c:scaling>
        <c:delete val="0"/>
        <c:axPos val="l"/>
        <c:majorTickMark val="out"/>
        <c:minorTickMark val="none"/>
        <c:tickLblPos val="none"/>
        <c:spPr>
          <a:ln w="12700">
            <a:solidFill>
              <a:srgbClr val="878787"/>
            </a:solidFill>
            <a:prstDash val="solid"/>
          </a:ln>
        </c:spPr>
        <c:crossAx val="1"/>
        <c:crosses val="autoZero"/>
        <c:auto val="1"/>
        <c:lblAlgn val="ctr"/>
        <c:lblOffset val="100"/>
        <c:tickMarkSkip val="1"/>
        <c:noMultiLvlLbl val="0"/>
      </c:catAx>
      <c:valAx>
        <c:axId val="1"/>
        <c:scaling>
          <c:orientation val="minMax"/>
        </c:scaling>
        <c:delete val="0"/>
        <c:axPos val="t"/>
        <c:majorGridlines>
          <c:spPr>
            <a:ln w="12700">
              <a:solidFill>
                <a:srgbClr val="808080"/>
              </a:solidFill>
              <a:prstDash val="solid"/>
            </a:ln>
          </c:spPr>
        </c:majorGridlines>
        <c:numFmt formatCode="0%" sourceLinked="0"/>
        <c:majorTickMark val="out"/>
        <c:minorTickMark val="none"/>
        <c:tickLblPos val="low"/>
        <c:spPr>
          <a:ln w="12700">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532293648"/>
        <c:crosses val="max"/>
        <c:crossBetween val="between"/>
      </c:valAx>
      <c:spPr>
        <a:solidFill>
          <a:srgbClr val="FFFFFF"/>
        </a:solidFill>
        <a:ln w="25400">
          <a:noFill/>
        </a:ln>
      </c:spPr>
    </c:plotArea>
    <c:legend>
      <c:legendPos val="r"/>
      <c:layout>
        <c:manualLayout>
          <c:xMode val="edge"/>
          <c:yMode val="edge"/>
          <c:x val="0.23629511413700133"/>
          <c:y val="0.60145353157220593"/>
          <c:w val="0.43856373183827446"/>
          <c:h val="0.18116070228078493"/>
        </c:manualLayout>
      </c:layout>
      <c:overlay val="0"/>
      <c:spPr>
        <a:noFill/>
        <a:ln w="25400">
          <a:noFill/>
        </a:ln>
      </c:spPr>
      <c:txPr>
        <a:bodyPr/>
        <a:lstStyle/>
        <a:p>
          <a:pPr>
            <a:defRPr sz="650" b="0" i="0" u="none" strike="noStrike" baseline="0">
              <a:solidFill>
                <a:srgbClr val="000000"/>
              </a:solidFill>
              <a:latin typeface="Calibri"/>
              <a:ea typeface="Calibri"/>
              <a:cs typeface="Calibri"/>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55976916366064"/>
          <c:y val="0.21243577061349025"/>
          <c:w val="0.83256973974356241"/>
          <c:h val="0.51295466562769598"/>
        </c:manualLayout>
      </c:layout>
      <c:barChart>
        <c:barDir val="col"/>
        <c:grouping val="clustered"/>
        <c:varyColors val="0"/>
        <c:ser>
          <c:idx val="0"/>
          <c:order val="0"/>
          <c:tx>
            <c:strRef>
              <c:f>'Introducción de datos'!$C$94</c:f>
              <c:strCache>
                <c:ptCount val="1"/>
                <c:pt idx="0">
                  <c:v> Identificados </c:v>
                </c:pt>
              </c:strCache>
            </c:strRef>
          </c:tx>
          <c:spPr>
            <a:solidFill>
              <a:srgbClr val="FFFFFF"/>
            </a:solidFill>
            <a:ln w="12700">
              <a:solidFill>
                <a:srgbClr val="000000"/>
              </a:solidFill>
              <a:prstDash val="solid"/>
            </a:ln>
          </c:spPr>
          <c:invertIfNegative val="0"/>
          <c:dLbls>
            <c:dLbl>
              <c:idx val="0"/>
              <c:numFmt formatCode="General" sourceLinked="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0-7CF6-44CF-8614-98ADDE734B04}"/>
                </c:ext>
              </c:extLst>
            </c:dLbl>
            <c:numFmt formatCode="General"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datos'!$C$95</c:f>
              <c:numCache>
                <c:formatCode>General</c:formatCode>
                <c:ptCount val="1"/>
                <c:pt idx="0">
                  <c:v>0</c:v>
                </c:pt>
              </c:numCache>
            </c:numRef>
          </c:val>
          <c:extLst>
            <c:ext xmlns:c16="http://schemas.microsoft.com/office/drawing/2014/chart" uri="{C3380CC4-5D6E-409C-BE32-E72D297353CC}">
              <c16:uniqueId val="{00000001-7CF6-44CF-8614-98ADDE734B04}"/>
            </c:ext>
          </c:extLst>
        </c:ser>
        <c:ser>
          <c:idx val="1"/>
          <c:order val="1"/>
          <c:tx>
            <c:strRef>
              <c:f>'Introducción de datos'!$D$94</c:f>
              <c:strCache>
                <c:ptCount val="1"/>
                <c:pt idx="0">
                  <c:v> Evaluados </c:v>
                </c:pt>
              </c:strCache>
            </c:strRef>
          </c:tx>
          <c:spPr>
            <a:solidFill>
              <a:srgbClr val="F2F2F2"/>
            </a:solidFill>
            <a:ln w="12700">
              <a:solidFill>
                <a:srgbClr val="000000"/>
              </a:solidFill>
              <a:prstDash val="solid"/>
            </a:ln>
          </c:spPr>
          <c:invertIfNegative val="0"/>
          <c:dLbls>
            <c:dLbl>
              <c:idx val="0"/>
              <c:numFmt formatCode="General" sourceLinked="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2-7CF6-44CF-8614-98ADDE734B04}"/>
                </c:ext>
              </c:extLst>
            </c:dLbl>
            <c:numFmt formatCode="General"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datos'!$D$95</c:f>
              <c:numCache>
                <c:formatCode>General</c:formatCode>
                <c:ptCount val="1"/>
                <c:pt idx="0">
                  <c:v>0</c:v>
                </c:pt>
              </c:numCache>
            </c:numRef>
          </c:val>
          <c:extLst>
            <c:ext xmlns:c16="http://schemas.microsoft.com/office/drawing/2014/chart" uri="{C3380CC4-5D6E-409C-BE32-E72D297353CC}">
              <c16:uniqueId val="{00000003-7CF6-44CF-8614-98ADDE734B04}"/>
            </c:ext>
          </c:extLst>
        </c:ser>
        <c:ser>
          <c:idx val="2"/>
          <c:order val="2"/>
          <c:tx>
            <c:strRef>
              <c:f>'Introducción de datos'!$E$94</c:f>
              <c:strCache>
                <c:ptCount val="1"/>
                <c:pt idx="0">
                  <c:v> Aprobados </c:v>
                </c:pt>
              </c:strCache>
            </c:strRef>
          </c:tx>
          <c:spPr>
            <a:solidFill>
              <a:srgbClr val="D9D9D9"/>
            </a:solidFill>
            <a:ln w="12700">
              <a:solidFill>
                <a:srgbClr val="000000"/>
              </a:solidFill>
              <a:prstDash val="solid"/>
            </a:ln>
          </c:spPr>
          <c:invertIfNegative val="0"/>
          <c:dLbls>
            <c:dLbl>
              <c:idx val="0"/>
              <c:numFmt formatCode="General" sourceLinked="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4-7CF6-44CF-8614-98ADDE734B04}"/>
                </c:ext>
              </c:extLst>
            </c:dLbl>
            <c:numFmt formatCode="General"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datos'!$E$95</c:f>
              <c:numCache>
                <c:formatCode>General</c:formatCode>
                <c:ptCount val="1"/>
                <c:pt idx="0">
                  <c:v>0</c:v>
                </c:pt>
              </c:numCache>
            </c:numRef>
          </c:val>
          <c:extLst>
            <c:ext xmlns:c16="http://schemas.microsoft.com/office/drawing/2014/chart" uri="{C3380CC4-5D6E-409C-BE32-E72D297353CC}">
              <c16:uniqueId val="{00000005-7CF6-44CF-8614-98ADDE734B04}"/>
            </c:ext>
          </c:extLst>
        </c:ser>
        <c:ser>
          <c:idx val="3"/>
          <c:order val="3"/>
          <c:tx>
            <c:strRef>
              <c:f>'Introducción de datos'!$F$94</c:f>
              <c:strCache>
                <c:ptCount val="1"/>
                <c:pt idx="0">
                  <c:v> Firmados </c:v>
                </c:pt>
              </c:strCache>
            </c:strRef>
          </c:tx>
          <c:spPr>
            <a:solidFill>
              <a:srgbClr val="BFBFBF"/>
            </a:solidFill>
            <a:ln w="12700">
              <a:solidFill>
                <a:srgbClr val="000000"/>
              </a:solidFill>
              <a:prstDash val="solid"/>
            </a:ln>
          </c:spPr>
          <c:invertIfNegative val="0"/>
          <c:dLbls>
            <c:dLbl>
              <c:idx val="0"/>
              <c:numFmt formatCode="General" sourceLinked="0"/>
              <c:spPr>
                <a:noFill/>
                <a:ln w="25400">
                  <a:noFill/>
                </a:ln>
              </c:spPr>
              <c:txPr>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6-7CF6-44CF-8614-98ADDE734B04}"/>
                </c:ext>
              </c:extLst>
            </c:dLbl>
            <c:numFmt formatCode="General" sourceLinked="0"/>
            <c:spPr>
              <a:noFill/>
              <a:ln w="25400">
                <a:noFill/>
              </a:ln>
            </c:spPr>
            <c:txPr>
              <a:bodyPr wrap="square" lIns="38100" tIns="19050" rIns="38100" bIns="19050" anchor="ctr">
                <a:spAutoFit/>
              </a:bodyPr>
              <a:lstStyle/>
              <a:p>
                <a:pPr>
                  <a:defRPr sz="9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datos'!$F$95</c:f>
              <c:numCache>
                <c:formatCode>General</c:formatCode>
                <c:ptCount val="1"/>
                <c:pt idx="0">
                  <c:v>0</c:v>
                </c:pt>
              </c:numCache>
            </c:numRef>
          </c:val>
          <c:extLst>
            <c:ext xmlns:c16="http://schemas.microsoft.com/office/drawing/2014/chart" uri="{C3380CC4-5D6E-409C-BE32-E72D297353CC}">
              <c16:uniqueId val="{00000007-7CF6-44CF-8614-98ADDE734B04}"/>
            </c:ext>
          </c:extLst>
        </c:ser>
        <c:ser>
          <c:idx val="4"/>
          <c:order val="4"/>
          <c:tx>
            <c:strRef>
              <c:f>'Introducción de datos'!$G$94</c:f>
              <c:strCache>
                <c:ptCount val="1"/>
                <c:pt idx="0">
                  <c:v> Que reciben financiación </c:v>
                </c:pt>
              </c:strCache>
            </c:strRef>
          </c:tx>
          <c:spPr>
            <a:solidFill>
              <a:srgbClr val="A6A6A6"/>
            </a:solidFill>
            <a:ln w="25400">
              <a:noFill/>
            </a:ln>
          </c:spPr>
          <c:invertIfNegative val="0"/>
          <c:dPt>
            <c:idx val="0"/>
            <c:invertIfNegative val="0"/>
            <c:bubble3D val="0"/>
            <c:spPr>
              <a:solidFill>
                <a:srgbClr val="A6A6A6"/>
              </a:solidFill>
              <a:ln w="12700">
                <a:solidFill>
                  <a:srgbClr val="000000"/>
                </a:solidFill>
                <a:prstDash val="solid"/>
              </a:ln>
            </c:spPr>
            <c:extLst>
              <c:ext xmlns:c16="http://schemas.microsoft.com/office/drawing/2014/chart" uri="{C3380CC4-5D6E-409C-BE32-E72D297353CC}">
                <c16:uniqueId val="{00000008-7CF6-44CF-8614-98ADDE734B04}"/>
              </c:ext>
            </c:extLst>
          </c:dPt>
          <c:dLbls>
            <c:dLbl>
              <c:idx val="0"/>
              <c:numFmt formatCode="General" sourceLinked="0"/>
              <c:spPr>
                <a:noFill/>
                <a:ln w="25400">
                  <a:noFill/>
                </a:ln>
              </c:spPr>
              <c:txPr>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extLst>
                <c:ext xmlns:c16="http://schemas.microsoft.com/office/drawing/2014/chart" uri="{C3380CC4-5D6E-409C-BE32-E72D297353CC}">
                  <c16:uniqueId val="{00000008-7CF6-44CF-8614-98ADDE734B04}"/>
                </c:ext>
              </c:extLst>
            </c:dLbl>
            <c:numFmt formatCode="General"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'Introducción de datos'!$G$95</c:f>
              <c:numCache>
                <c:formatCode>General</c:formatCode>
                <c:ptCount val="1"/>
                <c:pt idx="0">
                  <c:v>0</c:v>
                </c:pt>
              </c:numCache>
            </c:numRef>
          </c:val>
          <c:extLst>
            <c:ext xmlns:c16="http://schemas.microsoft.com/office/drawing/2014/chart" uri="{C3380CC4-5D6E-409C-BE32-E72D297353CC}">
              <c16:uniqueId val="{00000009-7CF6-44CF-8614-98ADDE734B04}"/>
            </c:ext>
          </c:extLst>
        </c:ser>
        <c:dLbls>
          <c:showLegendKey val="0"/>
          <c:showVal val="0"/>
          <c:showCatName val="0"/>
          <c:showSerName val="0"/>
          <c:showPercent val="0"/>
          <c:showBubbleSize val="0"/>
        </c:dLbls>
        <c:gapWidth val="150"/>
        <c:overlap val="-20"/>
        <c:axId val="532291024"/>
        <c:axId val="1"/>
      </c:barChart>
      <c:catAx>
        <c:axId val="532291024"/>
        <c:scaling>
          <c:orientation val="minMax"/>
        </c:scaling>
        <c:delete val="0"/>
        <c:axPos val="b"/>
        <c:majorTickMark val="none"/>
        <c:minorTickMark val="none"/>
        <c:tickLblPos val="none"/>
        <c:spPr>
          <a:ln w="12700">
            <a:solidFill>
              <a:srgbClr val="000000"/>
            </a:solidFill>
            <a:prstDash val="solid"/>
          </a:ln>
        </c:spPr>
        <c:crossAx val="1"/>
        <c:crossesAt val="0"/>
        <c:auto val="0"/>
        <c:lblAlgn val="ctr"/>
        <c:lblOffset val="100"/>
        <c:tickMarkSkip val="1"/>
        <c:noMultiLvlLbl val="0"/>
      </c:catAx>
      <c:valAx>
        <c:axId val="1"/>
        <c:scaling>
          <c:orientation val="minMax"/>
        </c:scaling>
        <c:delete val="0"/>
        <c:axPos val="l"/>
        <c:numFmt formatCode="General"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532291024"/>
        <c:crosses val="autoZero"/>
        <c:crossBetween val="between"/>
      </c:valAx>
      <c:spPr>
        <a:noFill/>
        <a:ln w="25400">
          <a:noFill/>
        </a:ln>
      </c:spPr>
    </c:plotArea>
    <c:legend>
      <c:legendPos val="r"/>
      <c:layout>
        <c:manualLayout>
          <c:xMode val="edge"/>
          <c:yMode val="edge"/>
          <c:x val="1.146790275128874E-2"/>
          <c:y val="0.70466499520572379"/>
          <c:w val="0.99312037826160482"/>
          <c:h val="0.15025944750710288"/>
        </c:manualLayout>
      </c:layout>
      <c:overlay val="0"/>
      <c:spPr>
        <a:noFill/>
        <a:ln w="25400">
          <a:noFill/>
        </a:ln>
      </c:spPr>
      <c:txPr>
        <a:bodyPr/>
        <a:lstStyle/>
        <a:p>
          <a:pPr>
            <a:defRPr sz="585"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74789915966388"/>
          <c:y val="0.13793149896113605"/>
          <c:w val="0.50630252100840334"/>
          <c:h val="0.44138079667563535"/>
        </c:manualLayout>
      </c:layout>
      <c:barChart>
        <c:barDir val="bar"/>
        <c:grouping val="percentStacked"/>
        <c:varyColors val="0"/>
        <c:ser>
          <c:idx val="0"/>
          <c:order val="0"/>
          <c:tx>
            <c:v>Para el periodo</c:v>
          </c:tx>
          <c:spPr>
            <a:solidFill>
              <a:srgbClr val="99CC00"/>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datos'!$B$83:$B$84</c:f>
              <c:strCache>
                <c:ptCount val="2"/>
                <c:pt idx="0">
                  <c:v> Condiciones precedentes </c:v>
                </c:pt>
                <c:pt idx="1">
                  <c:v> Acciones con fecha límite* </c:v>
                </c:pt>
              </c:strCache>
            </c:strRef>
          </c:cat>
          <c:val>
            <c:numRef>
              <c:f>'Introducción de datos'!$D$83:$D$84</c:f>
              <c:numCache>
                <c:formatCode>0</c:formatCode>
                <c:ptCount val="2"/>
                <c:pt idx="0">
                  <c:v>0</c:v>
                </c:pt>
                <c:pt idx="1">
                  <c:v>3</c:v>
                </c:pt>
              </c:numCache>
            </c:numRef>
          </c:val>
          <c:extLst>
            <c:ext xmlns:c16="http://schemas.microsoft.com/office/drawing/2014/chart" uri="{C3380CC4-5D6E-409C-BE32-E72D297353CC}">
              <c16:uniqueId val="{00000000-D2FE-4E5C-91B7-7A1E71B6CD62}"/>
            </c:ext>
          </c:extLst>
        </c:ser>
        <c:ser>
          <c:idx val="1"/>
          <c:order val="1"/>
          <c:tx>
            <c:v>Cumplidas</c:v>
          </c:tx>
          <c:spPr>
            <a:solidFill>
              <a:srgbClr val="FFFF99"/>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datos'!$B$83:$B$84</c:f>
              <c:strCache>
                <c:ptCount val="2"/>
                <c:pt idx="0">
                  <c:v> Condiciones precedentes </c:v>
                </c:pt>
                <c:pt idx="1">
                  <c:v> Acciones con fecha límite* </c:v>
                </c:pt>
              </c:strCache>
            </c:strRef>
          </c:cat>
          <c:val>
            <c:numRef>
              <c:f>'Introducción de datos'!$E$83:$E$84</c:f>
              <c:numCache>
                <c:formatCode>0</c:formatCode>
                <c:ptCount val="2"/>
                <c:pt idx="0">
                  <c:v>0</c:v>
                </c:pt>
                <c:pt idx="1">
                  <c:v>3</c:v>
                </c:pt>
              </c:numCache>
            </c:numRef>
          </c:val>
          <c:extLst>
            <c:ext xmlns:c16="http://schemas.microsoft.com/office/drawing/2014/chart" uri="{C3380CC4-5D6E-409C-BE32-E72D297353CC}">
              <c16:uniqueId val="{00000001-D2FE-4E5C-91B7-7A1E71B6CD62}"/>
            </c:ext>
          </c:extLst>
        </c:ser>
        <c:ser>
          <c:idx val="2"/>
          <c:order val="2"/>
          <c:tx>
            <c:v>No cumplidas, aunque dentro de plazo</c:v>
          </c:tx>
          <c:spPr>
            <a:solidFill>
              <a:srgbClr val="FF5050"/>
            </a:solidFill>
            <a:ln w="25400">
              <a:noFill/>
            </a:ln>
          </c:spPr>
          <c:invertIfNegative val="0"/>
          <c:dLbls>
            <c:numFmt formatCode="0" sourceLinked="0"/>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datos'!$B$83:$B$84</c:f>
              <c:strCache>
                <c:ptCount val="2"/>
                <c:pt idx="0">
                  <c:v> Condiciones precedentes </c:v>
                </c:pt>
                <c:pt idx="1">
                  <c:v> Acciones con fecha límite* </c:v>
                </c:pt>
              </c:strCache>
            </c:strRef>
          </c:cat>
          <c:val>
            <c:numRef>
              <c:f>'Introducción de datos'!$F$83:$F$84</c:f>
              <c:numCache>
                <c:formatCode>0</c:formatCode>
                <c:ptCount val="2"/>
                <c:pt idx="0">
                  <c:v>0</c:v>
                </c:pt>
                <c:pt idx="1">
                  <c:v>0</c:v>
                </c:pt>
              </c:numCache>
            </c:numRef>
          </c:val>
          <c:extLst>
            <c:ext xmlns:c16="http://schemas.microsoft.com/office/drawing/2014/chart" uri="{C3380CC4-5D6E-409C-BE32-E72D297353CC}">
              <c16:uniqueId val="{00000002-D2FE-4E5C-91B7-7A1E71B6CD62}"/>
            </c:ext>
          </c:extLst>
        </c:ser>
        <c:dLbls>
          <c:showLegendKey val="0"/>
          <c:showVal val="0"/>
          <c:showCatName val="0"/>
          <c:showSerName val="0"/>
          <c:showPercent val="0"/>
          <c:showBubbleSize val="0"/>
        </c:dLbls>
        <c:gapWidth val="70"/>
        <c:overlap val="100"/>
        <c:axId val="612630592"/>
        <c:axId val="1"/>
      </c:barChart>
      <c:catAx>
        <c:axId val="612630592"/>
        <c:scaling>
          <c:orientation val="minMax"/>
        </c:scaling>
        <c:delete val="0"/>
        <c:axPos val="l"/>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b"/>
        <c:majorGridlines>
          <c:spPr>
            <a:ln w="12700">
              <a:solidFill>
                <a:srgbClr val="000000"/>
              </a:solidFill>
              <a:prstDash val="solid"/>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SV"/>
          </a:p>
        </c:txPr>
        <c:crossAx val="612630592"/>
        <c:crossesAt val="1"/>
        <c:crossBetween val="between"/>
      </c:valAx>
      <c:spPr>
        <a:noFill/>
        <a:ln w="25400">
          <a:noFill/>
        </a:ln>
      </c:spPr>
    </c:plotArea>
    <c:legend>
      <c:legendPos val="r"/>
      <c:layout>
        <c:manualLayout>
          <c:xMode val="edge"/>
          <c:yMode val="edge"/>
          <c:x val="1.050420168067227E-2"/>
          <c:y val="0.75632401122273518"/>
          <c:w val="0.98949579831932777"/>
          <c:h val="0.17241437370142007"/>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05808353384019"/>
          <c:y val="0.17010309278350516"/>
          <c:w val="0.5594859697532294"/>
          <c:h val="0.4484536082474227"/>
        </c:manualLayout>
      </c:layout>
      <c:barChart>
        <c:barDir val="bar"/>
        <c:grouping val="percentStacked"/>
        <c:varyColors val="0"/>
        <c:ser>
          <c:idx val="0"/>
          <c:order val="0"/>
          <c:tx>
            <c:strRef>
              <c:f>'Introducción de datos'!$D$99</c:f>
              <c:strCache>
                <c:ptCount val="1"/>
                <c:pt idx="0">
                  <c:v> Recibidos </c:v>
                </c:pt>
              </c:strCache>
            </c:strRef>
          </c:tx>
          <c:spPr>
            <a:solidFill>
              <a:srgbClr val="99CC00"/>
            </a:solidFill>
            <a:ln w="25400">
              <a:noFill/>
            </a:ln>
          </c:spPr>
          <c:invertIfNegative val="0"/>
          <c:dLbls>
            <c:numFmt formatCode="0" sourceLinked="0"/>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datos'!$B$100:$B$101</c:f>
              <c:strCache>
                <c:ptCount val="2"/>
                <c:pt idx="0">
                  <c:v> Sub SR al SR </c:v>
                </c:pt>
                <c:pt idx="1">
                  <c:v> Personal Técnico al RP </c:v>
                </c:pt>
              </c:strCache>
            </c:strRef>
          </c:cat>
          <c:val>
            <c:numRef>
              <c:f>'Introducción de datos'!$D$100:$D$101</c:f>
              <c:numCache>
                <c:formatCode>0</c:formatCode>
                <c:ptCount val="2"/>
              </c:numCache>
            </c:numRef>
          </c:val>
          <c:extLst>
            <c:ext xmlns:c16="http://schemas.microsoft.com/office/drawing/2014/chart" uri="{C3380CC4-5D6E-409C-BE32-E72D297353CC}">
              <c16:uniqueId val="{00000000-33B4-419C-A302-EE1D67A3FB71}"/>
            </c:ext>
          </c:extLst>
        </c:ser>
        <c:ser>
          <c:idx val="1"/>
          <c:order val="1"/>
          <c:tx>
            <c:strRef>
              <c:f>'Introducción de datos'!$E$99</c:f>
              <c:strCache>
                <c:ptCount val="1"/>
                <c:pt idx="0">
                  <c:v> Pendientes </c:v>
                </c:pt>
              </c:strCache>
            </c:strRef>
          </c:tx>
          <c:spPr>
            <a:solidFill>
              <a:srgbClr val="FF5050"/>
            </a:solidFill>
            <a:ln w="25400">
              <a:noFill/>
            </a:ln>
          </c:spPr>
          <c:invertIfNegative val="0"/>
          <c:dLbls>
            <c:dLbl>
              <c:idx val="0"/>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1-33B4-419C-A302-EE1D67A3FB71}"/>
                </c:ext>
              </c:extLst>
            </c:dLbl>
            <c:dLbl>
              <c:idx val="1"/>
              <c:numFmt formatCode="0" sourceLinked="0"/>
              <c:spPr>
                <a:noFill/>
                <a:ln w="25400">
                  <a:noFill/>
                </a:ln>
              </c:spPr>
              <c:txPr>
                <a:bodyPr/>
                <a:lstStyle/>
                <a:p>
                  <a:pPr>
                    <a:defRPr sz="1100" b="1" i="0" u="none" strike="noStrike" baseline="0">
                      <a:solidFill>
                        <a:srgbClr val="000000"/>
                      </a:solidFill>
                      <a:latin typeface="Calibri"/>
                      <a:ea typeface="Calibri"/>
                      <a:cs typeface="Calibri"/>
                    </a:defRPr>
                  </a:pPr>
                  <a:endParaRPr lang="es-SV"/>
                </a:p>
              </c:txPr>
              <c:showLegendKey val="0"/>
              <c:showVal val="1"/>
              <c:showCatName val="0"/>
              <c:showSerName val="0"/>
              <c:showPercent val="0"/>
              <c:showBubbleSize val="0"/>
              <c:extLst>
                <c:ext xmlns:c16="http://schemas.microsoft.com/office/drawing/2014/chart" uri="{C3380CC4-5D6E-409C-BE32-E72D297353CC}">
                  <c16:uniqueId val="{00000002-33B4-419C-A302-EE1D67A3FB71}"/>
                </c:ext>
              </c:extLst>
            </c:dLbl>
            <c:numFmt formatCode="0" sourceLinked="0"/>
            <c:spPr>
              <a:noFill/>
              <a:ln w="25400">
                <a:noFill/>
              </a:ln>
            </c:spPr>
            <c:txPr>
              <a:bodyPr wrap="square" lIns="38100" tIns="19050" rIns="38100" bIns="19050" anchor="ctr">
                <a:spAutoFit/>
              </a:bodyPr>
              <a:lstStyle/>
              <a:p>
                <a:pPr>
                  <a:defRPr sz="1100" b="1" i="0" u="none" strike="noStrike" baseline="0">
                    <a:solidFill>
                      <a:srgbClr val="FFFFFF"/>
                    </a:solidFill>
                    <a:latin typeface="Calibri"/>
                    <a:ea typeface="Calibri"/>
                    <a:cs typeface="Calibri"/>
                  </a:defRPr>
                </a:pPr>
                <a:endParaRPr lang="es-SV"/>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'Introducción de datos'!$B$100:$B$101</c:f>
              <c:strCache>
                <c:ptCount val="2"/>
                <c:pt idx="0">
                  <c:v> Sub SR al SR </c:v>
                </c:pt>
                <c:pt idx="1">
                  <c:v> Personal Técnico al RP </c:v>
                </c:pt>
              </c:strCache>
            </c:strRef>
          </c:cat>
          <c:val>
            <c:numRef>
              <c:f>'Introducción de datos'!$E$100:$E$101</c:f>
              <c:numCache>
                <c:formatCode>0</c:formatCode>
                <c:ptCount val="2"/>
                <c:pt idx="0">
                  <c:v>0</c:v>
                </c:pt>
                <c:pt idx="1">
                  <c:v>0</c:v>
                </c:pt>
              </c:numCache>
            </c:numRef>
          </c:val>
          <c:extLst>
            <c:ext xmlns:c16="http://schemas.microsoft.com/office/drawing/2014/chart" uri="{C3380CC4-5D6E-409C-BE32-E72D297353CC}">
              <c16:uniqueId val="{00000003-33B4-419C-A302-EE1D67A3FB71}"/>
            </c:ext>
          </c:extLst>
        </c:ser>
        <c:dLbls>
          <c:showLegendKey val="0"/>
          <c:showVal val="0"/>
          <c:showCatName val="0"/>
          <c:showSerName val="0"/>
          <c:showPercent val="0"/>
          <c:showBubbleSize val="0"/>
        </c:dLbls>
        <c:gapWidth val="79"/>
        <c:overlap val="100"/>
        <c:axId val="612631576"/>
        <c:axId val="1"/>
      </c:barChart>
      <c:catAx>
        <c:axId val="612631576"/>
        <c:scaling>
          <c:orientation val="minMax"/>
        </c:scaling>
        <c:delete val="0"/>
        <c:axPos val="l"/>
        <c:numFmt formatCode="General" sourceLinked="1"/>
        <c:majorTickMark val="out"/>
        <c:minorTickMark val="none"/>
        <c:tickLblPos val="nextTo"/>
        <c:spPr>
          <a:ln w="12700">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1"/>
        <c:crosses val="autoZero"/>
        <c:auto val="1"/>
        <c:lblAlgn val="ctr"/>
        <c:lblOffset val="100"/>
        <c:tickLblSkip val="1"/>
        <c:tickMarkSkip val="1"/>
        <c:noMultiLvlLbl val="0"/>
      </c:catAx>
      <c:valAx>
        <c:axId val="1"/>
        <c:scaling>
          <c:orientation val="minMax"/>
        </c:scaling>
        <c:delete val="0"/>
        <c:axPos val="t"/>
        <c:majorGridlines>
          <c:spPr>
            <a:ln w="12700">
              <a:solidFill>
                <a:srgbClr val="808080"/>
              </a:solidFill>
              <a:prstDash val="solid"/>
            </a:ln>
          </c:spPr>
        </c:majorGridlines>
        <c:numFmt formatCode="0%" sourceLinked="0"/>
        <c:majorTickMark val="out"/>
        <c:minorTickMark val="none"/>
        <c:tickLblPos val="low"/>
        <c:spPr>
          <a:ln w="12700">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SV"/>
          </a:p>
        </c:txPr>
        <c:crossAx val="612631576"/>
        <c:crosses val="max"/>
        <c:crossBetween val="between"/>
      </c:valAx>
      <c:spPr>
        <a:solidFill>
          <a:srgbClr val="FFFFFF"/>
        </a:solidFill>
        <a:ln w="25400">
          <a:noFill/>
        </a:ln>
      </c:spPr>
    </c:plotArea>
    <c:legend>
      <c:legendPos val="r"/>
      <c:layout>
        <c:manualLayout>
          <c:xMode val="edge"/>
          <c:yMode val="edge"/>
          <c:x val="0.28295842148439188"/>
          <c:y val="0.67010309278350511"/>
          <c:w val="0.31350506925827509"/>
          <c:h val="0.12886597938144329"/>
        </c:manualLayout>
      </c:layout>
      <c:overlay val="0"/>
      <c:spPr>
        <a:noFill/>
        <a:ln w="25400">
          <a:noFill/>
        </a:ln>
      </c:spPr>
      <c:txPr>
        <a:bodyPr/>
        <a:lstStyle/>
        <a:p>
          <a:pPr>
            <a:defRPr sz="650" b="0" i="0" u="none" strike="noStrike" baseline="0">
              <a:solidFill>
                <a:srgbClr val="000000"/>
              </a:solidFill>
              <a:latin typeface="Calibri"/>
              <a:ea typeface="Calibri"/>
              <a:cs typeface="Calibri"/>
            </a:defRPr>
          </a:pPr>
          <a:endParaRPr lang="es-SV"/>
        </a:p>
      </c:txPr>
    </c:legend>
    <c:plotVisOnly val="1"/>
    <c:dispBlanksAs val="gap"/>
    <c:showDLblsOverMax val="0"/>
  </c:chart>
  <c:spPr>
    <a:solidFill>
      <a:srgbClr val="FFFFFF"/>
    </a:solid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246719961797867"/>
          <c:y val="0.19753205495307047"/>
          <c:w val="0.70704921858783321"/>
          <c:h val="0.38889123318885749"/>
        </c:manualLayout>
      </c:layout>
      <c:lineChart>
        <c:grouping val="standard"/>
        <c:varyColors val="0"/>
        <c:ser>
          <c:idx val="0"/>
          <c:order val="0"/>
          <c:spPr>
            <a:ln w="38100">
              <a:solidFill>
                <a:srgbClr val="000080"/>
              </a:solidFill>
              <a:prstDash val="solid"/>
            </a:ln>
          </c:spPr>
          <c:marker>
            <c:symbol val="diamond"/>
            <c:size val="6"/>
            <c:spPr>
              <a:solidFill>
                <a:srgbClr val="000080"/>
              </a:solidFill>
              <a:ln>
                <a:solidFill>
                  <a:srgbClr val="000080"/>
                </a:solidFill>
                <a:prstDash val="solid"/>
              </a:ln>
            </c:spPr>
          </c:marker>
          <c:val>
            <c:numRef>
              <c:f>'Introducción de datos'!$C$109:$N$109</c:f>
              <c:numCache>
                <c:formatCode>_(\$* #,##0.00_);_(\$* \(#,##0.00\);_(\$* \-??_);_(@_)</c:formatCode>
                <c:ptCount val="12"/>
                <c:pt idx="0" formatCode="_([$$-440A]* #,##0.00_);_([$$-440A]* \(#,##0.00\);_([$$-440A]* \-??_);_(@_)">
                  <c:v>0</c:v>
                </c:pt>
                <c:pt idx="1">
                  <c:v>0</c:v>
                </c:pt>
                <c:pt idx="2">
                  <c:v>0</c:v>
                </c:pt>
                <c:pt idx="3">
                  <c:v>0</c:v>
                </c:pt>
                <c:pt idx="9" formatCode="#.##0">
                  <c:v>0</c:v>
                </c:pt>
                <c:pt idx="10" formatCode="#.##0">
                  <c:v>0</c:v>
                </c:pt>
                <c:pt idx="11" formatCode="#.##0">
                  <c:v>0</c:v>
                </c:pt>
              </c:numCache>
            </c:numRef>
          </c:val>
          <c:smooth val="0"/>
          <c:extLst>
            <c:ext xmlns:c16="http://schemas.microsoft.com/office/drawing/2014/chart" uri="{C3380CC4-5D6E-409C-BE32-E72D297353CC}">
              <c16:uniqueId val="{00000000-99CD-4912-AB20-657A9F56680B}"/>
            </c:ext>
          </c:extLst>
        </c:ser>
        <c:ser>
          <c:idx val="1"/>
          <c:order val="1"/>
          <c:spPr>
            <a:ln w="12700">
              <a:solidFill>
                <a:srgbClr val="3366FF"/>
              </a:solidFill>
              <a:prstDash val="solid"/>
            </a:ln>
          </c:spPr>
          <c:marker>
            <c:symbol val="square"/>
            <c:size val="5"/>
            <c:spPr>
              <a:solidFill>
                <a:srgbClr val="3366FF"/>
              </a:solidFill>
              <a:ln>
                <a:solidFill>
                  <a:srgbClr val="3366FF"/>
                </a:solidFill>
                <a:prstDash val="solid"/>
              </a:ln>
            </c:spPr>
          </c:marker>
          <c:val>
            <c:numRef>
              <c:f>'Introducción de datos'!$C$110:$N$110</c:f>
              <c:numCache>
                <c:formatCode>_(\$* #,##0.00_);_(\$* \(#,##0.00\);_(\$* \-??_);_(@_)</c:formatCode>
                <c:ptCount val="12"/>
                <c:pt idx="0" formatCode="_([$$-440A]* #,##0.00_);_([$$-440A]* \(#,##0.00\);_([$$-440A]* \-??_);_(@_)">
                  <c:v>0</c:v>
                </c:pt>
                <c:pt idx="1">
                  <c:v>0</c:v>
                </c:pt>
                <c:pt idx="2">
                  <c:v>0</c:v>
                </c:pt>
                <c:pt idx="3">
                  <c:v>0</c:v>
                </c:pt>
                <c:pt idx="9" formatCode="#.##0">
                  <c:v>0</c:v>
                </c:pt>
                <c:pt idx="10" formatCode="#.##0">
                  <c:v>0</c:v>
                </c:pt>
                <c:pt idx="11" formatCode="#.##0">
                  <c:v>0</c:v>
                </c:pt>
              </c:numCache>
            </c:numRef>
          </c:val>
          <c:smooth val="0"/>
          <c:extLst>
            <c:ext xmlns:c16="http://schemas.microsoft.com/office/drawing/2014/chart" uri="{C3380CC4-5D6E-409C-BE32-E72D297353CC}">
              <c16:uniqueId val="{00000001-99CD-4912-AB20-657A9F56680B}"/>
            </c:ext>
          </c:extLst>
        </c:ser>
        <c:ser>
          <c:idx val="2"/>
          <c:order val="2"/>
          <c:spPr>
            <a:ln w="38100">
              <a:solidFill>
                <a:srgbClr val="FFCC99"/>
              </a:solidFill>
              <a:prstDash val="solid"/>
            </a:ln>
          </c:spPr>
          <c:marker>
            <c:symbol val="triangle"/>
            <c:size val="5"/>
            <c:spPr>
              <a:solidFill>
                <a:srgbClr val="FFCC99"/>
              </a:solidFill>
              <a:ln>
                <a:solidFill>
                  <a:srgbClr val="FFCC99"/>
                </a:solidFill>
                <a:prstDash val="solid"/>
              </a:ln>
            </c:spPr>
          </c:marker>
          <c:val>
            <c:numRef>
              <c:f>'Introducción de datos'!$C$111:$N$111</c:f>
              <c:numCache>
                <c:formatCode>_(\$* #,##0.00_);_(\$* \(#,##0.00\);_(\$* \-??_);_(@_)</c:formatCode>
                <c:ptCount val="12"/>
                <c:pt idx="0" formatCode="_([$$-440A]* #,##0.00_);_([$$-440A]* \(#,##0.00\);_([$$-440A]* \-??_);_(@_)">
                  <c:v>0</c:v>
                </c:pt>
                <c:pt idx="1">
                  <c:v>0</c:v>
                </c:pt>
                <c:pt idx="2">
                  <c:v>0</c:v>
                </c:pt>
                <c:pt idx="3">
                  <c:v>0</c:v>
                </c:pt>
                <c:pt idx="9" formatCode="#.##0">
                  <c:v>0</c:v>
                </c:pt>
                <c:pt idx="10" formatCode="#.##0">
                  <c:v>0</c:v>
                </c:pt>
                <c:pt idx="11" formatCode="#.##0">
                  <c:v>0</c:v>
                </c:pt>
              </c:numCache>
            </c:numRef>
          </c:val>
          <c:smooth val="0"/>
          <c:extLst>
            <c:ext xmlns:c16="http://schemas.microsoft.com/office/drawing/2014/chart" uri="{C3380CC4-5D6E-409C-BE32-E72D297353CC}">
              <c16:uniqueId val="{00000002-99CD-4912-AB20-657A9F56680B}"/>
            </c:ext>
          </c:extLst>
        </c:ser>
        <c:dLbls>
          <c:showLegendKey val="0"/>
          <c:showVal val="0"/>
          <c:showCatName val="0"/>
          <c:showSerName val="0"/>
          <c:showPercent val="0"/>
          <c:showBubbleSize val="0"/>
        </c:dLbls>
        <c:marker val="1"/>
        <c:smooth val="0"/>
        <c:axId val="617043280"/>
        <c:axId val="1"/>
      </c:lineChart>
      <c:catAx>
        <c:axId val="617043280"/>
        <c:scaling>
          <c:orientation val="minMax"/>
        </c:scaling>
        <c:delete val="0"/>
        <c:axPos val="b"/>
        <c:numFmt formatCode="General" sourceLinked="1"/>
        <c:majorTickMark val="out"/>
        <c:minorTickMark val="none"/>
        <c:tickLblPos val="nextTo"/>
        <c:spPr>
          <a:ln w="12700">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s-SV"/>
          </a:p>
        </c:txPr>
        <c:crossAx val="1"/>
        <c:crosses val="autoZero"/>
        <c:auto val="1"/>
        <c:lblAlgn val="ctr"/>
        <c:lblOffset val="100"/>
        <c:tickLblSkip val="1"/>
        <c:tickMarkSkip val="1"/>
        <c:noMultiLvlLbl val="0"/>
      </c:catAx>
      <c:valAx>
        <c:axId val="1"/>
        <c:scaling>
          <c:orientation val="minMax"/>
        </c:scaling>
        <c:delete val="0"/>
        <c:axPos val="l"/>
        <c:majorGridlines>
          <c:spPr>
            <a:ln w="12700">
              <a:solidFill>
                <a:srgbClr val="000000"/>
              </a:solidFill>
              <a:prstDash val="solid"/>
            </a:ln>
          </c:spPr>
        </c:majorGridlines>
        <c:numFmt formatCode="_([$$-440A]* #,##0.00_);_([$$-440A]* \(#,##0.00\);_([$$-440A]* \-??_);_(@_)" sourceLinked="0"/>
        <c:majorTickMark val="out"/>
        <c:minorTickMark val="none"/>
        <c:tickLblPos val="nextTo"/>
        <c:spPr>
          <a:ln w="12700">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s-SV"/>
          </a:p>
        </c:txPr>
        <c:crossAx val="617043280"/>
        <c:crossesAt val="1"/>
        <c:crossBetween val="midCat"/>
      </c:valAx>
      <c:spPr>
        <a:solidFill>
          <a:srgbClr val="FFFFFF"/>
        </a:solidFill>
        <a:ln w="12700">
          <a:solidFill>
            <a:srgbClr val="808080"/>
          </a:solidFill>
          <a:prstDash val="solid"/>
        </a:ln>
      </c:spPr>
    </c:plotArea>
    <c:legend>
      <c:legendPos val="r"/>
      <c:layout>
        <c:manualLayout>
          <c:xMode val="edge"/>
          <c:yMode val="edge"/>
          <c:x val="1.101322770386033E-2"/>
          <c:y val="0.6234605484456287"/>
          <c:w val="0.88766615293114259"/>
          <c:h val="0.20370493167035392"/>
        </c:manualLayout>
      </c:layout>
      <c:overlay val="0"/>
      <c:spPr>
        <a:noFill/>
        <a:ln w="25400">
          <a:noFill/>
        </a:ln>
      </c:spPr>
      <c:txPr>
        <a:bodyPr/>
        <a:lstStyle/>
        <a:p>
          <a:pPr>
            <a:defRPr sz="450" b="0" i="0" u="none" strike="noStrike" baseline="0">
              <a:solidFill>
                <a:srgbClr val="000000"/>
              </a:solidFill>
              <a:latin typeface="Arial"/>
              <a:ea typeface="Arial"/>
              <a:cs typeface="Arial"/>
            </a:defRPr>
          </a:pPr>
          <a:endParaRPr lang="es-SV"/>
        </a:p>
      </c:txPr>
    </c:legend>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es-SV"/>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Informaci&#243;n de la subvenci&#243;n'!A1"/><Relationship Id="rId13" Type="http://schemas.openxmlformats.org/officeDocument/2006/relationships/image" Target="../media/image5.png"/><Relationship Id="rId3" Type="http://schemas.openxmlformats.org/officeDocument/2006/relationships/hyperlink" Target="#Financiamiento!A1"/><Relationship Id="rId7" Type="http://schemas.openxmlformats.org/officeDocument/2006/relationships/hyperlink" Target="#Accione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endaciones!A1"/><Relationship Id="rId11" Type="http://schemas.openxmlformats.org/officeDocument/2006/relationships/image" Target="../media/image3.png"/><Relationship Id="rId5" Type="http://schemas.openxmlformats.org/officeDocument/2006/relationships/hyperlink" Target="#Gesti&#243;n!A1"/><Relationship Id="rId10" Type="http://schemas.openxmlformats.org/officeDocument/2006/relationships/hyperlink" Target="#'Introducci&#243;n de datos'!A1"/><Relationship Id="rId4" Type="http://schemas.openxmlformats.org/officeDocument/2006/relationships/hyperlink" Target="#Programatico!A1"/><Relationship Id="rId9" Type="http://schemas.openxmlformats.org/officeDocument/2006/relationships/hyperlink" Target="#'Lista de indicadores'!A1"/></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Men&#250;!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hyperlink" Target="#Men&#250;!A1"/><Relationship Id="rId5" Type="http://schemas.openxmlformats.org/officeDocument/2006/relationships/chart" Target="../charts/chart9.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3" Type="http://schemas.openxmlformats.org/officeDocument/2006/relationships/hyperlink" Target="#Men&#250;!A1"/><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1" Type="http://schemas.openxmlformats.org/officeDocument/2006/relationships/hyperlink" Target="#Men&#250;!A1"/></Relationships>
</file>

<file path=xl/drawings/_rels/drawing9.xml.rels><?xml version="1.0" encoding="UTF-8" standalone="yes"?>
<Relationships xmlns="http://schemas.openxmlformats.org/package/2006/relationships"><Relationship Id="rId1" Type="http://schemas.openxmlformats.org/officeDocument/2006/relationships/hyperlink" Target="#Men&#250;!A1"/></Relationships>
</file>

<file path=xl/drawings/drawing1.xml><?xml version="1.0" encoding="utf-8"?>
<xdr:wsDr xmlns:xdr="http://schemas.openxmlformats.org/drawingml/2006/spreadsheetDrawing" xmlns:a="http://schemas.openxmlformats.org/drawingml/2006/main">
  <xdr:twoCellAnchor>
    <xdr:from>
      <xdr:col>0</xdr:col>
      <xdr:colOff>57150</xdr:colOff>
      <xdr:row>4</xdr:row>
      <xdr:rowOff>133350</xdr:rowOff>
    </xdr:from>
    <xdr:to>
      <xdr:col>11</xdr:col>
      <xdr:colOff>676275</xdr:colOff>
      <xdr:row>19</xdr:row>
      <xdr:rowOff>85725</xdr:rowOff>
    </xdr:to>
    <xdr:pic>
      <xdr:nvPicPr>
        <xdr:cNvPr id="1025" name="Picture 2">
          <a:extLst>
            <a:ext uri="{FF2B5EF4-FFF2-40B4-BE49-F238E27FC236}">
              <a16:creationId xmlns:a16="http://schemas.microsoft.com/office/drawing/2014/main" id="{ACFB46DF-D3B0-4C30-B378-797BD83A4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351" t="36850" r="9526"/>
        <a:stretch>
          <a:fillRect/>
        </a:stretch>
      </xdr:blipFill>
      <xdr:spPr bwMode="auto">
        <a:xfrm>
          <a:off x="57150" y="1371600"/>
          <a:ext cx="7658100" cy="28098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l="31351" t="36850" r="9526"/>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695325</xdr:colOff>
      <xdr:row>7</xdr:row>
      <xdr:rowOff>38100</xdr:rowOff>
    </xdr:from>
    <xdr:to>
      <xdr:col>11</xdr:col>
      <xdr:colOff>581025</xdr:colOff>
      <xdr:row>18</xdr:row>
      <xdr:rowOff>133350</xdr:rowOff>
    </xdr:to>
    <xdr:pic>
      <xdr:nvPicPr>
        <xdr:cNvPr id="1026" name="Picture 824">
          <a:extLst>
            <a:ext uri="{FF2B5EF4-FFF2-40B4-BE49-F238E27FC236}">
              <a16:creationId xmlns:a16="http://schemas.microsoft.com/office/drawing/2014/main" id="{B1916C4B-8973-4EB9-B716-5A674224EF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847850"/>
          <a:ext cx="2276475" cy="21907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276225</xdr:colOff>
      <xdr:row>7</xdr:row>
      <xdr:rowOff>85725</xdr:rowOff>
    </xdr:from>
    <xdr:to>
      <xdr:col>7</xdr:col>
      <xdr:colOff>571500</xdr:colOff>
      <xdr:row>18</xdr:row>
      <xdr:rowOff>38100</xdr:rowOff>
    </xdr:to>
    <xdr:sp macro="" textlink="">
      <xdr:nvSpPr>
        <xdr:cNvPr id="1027" name="AutoShape 27">
          <a:extLst>
            <a:ext uri="{FF2B5EF4-FFF2-40B4-BE49-F238E27FC236}">
              <a16:creationId xmlns:a16="http://schemas.microsoft.com/office/drawing/2014/main" id="{CC7591F8-63D7-47F2-BA74-82A441DF2132}"/>
            </a:ext>
          </a:extLst>
        </xdr:cNvPr>
        <xdr:cNvSpPr>
          <a:spLocks noChangeArrowheads="1"/>
        </xdr:cNvSpPr>
      </xdr:nvSpPr>
      <xdr:spPr bwMode="auto">
        <a:xfrm>
          <a:off x="2638425" y="1895475"/>
          <a:ext cx="2581275" cy="2047875"/>
        </a:xfrm>
        <a:custGeom>
          <a:avLst/>
          <a:gdLst>
            <a:gd name="G0" fmla="*/ 1 0 0"/>
            <a:gd name="G1" fmla="+- G0 0 13375"/>
            <a:gd name="G2" fmla="*/ 1 0 0"/>
            <a:gd name="G3" fmla="+- 50000 0 13375"/>
            <a:gd name="G4" fmla="?: G3 13375 50000"/>
            <a:gd name="G5" fmla="?: G1 G2 G3"/>
            <a:gd name="G6" fmla="min 7562 5693"/>
            <a:gd name="G7" fmla="*/ G6 G5 1"/>
            <a:gd name="G8" fmla="*/ G7 1 34464"/>
            <a:gd name="G9" fmla="+- 7562 0 G8"/>
            <a:gd name="G10" fmla="+- 5693 0 G8"/>
            <a:gd name="G11" fmla="*/ G8 29289 1"/>
            <a:gd name="G12" fmla="*/ G11 1 34464"/>
            <a:gd name="G13" fmla="+- 7562 0 G12"/>
            <a:gd name="G14" fmla="+- 5693 0 G12"/>
            <a:gd name="G15" fmla="*/ 7562 1 2"/>
            <a:gd name="G16" fmla="*/ 5693 1 2"/>
            <a:gd name="G17" fmla="+- 5693 0 0"/>
            <a:gd name="G18" fmla="+- 7562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6050"/>
              </a:moveTo>
              <a:lnTo>
                <a:pt x="6050" y="6050"/>
              </a:lnTo>
              <a:lnTo>
                <a:pt x="180" y="90"/>
              </a:lnTo>
              <a:lnTo>
                <a:pt x="1512" y="0"/>
              </a:lnTo>
              <a:lnTo>
                <a:pt x="6050" y="6050"/>
              </a:lnTo>
              <a:lnTo>
                <a:pt x="270" y="90"/>
              </a:lnTo>
              <a:lnTo>
                <a:pt x="7562" y="-357"/>
              </a:lnTo>
              <a:lnTo>
                <a:pt x="6050" y="6050"/>
              </a:lnTo>
              <a:close/>
            </a:path>
          </a:pathLst>
        </a:custGeom>
        <a:gradFill rotWithShape="0">
          <a:gsLst>
            <a:gs pos="0">
              <a:srgbClr val="D48886"/>
            </a:gs>
            <a:gs pos="100000">
              <a:srgbClr val="B24B48"/>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314325</xdr:colOff>
      <xdr:row>10</xdr:row>
      <xdr:rowOff>38100</xdr:rowOff>
    </xdr:from>
    <xdr:to>
      <xdr:col>6</xdr:col>
      <xdr:colOff>609600</xdr:colOff>
      <xdr:row>12</xdr:row>
      <xdr:rowOff>28575</xdr:rowOff>
    </xdr:to>
    <xdr:sp macro="" textlink="">
      <xdr:nvSpPr>
        <xdr:cNvPr id="1028" name="AutoShape 26">
          <a:extLst>
            <a:ext uri="{FF2B5EF4-FFF2-40B4-BE49-F238E27FC236}">
              <a16:creationId xmlns:a16="http://schemas.microsoft.com/office/drawing/2014/main" id="{8E4D9DA6-E39E-428B-B89D-460EC20E871E}"/>
            </a:ext>
          </a:extLst>
        </xdr:cNvPr>
        <xdr:cNvSpPr>
          <a:spLocks noChangeArrowheads="1"/>
        </xdr:cNvSpPr>
      </xdr:nvSpPr>
      <xdr:spPr bwMode="auto">
        <a:xfrm>
          <a:off x="3438525" y="2419350"/>
          <a:ext cx="1057275" cy="371475"/>
        </a:xfrm>
        <a:custGeom>
          <a:avLst/>
          <a:gdLst>
            <a:gd name="G0" fmla="*/ 1 0 0"/>
            <a:gd name="G1" fmla="+- G0 0 13152"/>
            <a:gd name="G2" fmla="*/ 1 0 0"/>
            <a:gd name="G3" fmla="+- 50000 0 13152"/>
            <a:gd name="G4" fmla="?: G3 13152 50000"/>
            <a:gd name="G5" fmla="?: G1 G2 G3"/>
            <a:gd name="G6" fmla="min 3127 1037"/>
            <a:gd name="G7" fmla="*/ G6 G5 1"/>
            <a:gd name="G8" fmla="*/ G7 1 34464"/>
            <a:gd name="G9" fmla="+- 3127 0 G8"/>
            <a:gd name="G10" fmla="+- 1037 0 G8"/>
            <a:gd name="G11" fmla="*/ G8 29289 1"/>
            <a:gd name="G12" fmla="*/ G11 1 34464"/>
            <a:gd name="G13" fmla="+- 3127 0 G12"/>
            <a:gd name="G14" fmla="+- 1037 0 G12"/>
            <a:gd name="G15" fmla="*/ 3127 1 2"/>
            <a:gd name="G16" fmla="*/ 1037 1 2"/>
            <a:gd name="G17" fmla="+- 1037 0 0"/>
            <a:gd name="G18" fmla="+- 3127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109"/>
              </a:moveTo>
              <a:lnTo>
                <a:pt x="1109" y="1109"/>
              </a:lnTo>
              <a:lnTo>
                <a:pt x="180" y="90"/>
              </a:lnTo>
              <a:lnTo>
                <a:pt x="2018" y="0"/>
              </a:lnTo>
              <a:lnTo>
                <a:pt x="1109" y="1109"/>
              </a:lnTo>
              <a:lnTo>
                <a:pt x="270" y="90"/>
              </a:lnTo>
              <a:lnTo>
                <a:pt x="3127" y="-72"/>
              </a:lnTo>
              <a:lnTo>
                <a:pt x="1109" y="1109"/>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5</xdr:col>
      <xdr:colOff>323850</xdr:colOff>
      <xdr:row>10</xdr:row>
      <xdr:rowOff>76200</xdr:rowOff>
    </xdr:from>
    <xdr:to>
      <xdr:col>6</xdr:col>
      <xdr:colOff>600075</xdr:colOff>
      <xdr:row>11</xdr:row>
      <xdr:rowOff>180975</xdr:rowOff>
    </xdr:to>
    <xdr:sp macro="" textlink="" fLocksText="0">
      <xdr:nvSpPr>
        <xdr:cNvPr id="1029" name="AutoShape 27">
          <a:hlinkClick xmlns:r="http://schemas.openxmlformats.org/officeDocument/2006/relationships" r:id="rId3"/>
          <a:extLst>
            <a:ext uri="{FF2B5EF4-FFF2-40B4-BE49-F238E27FC236}">
              <a16:creationId xmlns:a16="http://schemas.microsoft.com/office/drawing/2014/main" id="{1DEBAA4B-9467-4EA1-804F-35849F9B6256}"/>
            </a:ext>
          </a:extLst>
        </xdr:cNvPr>
        <xdr:cNvSpPr>
          <a:spLocks noChangeArrowheads="1"/>
        </xdr:cNvSpPr>
      </xdr:nvSpPr>
      <xdr:spPr bwMode="auto">
        <a:xfrm>
          <a:off x="3448050" y="2457450"/>
          <a:ext cx="1038225" cy="295275"/>
        </a:xfrm>
        <a:custGeom>
          <a:avLst/>
          <a:gdLst>
            <a:gd name="G0" fmla="*/ 1 0 0"/>
            <a:gd name="G1" fmla="+- G0 0 13375"/>
            <a:gd name="G2" fmla="*/ 1 0 0"/>
            <a:gd name="G3" fmla="+- 50000 0 13375"/>
            <a:gd name="G4" fmla="?: G3 13375 50000"/>
            <a:gd name="G5" fmla="?: G1 G2 G3"/>
            <a:gd name="G6" fmla="min 3048 825"/>
            <a:gd name="G7" fmla="*/ G6 G5 1"/>
            <a:gd name="G8" fmla="*/ G7 1 34464"/>
            <a:gd name="G9" fmla="+- 3048 0 G8"/>
            <a:gd name="G10" fmla="+- 825 0 G8"/>
            <a:gd name="G11" fmla="*/ G8 29289 1"/>
            <a:gd name="G12" fmla="*/ G11 1 34464"/>
            <a:gd name="G13" fmla="+- 3048 0 G12"/>
            <a:gd name="G14" fmla="+- 825 0 G12"/>
            <a:gd name="G15" fmla="*/ 3048 1 2"/>
            <a:gd name="G16" fmla="*/ 825 1 2"/>
            <a:gd name="G17" fmla="+- 825 0 0"/>
            <a:gd name="G18" fmla="+- 3048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877"/>
              </a:moveTo>
              <a:lnTo>
                <a:pt x="877" y="877"/>
              </a:lnTo>
              <a:lnTo>
                <a:pt x="180" y="90"/>
              </a:lnTo>
              <a:lnTo>
                <a:pt x="2171" y="0"/>
              </a:lnTo>
              <a:lnTo>
                <a:pt x="877" y="877"/>
              </a:lnTo>
              <a:lnTo>
                <a:pt x="270" y="90"/>
              </a:lnTo>
              <a:lnTo>
                <a:pt x="3048" y="-52"/>
              </a:lnTo>
              <a:lnTo>
                <a:pt x="877" y="877"/>
              </a:lnTo>
              <a:close/>
            </a:path>
          </a:pathLst>
        </a:custGeom>
        <a:gradFill rotWithShape="0">
          <a:gsLst>
            <a:gs pos="0">
              <a:srgbClr val="C0504D"/>
            </a:gs>
            <a:gs pos="100000">
              <a:srgbClr val="863836"/>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Financieros</a:t>
          </a:r>
        </a:p>
      </xdr:txBody>
    </xdr:sp>
    <xdr:clientData/>
  </xdr:twoCellAnchor>
  <xdr:twoCellAnchor>
    <xdr:from>
      <xdr:col>5</xdr:col>
      <xdr:colOff>323850</xdr:colOff>
      <xdr:row>10</xdr:row>
      <xdr:rowOff>85725</xdr:rowOff>
    </xdr:from>
    <xdr:to>
      <xdr:col>5</xdr:col>
      <xdr:colOff>438150</xdr:colOff>
      <xdr:row>11</xdr:row>
      <xdr:rowOff>38100</xdr:rowOff>
    </xdr:to>
    <xdr:sp macro="" textlink="">
      <xdr:nvSpPr>
        <xdr:cNvPr id="1030" name="Freeform 28">
          <a:extLst>
            <a:ext uri="{FF2B5EF4-FFF2-40B4-BE49-F238E27FC236}">
              <a16:creationId xmlns:a16="http://schemas.microsoft.com/office/drawing/2014/main" id="{A7CDD246-0D2D-483C-AC8E-EB9A1131004B}"/>
            </a:ext>
          </a:extLst>
        </xdr:cNvPr>
        <xdr:cNvSpPr>
          <a:spLocks noChangeArrowheads="1"/>
        </xdr:cNvSpPr>
      </xdr:nvSpPr>
      <xdr:spPr bwMode="auto">
        <a:xfrm>
          <a:off x="3448050" y="2466975"/>
          <a:ext cx="114300" cy="142875"/>
        </a:xfrm>
        <a:custGeom>
          <a:avLst/>
          <a:gdLst>
            <a:gd name="G0" fmla="*/ 65534 318 1"/>
            <a:gd name="G1" fmla="*/ G0 1 596"/>
            <a:gd name="G2" fmla="*/ 1 0 0"/>
            <a:gd name="G3" fmla="*/ G2 402 1"/>
            <a:gd name="G4" fmla="*/ G3 1 598"/>
            <a:gd name="G5" fmla="*/ 1 0 0"/>
            <a:gd name="G6" fmla="*/ G5 318 1"/>
            <a:gd name="G7" fmla="*/ G6 1 596"/>
            <a:gd name="G8" fmla="*/ 65534 402 1"/>
            <a:gd name="G9" fmla="*/ G8 1 598"/>
            <a:gd name="G10" fmla="*/ 1 0 0"/>
            <a:gd name="G11" fmla="*/ G10 318 1"/>
            <a:gd name="G12" fmla="*/ G11 1 596"/>
            <a:gd name="G13" fmla="*/ 65534 402 1"/>
            <a:gd name="G14" fmla="*/ G13 1 598"/>
            <a:gd name="G15" fmla="*/ 65534 318 1"/>
            <a:gd name="G16" fmla="*/ G15 1 596"/>
            <a:gd name="G17" fmla="*/ 65534 402 1"/>
            <a:gd name="G18" fmla="*/ G17 1 598"/>
            <a:gd name="G19" fmla="*/ 65534 318 1"/>
            <a:gd name="G20" fmla="*/ G19 1 596"/>
            <a:gd name="G21" fmla="*/ 1 0 0"/>
            <a:gd name="G22" fmla="*/ G21 402 1"/>
            <a:gd name="G23" fmla="*/ G22 1 598"/>
            <a:gd name="G24" fmla="*/ 65534 318 1"/>
            <a:gd name="G25" fmla="*/ G24 1 596"/>
            <a:gd name="G26" fmla="*/ 1 0 0"/>
            <a:gd name="G27" fmla="*/ G26 402 1"/>
            <a:gd name="G28" fmla="*/ G27 1 598"/>
            <a:gd name="G29" fmla="*/ 1 0 0"/>
            <a:gd name="G30" fmla="*/ 1 0 0"/>
            <a:gd name="G31" fmla="*/ 1 0 0"/>
            <a:gd name="G32" fmla="*/ 1 0 0"/>
            <a:gd name="G33" fmla="*/ 1 0 0"/>
            <a:gd name="G34" fmla="*/ 1 0 0"/>
            <a:gd name="G35" fmla="*/ 1 0 0"/>
            <a:gd name="G36" fmla="*/ G35 318 1"/>
            <a:gd name="G37" fmla="*/ G36 1 596"/>
            <a:gd name="G38" fmla="*/ 1 0 0"/>
            <a:gd name="G39" fmla="*/ G38 402 1"/>
            <a:gd name="G40" fmla="*/ G39 1 598"/>
            <a:gd name="G41" fmla="*/ 596 318 1"/>
            <a:gd name="G42" fmla="*/ G41 1 596"/>
            <a:gd name="G43" fmla="*/ 598 402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314325</xdr:colOff>
      <xdr:row>15</xdr:row>
      <xdr:rowOff>171450</xdr:rowOff>
    </xdr:from>
    <xdr:to>
      <xdr:col>6</xdr:col>
      <xdr:colOff>609600</xdr:colOff>
      <xdr:row>17</xdr:row>
      <xdr:rowOff>133350</xdr:rowOff>
    </xdr:to>
    <xdr:sp macro="" textlink="">
      <xdr:nvSpPr>
        <xdr:cNvPr id="1031" name="AutoShape 26">
          <a:extLst>
            <a:ext uri="{FF2B5EF4-FFF2-40B4-BE49-F238E27FC236}">
              <a16:creationId xmlns:a16="http://schemas.microsoft.com/office/drawing/2014/main" id="{275910D8-B4E2-4C26-9F37-F6C0695694A8}"/>
            </a:ext>
          </a:extLst>
        </xdr:cNvPr>
        <xdr:cNvSpPr>
          <a:spLocks noChangeArrowheads="1"/>
        </xdr:cNvSpPr>
      </xdr:nvSpPr>
      <xdr:spPr bwMode="auto">
        <a:xfrm>
          <a:off x="3438525" y="3505200"/>
          <a:ext cx="1057275" cy="342900"/>
        </a:xfrm>
        <a:custGeom>
          <a:avLst/>
          <a:gdLst>
            <a:gd name="G0" fmla="*/ 1 0 0"/>
            <a:gd name="G1" fmla="+- G0 0 13152"/>
            <a:gd name="G2" fmla="*/ 1 0 0"/>
            <a:gd name="G3" fmla="+- 50000 0 13152"/>
            <a:gd name="G4" fmla="?: G3 13152 50000"/>
            <a:gd name="G5" fmla="?: G1 G2 G3"/>
            <a:gd name="G6" fmla="min 3106 973"/>
            <a:gd name="G7" fmla="*/ G6 G5 1"/>
            <a:gd name="G8" fmla="*/ G7 1 34464"/>
            <a:gd name="G9" fmla="+- 3106 0 G8"/>
            <a:gd name="G10" fmla="+- 973 0 G8"/>
            <a:gd name="G11" fmla="*/ G8 29289 1"/>
            <a:gd name="G12" fmla="*/ G11 1 34464"/>
            <a:gd name="G13" fmla="+- 3106 0 G12"/>
            <a:gd name="G14" fmla="+- 973 0 G12"/>
            <a:gd name="G15" fmla="*/ 3106 1 2"/>
            <a:gd name="G16" fmla="*/ 973 1 2"/>
            <a:gd name="G17" fmla="+- 973 0 0"/>
            <a:gd name="G18" fmla="+- 3106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040"/>
              </a:moveTo>
              <a:lnTo>
                <a:pt x="1040" y="1040"/>
              </a:lnTo>
              <a:lnTo>
                <a:pt x="180" y="90"/>
              </a:lnTo>
              <a:lnTo>
                <a:pt x="2066" y="0"/>
              </a:lnTo>
              <a:lnTo>
                <a:pt x="1040" y="1040"/>
              </a:lnTo>
              <a:lnTo>
                <a:pt x="270" y="90"/>
              </a:lnTo>
              <a:lnTo>
                <a:pt x="3106" y="-67"/>
              </a:lnTo>
              <a:lnTo>
                <a:pt x="1040" y="1040"/>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5</xdr:col>
      <xdr:colOff>333375</xdr:colOff>
      <xdr:row>16</xdr:row>
      <xdr:rowOff>28575</xdr:rowOff>
    </xdr:from>
    <xdr:to>
      <xdr:col>6</xdr:col>
      <xdr:colOff>628650</xdr:colOff>
      <xdr:row>17</xdr:row>
      <xdr:rowOff>104775</xdr:rowOff>
    </xdr:to>
    <xdr:sp macro="" textlink="" fLocksText="0">
      <xdr:nvSpPr>
        <xdr:cNvPr id="1032" name="AutoShape 27">
          <a:hlinkClick xmlns:r="http://schemas.openxmlformats.org/officeDocument/2006/relationships" r:id="rId4"/>
          <a:extLst>
            <a:ext uri="{FF2B5EF4-FFF2-40B4-BE49-F238E27FC236}">
              <a16:creationId xmlns:a16="http://schemas.microsoft.com/office/drawing/2014/main" id="{93D7E896-CFC1-4482-839B-D0CA0CBB93C2}"/>
            </a:ext>
          </a:extLst>
        </xdr:cNvPr>
        <xdr:cNvSpPr>
          <a:spLocks noChangeArrowheads="1"/>
        </xdr:cNvSpPr>
      </xdr:nvSpPr>
      <xdr:spPr bwMode="auto">
        <a:xfrm>
          <a:off x="3457575" y="3552825"/>
          <a:ext cx="1057275" cy="266700"/>
        </a:xfrm>
        <a:custGeom>
          <a:avLst/>
          <a:gdLst>
            <a:gd name="G0" fmla="*/ 1 0 0"/>
            <a:gd name="G1" fmla="+- G0 0 13375"/>
            <a:gd name="G2" fmla="*/ 1 0 0"/>
            <a:gd name="G3" fmla="+- 50000 0 13375"/>
            <a:gd name="G4" fmla="?: G3 13375 50000"/>
            <a:gd name="G5" fmla="?: G1 G2 G3"/>
            <a:gd name="G6" fmla="min 3101 719"/>
            <a:gd name="G7" fmla="*/ G6 G5 1"/>
            <a:gd name="G8" fmla="*/ G7 1 34464"/>
            <a:gd name="G9" fmla="+- 3101 0 G8"/>
            <a:gd name="G10" fmla="+- 719 0 G8"/>
            <a:gd name="G11" fmla="*/ G8 29289 1"/>
            <a:gd name="G12" fmla="*/ G11 1 34464"/>
            <a:gd name="G13" fmla="+- 3101 0 G12"/>
            <a:gd name="G14" fmla="+- 719 0 G12"/>
            <a:gd name="G15" fmla="*/ 3101 1 2"/>
            <a:gd name="G16" fmla="*/ 719 1 2"/>
            <a:gd name="G17" fmla="+- 719 0 0"/>
            <a:gd name="G18" fmla="+- 3101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764"/>
              </a:moveTo>
              <a:lnTo>
                <a:pt x="764" y="764"/>
              </a:lnTo>
              <a:lnTo>
                <a:pt x="180" y="90"/>
              </a:lnTo>
              <a:lnTo>
                <a:pt x="2337" y="0"/>
              </a:lnTo>
              <a:lnTo>
                <a:pt x="764" y="764"/>
              </a:lnTo>
              <a:lnTo>
                <a:pt x="270" y="90"/>
              </a:lnTo>
              <a:lnTo>
                <a:pt x="3101" y="-45"/>
              </a:lnTo>
              <a:lnTo>
                <a:pt x="764" y="764"/>
              </a:lnTo>
              <a:close/>
            </a:path>
          </a:pathLst>
        </a:custGeom>
        <a:gradFill rotWithShape="0">
          <a:gsLst>
            <a:gs pos="0">
              <a:srgbClr val="C0504D"/>
            </a:gs>
            <a:gs pos="100000">
              <a:srgbClr val="863836"/>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Programáticos</a:t>
          </a:r>
        </a:p>
      </xdr:txBody>
    </xdr:sp>
    <xdr:clientData/>
  </xdr:twoCellAnchor>
  <xdr:twoCellAnchor>
    <xdr:from>
      <xdr:col>5</xdr:col>
      <xdr:colOff>371475</xdr:colOff>
      <xdr:row>16</xdr:row>
      <xdr:rowOff>19050</xdr:rowOff>
    </xdr:from>
    <xdr:to>
      <xdr:col>5</xdr:col>
      <xdr:colOff>476250</xdr:colOff>
      <xdr:row>16</xdr:row>
      <xdr:rowOff>171450</xdr:rowOff>
    </xdr:to>
    <xdr:sp macro="" textlink="">
      <xdr:nvSpPr>
        <xdr:cNvPr id="1033" name="Freeform 28">
          <a:extLst>
            <a:ext uri="{FF2B5EF4-FFF2-40B4-BE49-F238E27FC236}">
              <a16:creationId xmlns:a16="http://schemas.microsoft.com/office/drawing/2014/main" id="{A4E2BB1B-A181-4BED-B90F-A116DF37425F}"/>
            </a:ext>
          </a:extLst>
        </xdr:cNvPr>
        <xdr:cNvSpPr>
          <a:spLocks noChangeArrowheads="1"/>
        </xdr:cNvSpPr>
      </xdr:nvSpPr>
      <xdr:spPr bwMode="auto">
        <a:xfrm>
          <a:off x="3495675" y="3543300"/>
          <a:ext cx="104775" cy="152400"/>
        </a:xfrm>
        <a:custGeom>
          <a:avLst/>
          <a:gdLst>
            <a:gd name="G0" fmla="*/ 65534 296 1"/>
            <a:gd name="G1" fmla="*/ G0 1 596"/>
            <a:gd name="G2" fmla="*/ 1 0 0"/>
            <a:gd name="G3" fmla="*/ G2 423 1"/>
            <a:gd name="G4" fmla="*/ G3 1 598"/>
            <a:gd name="G5" fmla="*/ 1 0 0"/>
            <a:gd name="G6" fmla="*/ G5 296 1"/>
            <a:gd name="G7" fmla="*/ G6 1 596"/>
            <a:gd name="G8" fmla="*/ 65534 423 1"/>
            <a:gd name="G9" fmla="*/ G8 1 598"/>
            <a:gd name="G10" fmla="*/ 1 0 0"/>
            <a:gd name="G11" fmla="*/ G10 296 1"/>
            <a:gd name="G12" fmla="*/ G11 1 596"/>
            <a:gd name="G13" fmla="*/ 65534 423 1"/>
            <a:gd name="G14" fmla="*/ G13 1 598"/>
            <a:gd name="G15" fmla="*/ 65534 296 1"/>
            <a:gd name="G16" fmla="*/ G15 1 596"/>
            <a:gd name="G17" fmla="*/ 65534 423 1"/>
            <a:gd name="G18" fmla="*/ G17 1 598"/>
            <a:gd name="G19" fmla="*/ 65534 296 1"/>
            <a:gd name="G20" fmla="*/ G19 1 596"/>
            <a:gd name="G21" fmla="*/ 1 0 0"/>
            <a:gd name="G22" fmla="*/ G21 423 1"/>
            <a:gd name="G23" fmla="*/ G22 1 598"/>
            <a:gd name="G24" fmla="*/ 65534 296 1"/>
            <a:gd name="G25" fmla="*/ G24 1 596"/>
            <a:gd name="G26" fmla="*/ 1 0 0"/>
            <a:gd name="G27" fmla="*/ G26 423 1"/>
            <a:gd name="G28" fmla="*/ G27 1 598"/>
            <a:gd name="G29" fmla="*/ 1 0 0"/>
            <a:gd name="G30" fmla="*/ 1 0 0"/>
            <a:gd name="G31" fmla="*/ 1 0 0"/>
            <a:gd name="G32" fmla="*/ 1 0 0"/>
            <a:gd name="G33" fmla="*/ 1 0 0"/>
            <a:gd name="G34" fmla="*/ 1 0 0"/>
            <a:gd name="G35" fmla="*/ 1 0 0"/>
            <a:gd name="G36" fmla="*/ G35 296 1"/>
            <a:gd name="G37" fmla="*/ G36 1 596"/>
            <a:gd name="G38" fmla="*/ 1 0 0"/>
            <a:gd name="G39" fmla="*/ G38 423 1"/>
            <a:gd name="G40" fmla="*/ G39 1 598"/>
            <a:gd name="G41" fmla="*/ 596 296 1"/>
            <a:gd name="G42" fmla="*/ G41 1 596"/>
            <a:gd name="G43" fmla="*/ 598 423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314325</xdr:colOff>
      <xdr:row>12</xdr:row>
      <xdr:rowOff>180975</xdr:rowOff>
    </xdr:from>
    <xdr:to>
      <xdr:col>6</xdr:col>
      <xdr:colOff>609600</xdr:colOff>
      <xdr:row>14</xdr:row>
      <xdr:rowOff>180975</xdr:rowOff>
    </xdr:to>
    <xdr:sp macro="" textlink="">
      <xdr:nvSpPr>
        <xdr:cNvPr id="1034" name="AutoShape 26">
          <a:extLst>
            <a:ext uri="{FF2B5EF4-FFF2-40B4-BE49-F238E27FC236}">
              <a16:creationId xmlns:a16="http://schemas.microsoft.com/office/drawing/2014/main" id="{C1DF089F-C827-4E77-B1F8-4E06A0BDB251}"/>
            </a:ext>
          </a:extLst>
        </xdr:cNvPr>
        <xdr:cNvSpPr>
          <a:spLocks noChangeArrowheads="1"/>
        </xdr:cNvSpPr>
      </xdr:nvSpPr>
      <xdr:spPr bwMode="auto">
        <a:xfrm>
          <a:off x="3438525" y="2943225"/>
          <a:ext cx="1057275" cy="381000"/>
        </a:xfrm>
        <a:custGeom>
          <a:avLst/>
          <a:gdLst>
            <a:gd name="G0" fmla="*/ 1 0 0"/>
            <a:gd name="G1" fmla="+- G0 0 13152"/>
            <a:gd name="G2" fmla="*/ 1 0 0"/>
            <a:gd name="G3" fmla="+- 50000 0 13152"/>
            <a:gd name="G4" fmla="?: G3 13152 50000"/>
            <a:gd name="G5" fmla="?: G1 G2 G3"/>
            <a:gd name="G6" fmla="min 3127 1058"/>
            <a:gd name="G7" fmla="*/ G6 G5 1"/>
            <a:gd name="G8" fmla="*/ G7 1 34464"/>
            <a:gd name="G9" fmla="+- 3127 0 G8"/>
            <a:gd name="G10" fmla="+- 1058 0 G8"/>
            <a:gd name="G11" fmla="*/ G8 29289 1"/>
            <a:gd name="G12" fmla="*/ G11 1 34464"/>
            <a:gd name="G13" fmla="+- 3127 0 G12"/>
            <a:gd name="G14" fmla="+- 1058 0 G12"/>
            <a:gd name="G15" fmla="*/ 3127 1 2"/>
            <a:gd name="G16" fmla="*/ 1058 1 2"/>
            <a:gd name="G17" fmla="+- 1058 0 0"/>
            <a:gd name="G18" fmla="+- 3127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131"/>
              </a:moveTo>
              <a:lnTo>
                <a:pt x="1131" y="1131"/>
              </a:lnTo>
              <a:lnTo>
                <a:pt x="180" y="90"/>
              </a:lnTo>
              <a:lnTo>
                <a:pt x="1996" y="0"/>
              </a:lnTo>
              <a:lnTo>
                <a:pt x="1131" y="1131"/>
              </a:lnTo>
              <a:lnTo>
                <a:pt x="270" y="90"/>
              </a:lnTo>
              <a:lnTo>
                <a:pt x="3127" y="-73"/>
              </a:lnTo>
              <a:lnTo>
                <a:pt x="1131" y="1131"/>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5</xdr:col>
      <xdr:colOff>323850</xdr:colOff>
      <xdr:row>13</xdr:row>
      <xdr:rowOff>28575</xdr:rowOff>
    </xdr:from>
    <xdr:to>
      <xdr:col>6</xdr:col>
      <xdr:colOff>600075</xdr:colOff>
      <xdr:row>14</xdr:row>
      <xdr:rowOff>142875</xdr:rowOff>
    </xdr:to>
    <xdr:sp macro="" textlink="" fLocksText="0">
      <xdr:nvSpPr>
        <xdr:cNvPr id="1035" name="AutoShape 27">
          <a:hlinkClick xmlns:r="http://schemas.openxmlformats.org/officeDocument/2006/relationships" r:id="rId5"/>
          <a:extLst>
            <a:ext uri="{FF2B5EF4-FFF2-40B4-BE49-F238E27FC236}">
              <a16:creationId xmlns:a16="http://schemas.microsoft.com/office/drawing/2014/main" id="{E8AD32AF-63EC-4AD8-92AA-0BF74BAFF92E}"/>
            </a:ext>
          </a:extLst>
        </xdr:cNvPr>
        <xdr:cNvSpPr>
          <a:spLocks noChangeArrowheads="1"/>
        </xdr:cNvSpPr>
      </xdr:nvSpPr>
      <xdr:spPr bwMode="auto">
        <a:xfrm>
          <a:off x="3448050" y="2981325"/>
          <a:ext cx="1038225" cy="304800"/>
        </a:xfrm>
        <a:custGeom>
          <a:avLst/>
          <a:gdLst>
            <a:gd name="G0" fmla="*/ 1 0 0"/>
            <a:gd name="G1" fmla="+- G0 0 13375"/>
            <a:gd name="G2" fmla="*/ 1 0 0"/>
            <a:gd name="G3" fmla="+- 50000 0 13375"/>
            <a:gd name="G4" fmla="?: G3 13375 50000"/>
            <a:gd name="G5" fmla="?: G1 G2 G3"/>
            <a:gd name="G6" fmla="min 3048 852"/>
            <a:gd name="G7" fmla="*/ G6 G5 1"/>
            <a:gd name="G8" fmla="*/ G7 1 34464"/>
            <a:gd name="G9" fmla="+- 3048 0 G8"/>
            <a:gd name="G10" fmla="+- 852 0 G8"/>
            <a:gd name="G11" fmla="*/ G8 29289 1"/>
            <a:gd name="G12" fmla="*/ G11 1 34464"/>
            <a:gd name="G13" fmla="+- 3048 0 G12"/>
            <a:gd name="G14" fmla="+- 852 0 G12"/>
            <a:gd name="G15" fmla="*/ 3048 1 2"/>
            <a:gd name="G16" fmla="*/ 852 1 2"/>
            <a:gd name="G17" fmla="+- 852 0 0"/>
            <a:gd name="G18" fmla="+- 3048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905"/>
              </a:moveTo>
              <a:lnTo>
                <a:pt x="905" y="905"/>
              </a:lnTo>
              <a:lnTo>
                <a:pt x="180" y="90"/>
              </a:lnTo>
              <a:lnTo>
                <a:pt x="2143" y="0"/>
              </a:lnTo>
              <a:lnTo>
                <a:pt x="905" y="905"/>
              </a:lnTo>
              <a:lnTo>
                <a:pt x="270" y="90"/>
              </a:lnTo>
              <a:lnTo>
                <a:pt x="3048" y="-53"/>
              </a:lnTo>
              <a:lnTo>
                <a:pt x="905" y="905"/>
              </a:lnTo>
              <a:close/>
            </a:path>
          </a:pathLst>
        </a:custGeom>
        <a:gradFill rotWithShape="0">
          <a:gsLst>
            <a:gs pos="0">
              <a:srgbClr val="C0504D"/>
            </a:gs>
            <a:gs pos="100000">
              <a:srgbClr val="863836"/>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54000" tIns="46800" rIns="18000" bIns="46800" anchor="ctr"/>
        <a:lstStyle/>
        <a:p>
          <a:pPr algn="l" rtl="0">
            <a:defRPr sz="1000"/>
          </a:pPr>
          <a:r>
            <a:rPr lang="es-SV" sz="1000" b="0" i="0" u="none" strike="noStrike" baseline="0">
              <a:solidFill>
                <a:srgbClr val="FFFFFF"/>
              </a:solidFill>
              <a:latin typeface="Arial"/>
              <a:cs typeface="Arial"/>
            </a:rPr>
            <a:t>Gestión</a:t>
          </a:r>
        </a:p>
      </xdr:txBody>
    </xdr:sp>
    <xdr:clientData/>
  </xdr:twoCellAnchor>
  <xdr:twoCellAnchor>
    <xdr:from>
      <xdr:col>5</xdr:col>
      <xdr:colOff>323850</xdr:colOff>
      <xdr:row>13</xdr:row>
      <xdr:rowOff>38100</xdr:rowOff>
    </xdr:from>
    <xdr:to>
      <xdr:col>5</xdr:col>
      <xdr:colOff>447675</xdr:colOff>
      <xdr:row>14</xdr:row>
      <xdr:rowOff>19050</xdr:rowOff>
    </xdr:to>
    <xdr:sp macro="" textlink="">
      <xdr:nvSpPr>
        <xdr:cNvPr id="1036" name="Freeform 28">
          <a:extLst>
            <a:ext uri="{FF2B5EF4-FFF2-40B4-BE49-F238E27FC236}">
              <a16:creationId xmlns:a16="http://schemas.microsoft.com/office/drawing/2014/main" id="{246341DF-B7D8-4149-8583-FF8588207A40}"/>
            </a:ext>
          </a:extLst>
        </xdr:cNvPr>
        <xdr:cNvSpPr>
          <a:spLocks noChangeArrowheads="1"/>
        </xdr:cNvSpPr>
      </xdr:nvSpPr>
      <xdr:spPr bwMode="auto">
        <a:xfrm>
          <a:off x="3448050" y="2990850"/>
          <a:ext cx="123825" cy="171450"/>
        </a:xfrm>
        <a:custGeom>
          <a:avLst/>
          <a:gdLst>
            <a:gd name="G0" fmla="*/ 65534 339 1"/>
            <a:gd name="G1" fmla="*/ G0 1 596"/>
            <a:gd name="G2" fmla="*/ 1 0 0"/>
            <a:gd name="G3" fmla="*/ G2 466 1"/>
            <a:gd name="G4" fmla="*/ G3 1 598"/>
            <a:gd name="G5" fmla="*/ 1 0 0"/>
            <a:gd name="G6" fmla="*/ G5 339 1"/>
            <a:gd name="G7" fmla="*/ G6 1 596"/>
            <a:gd name="G8" fmla="*/ 65534 466 1"/>
            <a:gd name="G9" fmla="*/ G8 1 598"/>
            <a:gd name="G10" fmla="*/ 1 0 0"/>
            <a:gd name="G11" fmla="*/ G10 339 1"/>
            <a:gd name="G12" fmla="*/ G11 1 596"/>
            <a:gd name="G13" fmla="*/ 65534 466 1"/>
            <a:gd name="G14" fmla="*/ G13 1 598"/>
            <a:gd name="G15" fmla="*/ 65534 339 1"/>
            <a:gd name="G16" fmla="*/ G15 1 596"/>
            <a:gd name="G17" fmla="*/ 65534 466 1"/>
            <a:gd name="G18" fmla="*/ G17 1 598"/>
            <a:gd name="G19" fmla="*/ 65534 339 1"/>
            <a:gd name="G20" fmla="*/ G19 1 596"/>
            <a:gd name="G21" fmla="*/ 1 0 0"/>
            <a:gd name="G22" fmla="*/ G21 466 1"/>
            <a:gd name="G23" fmla="*/ G22 1 598"/>
            <a:gd name="G24" fmla="*/ 65534 339 1"/>
            <a:gd name="G25" fmla="*/ G24 1 596"/>
            <a:gd name="G26" fmla="*/ 1 0 0"/>
            <a:gd name="G27" fmla="*/ G26 466 1"/>
            <a:gd name="G28" fmla="*/ G27 1 598"/>
            <a:gd name="G29" fmla="*/ 1 0 0"/>
            <a:gd name="G30" fmla="*/ 1 0 0"/>
            <a:gd name="G31" fmla="*/ 1 0 0"/>
            <a:gd name="G32" fmla="*/ 1 0 0"/>
            <a:gd name="G33" fmla="*/ 1 0 0"/>
            <a:gd name="G34" fmla="*/ 1 0 0"/>
            <a:gd name="G35" fmla="*/ 1 0 0"/>
            <a:gd name="G36" fmla="*/ G35 339 1"/>
            <a:gd name="G37" fmla="*/ G36 1 596"/>
            <a:gd name="G38" fmla="*/ 1 0 0"/>
            <a:gd name="G39" fmla="*/ G38 466 1"/>
            <a:gd name="G40" fmla="*/ G39 1 598"/>
            <a:gd name="G41" fmla="*/ 596 339 1"/>
            <a:gd name="G42" fmla="*/ G41 1 596"/>
            <a:gd name="G43" fmla="*/ 598 466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DDA09E"/>
            </a:gs>
            <a:gs pos="50000">
              <a:srgbClr val="C0504D"/>
            </a:gs>
            <a:gs pos="100000">
              <a:srgbClr val="DDA09E"/>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361950</xdr:colOff>
      <xdr:row>4</xdr:row>
      <xdr:rowOff>180975</xdr:rowOff>
    </xdr:from>
    <xdr:to>
      <xdr:col>7</xdr:col>
      <xdr:colOff>409575</xdr:colOff>
      <xdr:row>6</xdr:row>
      <xdr:rowOff>38100</xdr:rowOff>
    </xdr:to>
    <xdr:sp macro="" textlink="" fLocksText="0">
      <xdr:nvSpPr>
        <xdr:cNvPr id="1037" name="Rectangle 803">
          <a:extLst>
            <a:ext uri="{FF2B5EF4-FFF2-40B4-BE49-F238E27FC236}">
              <a16:creationId xmlns:a16="http://schemas.microsoft.com/office/drawing/2014/main" id="{539A0838-F3AF-42FF-B4AC-C50FEF253AF8}"/>
            </a:ext>
          </a:extLst>
        </xdr:cNvPr>
        <xdr:cNvSpPr>
          <a:spLocks noChangeArrowheads="1"/>
        </xdr:cNvSpPr>
      </xdr:nvSpPr>
      <xdr:spPr bwMode="auto">
        <a:xfrm>
          <a:off x="2724150" y="1419225"/>
          <a:ext cx="2333625" cy="238125"/>
        </a:xfrm>
        <a:custGeom>
          <a:avLst/>
          <a:gdLst>
            <a:gd name="G0" fmla="*/ 6869 1 2"/>
            <a:gd name="G1" fmla="*/ 661 1 2"/>
            <a:gd name="G2" fmla="+- 661 0 0"/>
            <a:gd name="G3" fmla="+- 6869 0 0"/>
          </a:gdLst>
          <a:ahLst/>
          <a:cxnLst>
            <a:cxn ang="0">
              <a:pos x="r" y="vc"/>
            </a:cxn>
            <a:cxn ang="5400000">
              <a:pos x="hc" y="b"/>
            </a:cxn>
            <a:cxn ang="10800000">
              <a:pos x="l" y="vc"/>
            </a:cxn>
            <a:cxn ang="16200000">
              <a:pos x="hc" y="t"/>
            </a:cxn>
          </a:cxnLst>
          <a:rect l="0" t="0" r="0" b="0"/>
          <a:pathLst>
            <a:path>
              <a:moveTo>
                <a:pt x="0" y="0"/>
              </a:moveTo>
              <a:lnTo>
                <a:pt x="6869" y="0"/>
              </a:lnTo>
              <a:lnTo>
                <a:pt x="6869" y="661"/>
              </a:lnTo>
              <a:lnTo>
                <a:pt x="0" y="661"/>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27360" bIns="0" anchor="t"/>
        <a:lstStyle/>
        <a:p>
          <a:pPr algn="l" rtl="0">
            <a:defRPr sz="1000"/>
          </a:pPr>
          <a:r>
            <a:rPr lang="es-SV" sz="1100" b="1" i="1" u="none" strike="noStrike" baseline="0">
              <a:solidFill>
                <a:srgbClr val="000000"/>
              </a:solidFill>
              <a:latin typeface="Calibri"/>
              <a:cs typeface="Calibri"/>
            </a:rPr>
            <a:t>Seleccione la opción que desea ver:</a:t>
          </a:r>
        </a:p>
      </xdr:txBody>
    </xdr:sp>
    <xdr:clientData/>
  </xdr:twoCellAnchor>
  <xdr:twoCellAnchor>
    <xdr:from>
      <xdr:col>8</xdr:col>
      <xdr:colOff>314325</xdr:colOff>
      <xdr:row>10</xdr:row>
      <xdr:rowOff>180975</xdr:rowOff>
    </xdr:from>
    <xdr:to>
      <xdr:col>11</xdr:col>
      <xdr:colOff>190500</xdr:colOff>
      <xdr:row>13</xdr:row>
      <xdr:rowOff>19050</xdr:rowOff>
    </xdr:to>
    <xdr:sp macro="" textlink="">
      <xdr:nvSpPr>
        <xdr:cNvPr id="1038" name="AutoShape 30">
          <a:extLst>
            <a:ext uri="{FF2B5EF4-FFF2-40B4-BE49-F238E27FC236}">
              <a16:creationId xmlns:a16="http://schemas.microsoft.com/office/drawing/2014/main" id="{2ECBCEAB-8F37-49F7-AA10-682CC0DCDC70}"/>
            </a:ext>
          </a:extLst>
        </xdr:cNvPr>
        <xdr:cNvSpPr>
          <a:spLocks noChangeArrowheads="1"/>
        </xdr:cNvSpPr>
      </xdr:nvSpPr>
      <xdr:spPr bwMode="auto">
        <a:xfrm>
          <a:off x="5724525" y="2562225"/>
          <a:ext cx="1504950" cy="409575"/>
        </a:xfrm>
        <a:custGeom>
          <a:avLst/>
          <a:gdLst>
            <a:gd name="G0" fmla="*/ 1 0 0"/>
            <a:gd name="G1" fmla="+- G0 0 13152"/>
            <a:gd name="G2" fmla="*/ 1 0 0"/>
            <a:gd name="G3" fmla="+- 50000 0 13152"/>
            <a:gd name="G4" fmla="?: G3 13152 50000"/>
            <a:gd name="G5" fmla="?: G1 G2 G3"/>
            <a:gd name="G6" fmla="min 4405 1144"/>
            <a:gd name="G7" fmla="*/ G6 G5 1"/>
            <a:gd name="G8" fmla="*/ G7 1 34464"/>
            <a:gd name="G9" fmla="+- 4405 0 G8"/>
            <a:gd name="G10" fmla="+- 1144 0 G8"/>
            <a:gd name="G11" fmla="*/ G8 29289 1"/>
            <a:gd name="G12" fmla="*/ G11 1 34464"/>
            <a:gd name="G13" fmla="+- 4405 0 G12"/>
            <a:gd name="G14" fmla="+- 1144 0 G12"/>
            <a:gd name="G15" fmla="*/ 4405 1 2"/>
            <a:gd name="G16" fmla="*/ 1144 1 2"/>
            <a:gd name="G17" fmla="+- 1144 0 0"/>
            <a:gd name="G18" fmla="+- 4405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223"/>
              </a:moveTo>
              <a:lnTo>
                <a:pt x="1223" y="1223"/>
              </a:lnTo>
              <a:lnTo>
                <a:pt x="180" y="90"/>
              </a:lnTo>
              <a:lnTo>
                <a:pt x="3182" y="0"/>
              </a:lnTo>
              <a:lnTo>
                <a:pt x="1223" y="1223"/>
              </a:lnTo>
              <a:lnTo>
                <a:pt x="270" y="90"/>
              </a:lnTo>
              <a:lnTo>
                <a:pt x="4405" y="-79"/>
              </a:lnTo>
              <a:lnTo>
                <a:pt x="1223" y="1223"/>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8</xdr:col>
      <xdr:colOff>381000</xdr:colOff>
      <xdr:row>11</xdr:row>
      <xdr:rowOff>38100</xdr:rowOff>
    </xdr:from>
    <xdr:to>
      <xdr:col>11</xdr:col>
      <xdr:colOff>171450</xdr:colOff>
      <xdr:row>12</xdr:row>
      <xdr:rowOff>180975</xdr:rowOff>
    </xdr:to>
    <xdr:sp macro="" textlink="" fLocksText="0">
      <xdr:nvSpPr>
        <xdr:cNvPr id="1039" name="AutoShape 31">
          <a:hlinkClick xmlns:r="http://schemas.openxmlformats.org/officeDocument/2006/relationships" r:id="rId6"/>
          <a:extLst>
            <a:ext uri="{FF2B5EF4-FFF2-40B4-BE49-F238E27FC236}">
              <a16:creationId xmlns:a16="http://schemas.microsoft.com/office/drawing/2014/main" id="{DEE5DF9C-431B-4D5B-B2BA-82B3890A7B54}"/>
            </a:ext>
          </a:extLst>
        </xdr:cNvPr>
        <xdr:cNvSpPr>
          <a:spLocks noChangeArrowheads="1"/>
        </xdr:cNvSpPr>
      </xdr:nvSpPr>
      <xdr:spPr bwMode="auto">
        <a:xfrm>
          <a:off x="5791200" y="2609850"/>
          <a:ext cx="1419225" cy="333375"/>
        </a:xfrm>
        <a:custGeom>
          <a:avLst/>
          <a:gdLst>
            <a:gd name="G0" fmla="*/ 1 0 0"/>
            <a:gd name="G1" fmla="+- G0 0 13375"/>
            <a:gd name="G2" fmla="*/ 1 0 0"/>
            <a:gd name="G3" fmla="+- 50000 0 13375"/>
            <a:gd name="G4" fmla="?: G3 13375 50000"/>
            <a:gd name="G5" fmla="?: G1 G2 G3"/>
            <a:gd name="G6" fmla="min 4183 932"/>
            <a:gd name="G7" fmla="*/ G6 G5 1"/>
            <a:gd name="G8" fmla="*/ G7 1 34464"/>
            <a:gd name="G9" fmla="+- 4183 0 G8"/>
            <a:gd name="G10" fmla="+- 932 0 G8"/>
            <a:gd name="G11" fmla="*/ G8 29289 1"/>
            <a:gd name="G12" fmla="*/ G11 1 34464"/>
            <a:gd name="G13" fmla="+- 4183 0 G12"/>
            <a:gd name="G14" fmla="+- 932 0 G12"/>
            <a:gd name="G15" fmla="*/ 4183 1 2"/>
            <a:gd name="G16" fmla="*/ 932 1 2"/>
            <a:gd name="G17" fmla="+- 932 0 0"/>
            <a:gd name="G18" fmla="+- 418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990"/>
              </a:moveTo>
              <a:lnTo>
                <a:pt x="990" y="990"/>
              </a:lnTo>
              <a:lnTo>
                <a:pt x="180" y="90"/>
              </a:lnTo>
              <a:lnTo>
                <a:pt x="3193" y="0"/>
              </a:lnTo>
              <a:lnTo>
                <a:pt x="990" y="990"/>
              </a:lnTo>
              <a:lnTo>
                <a:pt x="270" y="90"/>
              </a:lnTo>
              <a:lnTo>
                <a:pt x="4183" y="-58"/>
              </a:lnTo>
              <a:lnTo>
                <a:pt x="990" y="990"/>
              </a:lnTo>
              <a:close/>
            </a:path>
          </a:pathLst>
        </a:custGeom>
        <a:solidFill>
          <a:srgbClr val="99FF99"/>
        </a:soli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000000"/>
              </a:solidFill>
              <a:latin typeface="Arial"/>
              <a:cs typeface="Arial"/>
            </a:rPr>
            <a:t>Recomendaciones</a:t>
          </a:r>
        </a:p>
      </xdr:txBody>
    </xdr:sp>
    <xdr:clientData/>
  </xdr:twoCellAnchor>
  <xdr:twoCellAnchor>
    <xdr:from>
      <xdr:col>8</xdr:col>
      <xdr:colOff>371475</xdr:colOff>
      <xdr:row>11</xdr:row>
      <xdr:rowOff>38100</xdr:rowOff>
    </xdr:from>
    <xdr:to>
      <xdr:col>8</xdr:col>
      <xdr:colOff>514350</xdr:colOff>
      <xdr:row>12</xdr:row>
      <xdr:rowOff>28575</xdr:rowOff>
    </xdr:to>
    <xdr:sp macro="" textlink="">
      <xdr:nvSpPr>
        <xdr:cNvPr id="1040" name="Freeform 32">
          <a:extLst>
            <a:ext uri="{FF2B5EF4-FFF2-40B4-BE49-F238E27FC236}">
              <a16:creationId xmlns:a16="http://schemas.microsoft.com/office/drawing/2014/main" id="{37D139C1-D583-44D1-A09A-3EFC268E2039}"/>
            </a:ext>
          </a:extLst>
        </xdr:cNvPr>
        <xdr:cNvSpPr>
          <a:spLocks noChangeArrowheads="1"/>
        </xdr:cNvSpPr>
      </xdr:nvSpPr>
      <xdr:spPr bwMode="auto">
        <a:xfrm>
          <a:off x="5781675" y="2609850"/>
          <a:ext cx="142875" cy="180975"/>
        </a:xfrm>
        <a:custGeom>
          <a:avLst/>
          <a:gdLst>
            <a:gd name="G0" fmla="*/ 65534 402 1"/>
            <a:gd name="G1" fmla="*/ G0 1 596"/>
            <a:gd name="G2" fmla="*/ 1 0 0"/>
            <a:gd name="G3" fmla="*/ G2 508 1"/>
            <a:gd name="G4" fmla="*/ G3 1 598"/>
            <a:gd name="G5" fmla="*/ 1 0 0"/>
            <a:gd name="G6" fmla="*/ G5 402 1"/>
            <a:gd name="G7" fmla="*/ G6 1 596"/>
            <a:gd name="G8" fmla="*/ 65534 508 1"/>
            <a:gd name="G9" fmla="*/ G8 1 598"/>
            <a:gd name="G10" fmla="*/ 1 0 0"/>
            <a:gd name="G11" fmla="*/ G10 402 1"/>
            <a:gd name="G12" fmla="*/ G11 1 596"/>
            <a:gd name="G13" fmla="*/ 65534 508 1"/>
            <a:gd name="G14" fmla="*/ G13 1 598"/>
            <a:gd name="G15" fmla="*/ 65534 402 1"/>
            <a:gd name="G16" fmla="*/ G15 1 596"/>
            <a:gd name="G17" fmla="*/ 65534 508 1"/>
            <a:gd name="G18" fmla="*/ G17 1 598"/>
            <a:gd name="G19" fmla="*/ 65534 402 1"/>
            <a:gd name="G20" fmla="*/ G19 1 596"/>
            <a:gd name="G21" fmla="*/ 1 0 0"/>
            <a:gd name="G22" fmla="*/ G21 508 1"/>
            <a:gd name="G23" fmla="*/ G22 1 598"/>
            <a:gd name="G24" fmla="*/ 65534 402 1"/>
            <a:gd name="G25" fmla="*/ G24 1 596"/>
            <a:gd name="G26" fmla="*/ 1 0 0"/>
            <a:gd name="G27" fmla="*/ G26 508 1"/>
            <a:gd name="G28" fmla="*/ G27 1 598"/>
            <a:gd name="G29" fmla="*/ 1 0 0"/>
            <a:gd name="G30" fmla="*/ 1 0 0"/>
            <a:gd name="G31" fmla="*/ 1 0 0"/>
            <a:gd name="G32" fmla="*/ 1 0 0"/>
            <a:gd name="G33" fmla="*/ 1 0 0"/>
            <a:gd name="G34" fmla="*/ 1 0 0"/>
            <a:gd name="G35" fmla="*/ 1 0 0"/>
            <a:gd name="G36" fmla="*/ G35 402 1"/>
            <a:gd name="G37" fmla="*/ G36 1 596"/>
            <a:gd name="G38" fmla="*/ 1 0 0"/>
            <a:gd name="G39" fmla="*/ G38 508 1"/>
            <a:gd name="G40" fmla="*/ G39 1 598"/>
            <a:gd name="G41" fmla="*/ 596 402 1"/>
            <a:gd name="G42" fmla="*/ G41 1 596"/>
            <a:gd name="G43" fmla="*/ 598 508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257175</xdr:colOff>
      <xdr:row>7</xdr:row>
      <xdr:rowOff>66675</xdr:rowOff>
    </xdr:from>
    <xdr:to>
      <xdr:col>4</xdr:col>
      <xdr:colOff>114300</xdr:colOff>
      <xdr:row>18</xdr:row>
      <xdr:rowOff>104775</xdr:rowOff>
    </xdr:to>
    <xdr:sp macro="" textlink="">
      <xdr:nvSpPr>
        <xdr:cNvPr id="1041" name="AutoShape 31">
          <a:extLst>
            <a:ext uri="{FF2B5EF4-FFF2-40B4-BE49-F238E27FC236}">
              <a16:creationId xmlns:a16="http://schemas.microsoft.com/office/drawing/2014/main" id="{903A1370-1B4F-43A1-86AC-BE0052CBEEB1}"/>
            </a:ext>
          </a:extLst>
        </xdr:cNvPr>
        <xdr:cNvSpPr>
          <a:spLocks noChangeArrowheads="1"/>
        </xdr:cNvSpPr>
      </xdr:nvSpPr>
      <xdr:spPr bwMode="auto">
        <a:xfrm>
          <a:off x="333375" y="1876425"/>
          <a:ext cx="2143125" cy="2133600"/>
        </a:xfrm>
        <a:custGeom>
          <a:avLst/>
          <a:gdLst>
            <a:gd name="G0" fmla="*/ 1 0 0"/>
            <a:gd name="G1" fmla="+- G0 0 13375"/>
            <a:gd name="G2" fmla="*/ 1 0 0"/>
            <a:gd name="G3" fmla="+- 50000 0 13375"/>
            <a:gd name="G4" fmla="?: G3 13375 50000"/>
            <a:gd name="G5" fmla="?: G1 G2 G3"/>
            <a:gd name="G6" fmla="min 6313 5884"/>
            <a:gd name="G7" fmla="*/ G6 G5 1"/>
            <a:gd name="G8" fmla="*/ G7 1 34464"/>
            <a:gd name="G9" fmla="+- 6313 0 G8"/>
            <a:gd name="G10" fmla="+- 5884 0 G8"/>
            <a:gd name="G11" fmla="*/ G8 29289 1"/>
            <a:gd name="G12" fmla="*/ G11 1 34464"/>
            <a:gd name="G13" fmla="+- 6313 0 G12"/>
            <a:gd name="G14" fmla="+- 5884 0 G12"/>
            <a:gd name="G15" fmla="*/ 6313 1 2"/>
            <a:gd name="G16" fmla="*/ 5884 1 2"/>
            <a:gd name="G17" fmla="+- 5884 0 0"/>
            <a:gd name="G18" fmla="+- 631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6253"/>
              </a:moveTo>
              <a:lnTo>
                <a:pt x="6253" y="6253"/>
              </a:lnTo>
              <a:lnTo>
                <a:pt x="180" y="90"/>
              </a:lnTo>
              <a:lnTo>
                <a:pt x="60" y="0"/>
              </a:lnTo>
              <a:lnTo>
                <a:pt x="6253" y="6253"/>
              </a:lnTo>
              <a:lnTo>
                <a:pt x="270" y="90"/>
              </a:lnTo>
              <a:lnTo>
                <a:pt x="6313" y="-369"/>
              </a:lnTo>
              <a:lnTo>
                <a:pt x="6253" y="6253"/>
              </a:lnTo>
              <a:close/>
            </a:path>
          </a:pathLst>
        </a:custGeom>
        <a:gradFill rotWithShape="0">
          <a:gsLst>
            <a:gs pos="0">
              <a:srgbClr val="87AFD3"/>
            </a:gs>
            <a:gs pos="100000">
              <a:srgbClr val="4C7BB4"/>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361950</xdr:colOff>
      <xdr:row>7</xdr:row>
      <xdr:rowOff>161925</xdr:rowOff>
    </xdr:from>
    <xdr:to>
      <xdr:col>2</xdr:col>
      <xdr:colOff>85725</xdr:colOff>
      <xdr:row>9</xdr:row>
      <xdr:rowOff>85725</xdr:rowOff>
    </xdr:to>
    <xdr:sp macro="" textlink="">
      <xdr:nvSpPr>
        <xdr:cNvPr id="1042" name="Freeform 32">
          <a:extLst>
            <a:ext uri="{FF2B5EF4-FFF2-40B4-BE49-F238E27FC236}">
              <a16:creationId xmlns:a16="http://schemas.microsoft.com/office/drawing/2014/main" id="{B42B8676-4C9F-46A7-B758-738474369CEB}"/>
            </a:ext>
          </a:extLst>
        </xdr:cNvPr>
        <xdr:cNvSpPr>
          <a:spLocks noChangeArrowheads="1"/>
        </xdr:cNvSpPr>
      </xdr:nvSpPr>
      <xdr:spPr bwMode="auto">
        <a:xfrm>
          <a:off x="438150" y="1971675"/>
          <a:ext cx="485775" cy="304800"/>
        </a:xfrm>
        <a:custGeom>
          <a:avLst/>
          <a:gdLst>
            <a:gd name="G0" fmla="*/ 65534 1434 1"/>
            <a:gd name="G1" fmla="*/ G0 1 596"/>
            <a:gd name="G2" fmla="*/ 1 0 0"/>
            <a:gd name="G3" fmla="*/ G2 868 1"/>
            <a:gd name="G4" fmla="*/ G3 1 598"/>
            <a:gd name="G5" fmla="*/ 1 0 0"/>
            <a:gd name="G6" fmla="*/ G5 1434 1"/>
            <a:gd name="G7" fmla="*/ G6 1 596"/>
            <a:gd name="G8" fmla="*/ 65534 868 1"/>
            <a:gd name="G9" fmla="*/ G8 1 598"/>
            <a:gd name="G10" fmla="*/ 1 0 0"/>
            <a:gd name="G11" fmla="*/ G10 1434 1"/>
            <a:gd name="G12" fmla="*/ G11 1 596"/>
            <a:gd name="G13" fmla="*/ 65534 868 1"/>
            <a:gd name="G14" fmla="*/ G13 1 598"/>
            <a:gd name="G15" fmla="*/ 65534 1434 1"/>
            <a:gd name="G16" fmla="*/ G15 1 596"/>
            <a:gd name="G17" fmla="*/ 65534 868 1"/>
            <a:gd name="G18" fmla="*/ G17 1 598"/>
            <a:gd name="G19" fmla="*/ 65534 1434 1"/>
            <a:gd name="G20" fmla="*/ G19 1 596"/>
            <a:gd name="G21" fmla="*/ 1 0 0"/>
            <a:gd name="G22" fmla="*/ G21 868 1"/>
            <a:gd name="G23" fmla="*/ G22 1 598"/>
            <a:gd name="G24" fmla="*/ 65534 1434 1"/>
            <a:gd name="G25" fmla="*/ G24 1 596"/>
            <a:gd name="G26" fmla="*/ 1 0 0"/>
            <a:gd name="G27" fmla="*/ G26 868 1"/>
            <a:gd name="G28" fmla="*/ G27 1 598"/>
            <a:gd name="G29" fmla="*/ 1 0 0"/>
            <a:gd name="G30" fmla="*/ 1 0 0"/>
            <a:gd name="G31" fmla="*/ 1 0 0"/>
            <a:gd name="G32" fmla="*/ 1 0 0"/>
            <a:gd name="G33" fmla="*/ 1 0 0"/>
            <a:gd name="G34" fmla="*/ 1 0 0"/>
            <a:gd name="G35" fmla="*/ 1 0 0"/>
            <a:gd name="G36" fmla="*/ G35 1434 1"/>
            <a:gd name="G37" fmla="*/ G36 1 596"/>
            <a:gd name="G38" fmla="*/ 1 0 0"/>
            <a:gd name="G39" fmla="*/ G38 868 1"/>
            <a:gd name="G40" fmla="*/ G39 1 598"/>
            <a:gd name="G41" fmla="*/ 596 1434 1"/>
            <a:gd name="G42" fmla="*/ G41 1 596"/>
            <a:gd name="G43" fmla="*/ 598 868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314325</xdr:colOff>
      <xdr:row>14</xdr:row>
      <xdr:rowOff>38100</xdr:rowOff>
    </xdr:from>
    <xdr:to>
      <xdr:col>11</xdr:col>
      <xdr:colOff>171450</xdr:colOff>
      <xdr:row>16</xdr:row>
      <xdr:rowOff>66675</xdr:rowOff>
    </xdr:to>
    <xdr:sp macro="" textlink="">
      <xdr:nvSpPr>
        <xdr:cNvPr id="1043" name="AutoShape 30">
          <a:extLst>
            <a:ext uri="{FF2B5EF4-FFF2-40B4-BE49-F238E27FC236}">
              <a16:creationId xmlns:a16="http://schemas.microsoft.com/office/drawing/2014/main" id="{F6BCD2A7-9365-4878-907D-786D0A2D97E0}"/>
            </a:ext>
          </a:extLst>
        </xdr:cNvPr>
        <xdr:cNvSpPr>
          <a:spLocks noChangeArrowheads="1"/>
        </xdr:cNvSpPr>
      </xdr:nvSpPr>
      <xdr:spPr bwMode="auto">
        <a:xfrm>
          <a:off x="5724525" y="3181350"/>
          <a:ext cx="1485900" cy="409575"/>
        </a:xfrm>
        <a:custGeom>
          <a:avLst/>
          <a:gdLst>
            <a:gd name="G0" fmla="*/ 1 0 0"/>
            <a:gd name="G1" fmla="+- G0 0 13152"/>
            <a:gd name="G2" fmla="*/ 1 0 0"/>
            <a:gd name="G3" fmla="+- 50000 0 13152"/>
            <a:gd name="G4" fmla="?: G3 13152 50000"/>
            <a:gd name="G5" fmla="?: G1 G2 G3"/>
            <a:gd name="G6" fmla="min 4384 1122"/>
            <a:gd name="G7" fmla="*/ G6 G5 1"/>
            <a:gd name="G8" fmla="*/ G7 1 34464"/>
            <a:gd name="G9" fmla="+- 4384 0 G8"/>
            <a:gd name="G10" fmla="+- 1122 0 G8"/>
            <a:gd name="G11" fmla="*/ G8 29289 1"/>
            <a:gd name="G12" fmla="*/ G11 1 34464"/>
            <a:gd name="G13" fmla="+- 4384 0 G12"/>
            <a:gd name="G14" fmla="+- 1122 0 G12"/>
            <a:gd name="G15" fmla="*/ 4384 1 2"/>
            <a:gd name="G16" fmla="*/ 1122 1 2"/>
            <a:gd name="G17" fmla="+- 1122 0 0"/>
            <a:gd name="G18" fmla="+- 4384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200"/>
              </a:moveTo>
              <a:lnTo>
                <a:pt x="1200" y="1200"/>
              </a:lnTo>
              <a:lnTo>
                <a:pt x="180" y="90"/>
              </a:lnTo>
              <a:lnTo>
                <a:pt x="3184" y="0"/>
              </a:lnTo>
              <a:lnTo>
                <a:pt x="1200" y="1200"/>
              </a:lnTo>
              <a:lnTo>
                <a:pt x="270" y="90"/>
              </a:lnTo>
              <a:lnTo>
                <a:pt x="4384" y="-78"/>
              </a:lnTo>
              <a:lnTo>
                <a:pt x="1200" y="1200"/>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8</xdr:col>
      <xdr:colOff>352425</xdr:colOff>
      <xdr:row>14</xdr:row>
      <xdr:rowOff>85725</xdr:rowOff>
    </xdr:from>
    <xdr:to>
      <xdr:col>11</xdr:col>
      <xdr:colOff>123825</xdr:colOff>
      <xdr:row>16</xdr:row>
      <xdr:rowOff>66675</xdr:rowOff>
    </xdr:to>
    <xdr:sp macro="" textlink="" fLocksText="0">
      <xdr:nvSpPr>
        <xdr:cNvPr id="1044" name="AutoShape 31">
          <a:hlinkClick xmlns:r="http://schemas.openxmlformats.org/officeDocument/2006/relationships" r:id="rId7"/>
          <a:extLst>
            <a:ext uri="{FF2B5EF4-FFF2-40B4-BE49-F238E27FC236}">
              <a16:creationId xmlns:a16="http://schemas.microsoft.com/office/drawing/2014/main" id="{532D77F7-3050-4077-B05B-53E91B8EB8F3}"/>
            </a:ext>
          </a:extLst>
        </xdr:cNvPr>
        <xdr:cNvSpPr>
          <a:spLocks noChangeArrowheads="1"/>
        </xdr:cNvSpPr>
      </xdr:nvSpPr>
      <xdr:spPr bwMode="auto">
        <a:xfrm>
          <a:off x="5762625" y="3228975"/>
          <a:ext cx="1400175" cy="361950"/>
        </a:xfrm>
        <a:custGeom>
          <a:avLst/>
          <a:gdLst>
            <a:gd name="G0" fmla="*/ 1 0 0"/>
            <a:gd name="G1" fmla="+- G0 0 13375"/>
            <a:gd name="G2" fmla="*/ 1 0 0"/>
            <a:gd name="G3" fmla="+- 50000 0 13375"/>
            <a:gd name="G4" fmla="?: G3 13375 50000"/>
            <a:gd name="G5" fmla="?: G1 G2 G3"/>
            <a:gd name="G6" fmla="min 4109 1000"/>
            <a:gd name="G7" fmla="*/ G6 G5 1"/>
            <a:gd name="G8" fmla="*/ G7 1 34464"/>
            <a:gd name="G9" fmla="+- 4109 0 G8"/>
            <a:gd name="G10" fmla="+- 1000 0 G8"/>
            <a:gd name="G11" fmla="*/ G8 29289 1"/>
            <a:gd name="G12" fmla="*/ G11 1 34464"/>
            <a:gd name="G13" fmla="+- 4109 0 G12"/>
            <a:gd name="G14" fmla="+- 1000 0 G12"/>
            <a:gd name="G15" fmla="*/ 4109 1 2"/>
            <a:gd name="G16" fmla="*/ 1000 1 2"/>
            <a:gd name="G17" fmla="+- 1000 0 0"/>
            <a:gd name="G18" fmla="+- 4109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063"/>
              </a:moveTo>
              <a:lnTo>
                <a:pt x="1063" y="1063"/>
              </a:lnTo>
              <a:lnTo>
                <a:pt x="180" y="90"/>
              </a:lnTo>
              <a:lnTo>
                <a:pt x="3046" y="0"/>
              </a:lnTo>
              <a:lnTo>
                <a:pt x="1063" y="1063"/>
              </a:lnTo>
              <a:lnTo>
                <a:pt x="270" y="90"/>
              </a:lnTo>
              <a:lnTo>
                <a:pt x="4109" y="-63"/>
              </a:lnTo>
              <a:lnTo>
                <a:pt x="1063" y="1063"/>
              </a:lnTo>
              <a:close/>
            </a:path>
          </a:pathLst>
        </a:custGeom>
        <a:solidFill>
          <a:srgbClr val="99FF99"/>
        </a:soli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000000"/>
              </a:solidFill>
              <a:latin typeface="Arial"/>
              <a:cs typeface="Arial"/>
            </a:rPr>
            <a:t>Acciones</a:t>
          </a:r>
        </a:p>
      </xdr:txBody>
    </xdr:sp>
    <xdr:clientData/>
  </xdr:twoCellAnchor>
  <xdr:twoCellAnchor>
    <xdr:from>
      <xdr:col>8</xdr:col>
      <xdr:colOff>352425</xdr:colOff>
      <xdr:row>14</xdr:row>
      <xdr:rowOff>123825</xdr:rowOff>
    </xdr:from>
    <xdr:to>
      <xdr:col>8</xdr:col>
      <xdr:colOff>485775</xdr:colOff>
      <xdr:row>15</xdr:row>
      <xdr:rowOff>85725</xdr:rowOff>
    </xdr:to>
    <xdr:sp macro="" textlink="">
      <xdr:nvSpPr>
        <xdr:cNvPr id="1045" name="Freeform 32">
          <a:extLst>
            <a:ext uri="{FF2B5EF4-FFF2-40B4-BE49-F238E27FC236}">
              <a16:creationId xmlns:a16="http://schemas.microsoft.com/office/drawing/2014/main" id="{7E372F69-9693-403A-8054-4F2E707F43A2}"/>
            </a:ext>
          </a:extLst>
        </xdr:cNvPr>
        <xdr:cNvSpPr>
          <a:spLocks noChangeArrowheads="1"/>
        </xdr:cNvSpPr>
      </xdr:nvSpPr>
      <xdr:spPr bwMode="auto">
        <a:xfrm>
          <a:off x="5762625" y="3267075"/>
          <a:ext cx="133350" cy="152400"/>
        </a:xfrm>
        <a:custGeom>
          <a:avLst/>
          <a:gdLst>
            <a:gd name="G0" fmla="*/ 1 0 0"/>
            <a:gd name="G1" fmla="*/ G0 402 1"/>
            <a:gd name="G2" fmla="*/ G1 1 596"/>
            <a:gd name="G3" fmla="*/ 1 0 0"/>
            <a:gd name="G4" fmla="*/ G3 444 1"/>
            <a:gd name="G5" fmla="*/ G4 1 598"/>
            <a:gd name="G6" fmla="*/ 1 0 0"/>
            <a:gd name="G7" fmla="*/ G6 402 1"/>
            <a:gd name="G8" fmla="*/ G7 1 596"/>
            <a:gd name="G9" fmla="*/ 1 0 0"/>
            <a:gd name="G10" fmla="*/ G9 444 1"/>
            <a:gd name="G11" fmla="*/ G10 1 598"/>
            <a:gd name="G12" fmla="*/ 1 0 0"/>
            <a:gd name="G13" fmla="*/ G12 402 1"/>
            <a:gd name="G14" fmla="*/ G13 1 596"/>
            <a:gd name="G15" fmla="*/ 1 0 0"/>
            <a:gd name="G16" fmla="*/ G15 444 1"/>
            <a:gd name="G17" fmla="*/ G16 1 598"/>
            <a:gd name="G18" fmla="*/ 1 0 0"/>
            <a:gd name="G19" fmla="*/ G18 402 1"/>
            <a:gd name="G20" fmla="*/ G19 1 596"/>
            <a:gd name="G21" fmla="*/ 1 0 0"/>
            <a:gd name="G22" fmla="*/ G21 444 1"/>
            <a:gd name="G23" fmla="*/ G22 1 598"/>
            <a:gd name="G24" fmla="*/ 1 0 0"/>
            <a:gd name="G25" fmla="*/ G24 402 1"/>
            <a:gd name="G26" fmla="*/ G25 1 596"/>
            <a:gd name="G27" fmla="*/ 1 0 0"/>
            <a:gd name="G28" fmla="*/ G27 444 1"/>
            <a:gd name="G29" fmla="*/ G28 1 598"/>
            <a:gd name="G30" fmla="*/ 1 0 0"/>
            <a:gd name="G31" fmla="*/ G30 402 1"/>
            <a:gd name="G32" fmla="*/ G31 1 596"/>
            <a:gd name="G33" fmla="*/ 1 0 0"/>
            <a:gd name="G34" fmla="*/ G33 444 1"/>
            <a:gd name="G35" fmla="*/ G34 1 598"/>
            <a:gd name="G36" fmla="*/ 1 0 0"/>
            <a:gd name="G37" fmla="*/ 1 0 0"/>
            <a:gd name="G38" fmla="*/ 1 0 0"/>
            <a:gd name="G39" fmla="*/ 1 0 0"/>
            <a:gd name="G40" fmla="*/ 1 0 0"/>
            <a:gd name="G41" fmla="*/ 1 0 0"/>
            <a:gd name="G42" fmla="*/ 1 0 0"/>
            <a:gd name="G43" fmla="*/ G42 402 1"/>
            <a:gd name="G44" fmla="*/ G43 1 596"/>
            <a:gd name="G45" fmla="*/ 1 0 0"/>
            <a:gd name="G46" fmla="*/ G45 444 1"/>
            <a:gd name="G47" fmla="*/ G46 1 598"/>
            <a:gd name="G48" fmla="*/ 596 402 1"/>
            <a:gd name="G49" fmla="*/ G48 1 596"/>
            <a:gd name="G50" fmla="*/ 598 444 1"/>
            <a:gd name="G51" fmla="*/ G50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533400</xdr:colOff>
      <xdr:row>15</xdr:row>
      <xdr:rowOff>133350</xdr:rowOff>
    </xdr:from>
    <xdr:to>
      <xdr:col>3</xdr:col>
      <xdr:colOff>514350</xdr:colOff>
      <xdr:row>17</xdr:row>
      <xdr:rowOff>190500</xdr:rowOff>
    </xdr:to>
    <xdr:sp macro="" textlink="">
      <xdr:nvSpPr>
        <xdr:cNvPr id="1046" name="AutoShape 30">
          <a:extLst>
            <a:ext uri="{FF2B5EF4-FFF2-40B4-BE49-F238E27FC236}">
              <a16:creationId xmlns:a16="http://schemas.microsoft.com/office/drawing/2014/main" id="{10B58E9C-B984-45B5-8236-73C94B773951}"/>
            </a:ext>
          </a:extLst>
        </xdr:cNvPr>
        <xdr:cNvSpPr>
          <a:spLocks noChangeArrowheads="1"/>
        </xdr:cNvSpPr>
      </xdr:nvSpPr>
      <xdr:spPr bwMode="auto">
        <a:xfrm>
          <a:off x="609600" y="3467100"/>
          <a:ext cx="1504950" cy="438150"/>
        </a:xfrm>
        <a:custGeom>
          <a:avLst/>
          <a:gdLst>
            <a:gd name="G0" fmla="*/ 1 0 0"/>
            <a:gd name="G1" fmla="+- G0 0 13152"/>
            <a:gd name="G2" fmla="*/ 1 0 0"/>
            <a:gd name="G3" fmla="+- 50000 0 13152"/>
            <a:gd name="G4" fmla="?: G3 13152 50000"/>
            <a:gd name="G5" fmla="?: G1 G2 G3"/>
            <a:gd name="G6" fmla="min 4391 1227"/>
            <a:gd name="G7" fmla="*/ G6 G5 1"/>
            <a:gd name="G8" fmla="*/ G7 1 34464"/>
            <a:gd name="G9" fmla="+- 4391 0 G8"/>
            <a:gd name="G10" fmla="+- 1227 0 G8"/>
            <a:gd name="G11" fmla="*/ G8 29289 1"/>
            <a:gd name="G12" fmla="*/ G11 1 34464"/>
            <a:gd name="G13" fmla="+- 4391 0 G12"/>
            <a:gd name="G14" fmla="+- 1227 0 G12"/>
            <a:gd name="G15" fmla="*/ 4391 1 2"/>
            <a:gd name="G16" fmla="*/ 1227 1 2"/>
            <a:gd name="G17" fmla="+- 1227 0 0"/>
            <a:gd name="G18" fmla="+- 4391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312"/>
              </a:moveTo>
              <a:lnTo>
                <a:pt x="1312" y="1312"/>
              </a:lnTo>
              <a:lnTo>
                <a:pt x="180" y="90"/>
              </a:lnTo>
              <a:lnTo>
                <a:pt x="3079" y="0"/>
              </a:lnTo>
              <a:lnTo>
                <a:pt x="1312" y="1312"/>
              </a:lnTo>
              <a:lnTo>
                <a:pt x="270" y="90"/>
              </a:lnTo>
              <a:lnTo>
                <a:pt x="4391" y="-85"/>
              </a:lnTo>
              <a:lnTo>
                <a:pt x="1312" y="1312"/>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1</xdr:col>
      <xdr:colOff>561975</xdr:colOff>
      <xdr:row>15</xdr:row>
      <xdr:rowOff>161925</xdr:rowOff>
    </xdr:from>
    <xdr:to>
      <xdr:col>3</xdr:col>
      <xdr:colOff>485775</xdr:colOff>
      <xdr:row>17</xdr:row>
      <xdr:rowOff>161925</xdr:rowOff>
    </xdr:to>
    <xdr:sp macro="" textlink="" fLocksText="0">
      <xdr:nvSpPr>
        <xdr:cNvPr id="1047" name="AutoShape 31">
          <a:hlinkClick xmlns:r="http://schemas.openxmlformats.org/officeDocument/2006/relationships" r:id="rId8"/>
          <a:extLst>
            <a:ext uri="{FF2B5EF4-FFF2-40B4-BE49-F238E27FC236}">
              <a16:creationId xmlns:a16="http://schemas.microsoft.com/office/drawing/2014/main" id="{A2BD4DEB-F2D7-45BF-B326-FD21CF7E79DA}"/>
            </a:ext>
          </a:extLst>
        </xdr:cNvPr>
        <xdr:cNvSpPr>
          <a:spLocks noChangeArrowheads="1"/>
        </xdr:cNvSpPr>
      </xdr:nvSpPr>
      <xdr:spPr bwMode="auto">
        <a:xfrm>
          <a:off x="638175" y="3495675"/>
          <a:ext cx="1447800" cy="381000"/>
        </a:xfrm>
        <a:custGeom>
          <a:avLst/>
          <a:gdLst>
            <a:gd name="G0" fmla="*/ 1 0 0"/>
            <a:gd name="G1" fmla="+- G0 0 13375"/>
            <a:gd name="G2" fmla="*/ 1 0 0"/>
            <a:gd name="G3" fmla="+- 50000 0 13375"/>
            <a:gd name="G4" fmla="?: G3 13375 50000"/>
            <a:gd name="G5" fmla="?: G1 G2 G3"/>
            <a:gd name="G6" fmla="min 4243 1058"/>
            <a:gd name="G7" fmla="*/ G6 G5 1"/>
            <a:gd name="G8" fmla="*/ G7 1 34464"/>
            <a:gd name="G9" fmla="+- 4243 0 G8"/>
            <a:gd name="G10" fmla="+- 1058 0 G8"/>
            <a:gd name="G11" fmla="*/ G8 29289 1"/>
            <a:gd name="G12" fmla="*/ G11 1 34464"/>
            <a:gd name="G13" fmla="+- 4243 0 G12"/>
            <a:gd name="G14" fmla="+- 1058 0 G12"/>
            <a:gd name="G15" fmla="*/ 4243 1 2"/>
            <a:gd name="G16" fmla="*/ 1058 1 2"/>
            <a:gd name="G17" fmla="+- 1058 0 0"/>
            <a:gd name="G18" fmla="+- 424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124"/>
              </a:moveTo>
              <a:lnTo>
                <a:pt x="1124" y="1124"/>
              </a:lnTo>
              <a:lnTo>
                <a:pt x="180" y="90"/>
              </a:lnTo>
              <a:lnTo>
                <a:pt x="3119" y="0"/>
              </a:lnTo>
              <a:lnTo>
                <a:pt x="1124" y="1124"/>
              </a:lnTo>
              <a:lnTo>
                <a:pt x="270" y="90"/>
              </a:lnTo>
              <a:lnTo>
                <a:pt x="4243" y="-66"/>
              </a:lnTo>
              <a:lnTo>
                <a:pt x="1124" y="1124"/>
              </a:lnTo>
              <a:close/>
            </a:path>
          </a:pathLst>
        </a:custGeom>
        <a:gradFill rotWithShape="0">
          <a:gsLst>
            <a:gs pos="0">
              <a:srgbClr val="4F81BD"/>
            </a:gs>
            <a:gs pos="100000">
              <a:srgbClr val="375A84"/>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Información de la subvención</a:t>
          </a:r>
        </a:p>
      </xdr:txBody>
    </xdr:sp>
    <xdr:clientData/>
  </xdr:twoCellAnchor>
  <xdr:twoCellAnchor>
    <xdr:from>
      <xdr:col>1</xdr:col>
      <xdr:colOff>581025</xdr:colOff>
      <xdr:row>15</xdr:row>
      <xdr:rowOff>180975</xdr:rowOff>
    </xdr:from>
    <xdr:to>
      <xdr:col>1</xdr:col>
      <xdr:colOff>723900</xdr:colOff>
      <xdr:row>16</xdr:row>
      <xdr:rowOff>123825</xdr:rowOff>
    </xdr:to>
    <xdr:sp macro="" textlink="">
      <xdr:nvSpPr>
        <xdr:cNvPr id="1048" name="Freeform 32">
          <a:extLst>
            <a:ext uri="{FF2B5EF4-FFF2-40B4-BE49-F238E27FC236}">
              <a16:creationId xmlns:a16="http://schemas.microsoft.com/office/drawing/2014/main" id="{764636AD-13AB-4D85-B3DF-68CE9C9CCF45}"/>
            </a:ext>
          </a:extLst>
        </xdr:cNvPr>
        <xdr:cNvSpPr>
          <a:spLocks noChangeArrowheads="1"/>
        </xdr:cNvSpPr>
      </xdr:nvSpPr>
      <xdr:spPr bwMode="auto">
        <a:xfrm>
          <a:off x="657225" y="3514725"/>
          <a:ext cx="142875" cy="133350"/>
        </a:xfrm>
        <a:custGeom>
          <a:avLst/>
          <a:gdLst>
            <a:gd name="G0" fmla="*/ 65534 402 1"/>
            <a:gd name="G1" fmla="*/ G0 1 596"/>
            <a:gd name="G2" fmla="*/ 1 0 0"/>
            <a:gd name="G3" fmla="*/ G2 360 1"/>
            <a:gd name="G4" fmla="*/ G3 1 598"/>
            <a:gd name="G5" fmla="*/ 1 0 0"/>
            <a:gd name="G6" fmla="*/ G5 402 1"/>
            <a:gd name="G7" fmla="*/ G6 1 596"/>
            <a:gd name="G8" fmla="*/ 65534 360 1"/>
            <a:gd name="G9" fmla="*/ G8 1 598"/>
            <a:gd name="G10" fmla="*/ 1 0 0"/>
            <a:gd name="G11" fmla="*/ G10 402 1"/>
            <a:gd name="G12" fmla="*/ G11 1 596"/>
            <a:gd name="G13" fmla="*/ 65534 360 1"/>
            <a:gd name="G14" fmla="*/ G13 1 598"/>
            <a:gd name="G15" fmla="*/ 65534 402 1"/>
            <a:gd name="G16" fmla="*/ G15 1 596"/>
            <a:gd name="G17" fmla="*/ 65534 360 1"/>
            <a:gd name="G18" fmla="*/ G17 1 598"/>
            <a:gd name="G19" fmla="*/ 65534 402 1"/>
            <a:gd name="G20" fmla="*/ G19 1 596"/>
            <a:gd name="G21" fmla="*/ 1 0 0"/>
            <a:gd name="G22" fmla="*/ G21 360 1"/>
            <a:gd name="G23" fmla="*/ G22 1 598"/>
            <a:gd name="G24" fmla="*/ 65534 402 1"/>
            <a:gd name="G25" fmla="*/ G24 1 596"/>
            <a:gd name="G26" fmla="*/ 1 0 0"/>
            <a:gd name="G27" fmla="*/ G26 360 1"/>
            <a:gd name="G28" fmla="*/ G27 1 598"/>
            <a:gd name="G29" fmla="*/ 1 0 0"/>
            <a:gd name="G30" fmla="*/ 1 0 0"/>
            <a:gd name="G31" fmla="*/ 1 0 0"/>
            <a:gd name="G32" fmla="*/ 1 0 0"/>
            <a:gd name="G33" fmla="*/ 1 0 0"/>
            <a:gd name="G34" fmla="*/ 1 0 0"/>
            <a:gd name="G35" fmla="*/ 1 0 0"/>
            <a:gd name="G36" fmla="*/ G35 402 1"/>
            <a:gd name="G37" fmla="*/ G36 1 596"/>
            <a:gd name="G38" fmla="*/ 1 0 0"/>
            <a:gd name="G39" fmla="*/ G38 360 1"/>
            <a:gd name="G40" fmla="*/ G39 1 598"/>
            <a:gd name="G41" fmla="*/ 596 402 1"/>
            <a:gd name="G42" fmla="*/ G41 1 596"/>
            <a:gd name="G43" fmla="*/ 598 360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533400</xdr:colOff>
      <xdr:row>10</xdr:row>
      <xdr:rowOff>19050</xdr:rowOff>
    </xdr:from>
    <xdr:to>
      <xdr:col>3</xdr:col>
      <xdr:colOff>514350</xdr:colOff>
      <xdr:row>11</xdr:row>
      <xdr:rowOff>190500</xdr:rowOff>
    </xdr:to>
    <xdr:sp macro="" textlink="">
      <xdr:nvSpPr>
        <xdr:cNvPr id="1049" name="AutoShape 30">
          <a:extLst>
            <a:ext uri="{FF2B5EF4-FFF2-40B4-BE49-F238E27FC236}">
              <a16:creationId xmlns:a16="http://schemas.microsoft.com/office/drawing/2014/main" id="{FC0A8342-6D00-4855-BACD-DEBA4090288C}"/>
            </a:ext>
          </a:extLst>
        </xdr:cNvPr>
        <xdr:cNvSpPr>
          <a:spLocks noChangeArrowheads="1"/>
        </xdr:cNvSpPr>
      </xdr:nvSpPr>
      <xdr:spPr bwMode="auto">
        <a:xfrm>
          <a:off x="609600" y="2400300"/>
          <a:ext cx="1504950" cy="361950"/>
        </a:xfrm>
        <a:custGeom>
          <a:avLst/>
          <a:gdLst>
            <a:gd name="G0" fmla="*/ 1 0 0"/>
            <a:gd name="G1" fmla="+- G0 0 13152"/>
            <a:gd name="G2" fmla="*/ 1 0 0"/>
            <a:gd name="G3" fmla="+- 50000 0 13152"/>
            <a:gd name="G4" fmla="?: G3 13152 50000"/>
            <a:gd name="G5" fmla="?: G1 G2 G3"/>
            <a:gd name="G6" fmla="min 4391 995"/>
            <a:gd name="G7" fmla="*/ G6 G5 1"/>
            <a:gd name="G8" fmla="*/ G7 1 34464"/>
            <a:gd name="G9" fmla="+- 4391 0 G8"/>
            <a:gd name="G10" fmla="+- 995 0 G8"/>
            <a:gd name="G11" fmla="*/ G8 29289 1"/>
            <a:gd name="G12" fmla="*/ G11 1 34464"/>
            <a:gd name="G13" fmla="+- 4391 0 G12"/>
            <a:gd name="G14" fmla="+- 995 0 G12"/>
            <a:gd name="G15" fmla="*/ 4391 1 2"/>
            <a:gd name="G16" fmla="*/ 995 1 2"/>
            <a:gd name="G17" fmla="+- 995 0 0"/>
            <a:gd name="G18" fmla="+- 4391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064"/>
              </a:moveTo>
              <a:lnTo>
                <a:pt x="1064" y="1064"/>
              </a:lnTo>
              <a:lnTo>
                <a:pt x="180" y="90"/>
              </a:lnTo>
              <a:lnTo>
                <a:pt x="3327" y="0"/>
              </a:lnTo>
              <a:lnTo>
                <a:pt x="1064" y="1064"/>
              </a:lnTo>
              <a:lnTo>
                <a:pt x="270" y="90"/>
              </a:lnTo>
              <a:lnTo>
                <a:pt x="4391" y="-69"/>
              </a:lnTo>
              <a:lnTo>
                <a:pt x="1064" y="1064"/>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1</xdr:col>
      <xdr:colOff>561975</xdr:colOff>
      <xdr:row>10</xdr:row>
      <xdr:rowOff>38100</xdr:rowOff>
    </xdr:from>
    <xdr:to>
      <xdr:col>3</xdr:col>
      <xdr:colOff>485775</xdr:colOff>
      <xdr:row>11</xdr:row>
      <xdr:rowOff>161925</xdr:rowOff>
    </xdr:to>
    <xdr:sp macro="" textlink="" fLocksText="0">
      <xdr:nvSpPr>
        <xdr:cNvPr id="1050" name="AutoShape 31">
          <a:hlinkClick xmlns:r="http://schemas.openxmlformats.org/officeDocument/2006/relationships" r:id="rId9"/>
          <a:extLst>
            <a:ext uri="{FF2B5EF4-FFF2-40B4-BE49-F238E27FC236}">
              <a16:creationId xmlns:a16="http://schemas.microsoft.com/office/drawing/2014/main" id="{9E9F79BF-1E65-4F42-98A7-E890F9A98F42}"/>
            </a:ext>
          </a:extLst>
        </xdr:cNvPr>
        <xdr:cNvSpPr>
          <a:spLocks noChangeArrowheads="1"/>
        </xdr:cNvSpPr>
      </xdr:nvSpPr>
      <xdr:spPr bwMode="auto">
        <a:xfrm>
          <a:off x="638175" y="2419350"/>
          <a:ext cx="1447800" cy="314325"/>
        </a:xfrm>
        <a:custGeom>
          <a:avLst/>
          <a:gdLst>
            <a:gd name="G0" fmla="*/ 1 0 0"/>
            <a:gd name="G1" fmla="+- G0 0 13375"/>
            <a:gd name="G2" fmla="*/ 1 0 0"/>
            <a:gd name="G3" fmla="+- 50000 0 13375"/>
            <a:gd name="G4" fmla="?: G3 13375 50000"/>
            <a:gd name="G5" fmla="?: G1 G2 G3"/>
            <a:gd name="G6" fmla="min 4243 873"/>
            <a:gd name="G7" fmla="*/ G6 G5 1"/>
            <a:gd name="G8" fmla="*/ G7 1 34464"/>
            <a:gd name="G9" fmla="+- 4243 0 G8"/>
            <a:gd name="G10" fmla="+- 873 0 G8"/>
            <a:gd name="G11" fmla="*/ G8 29289 1"/>
            <a:gd name="G12" fmla="*/ G11 1 34464"/>
            <a:gd name="G13" fmla="+- 4243 0 G12"/>
            <a:gd name="G14" fmla="+- 873 0 G12"/>
            <a:gd name="G15" fmla="*/ 4243 1 2"/>
            <a:gd name="G16" fmla="*/ 873 1 2"/>
            <a:gd name="G17" fmla="+- 873 0 0"/>
            <a:gd name="G18" fmla="+- 424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928"/>
              </a:moveTo>
              <a:lnTo>
                <a:pt x="928" y="928"/>
              </a:lnTo>
              <a:lnTo>
                <a:pt x="180" y="90"/>
              </a:lnTo>
              <a:lnTo>
                <a:pt x="3315" y="0"/>
              </a:lnTo>
              <a:lnTo>
                <a:pt x="928" y="928"/>
              </a:lnTo>
              <a:lnTo>
                <a:pt x="270" y="90"/>
              </a:lnTo>
              <a:lnTo>
                <a:pt x="4243" y="-55"/>
              </a:lnTo>
              <a:lnTo>
                <a:pt x="928" y="928"/>
              </a:lnTo>
              <a:close/>
            </a:path>
          </a:pathLst>
        </a:custGeom>
        <a:gradFill rotWithShape="0">
          <a:gsLst>
            <a:gs pos="0">
              <a:srgbClr val="4F81BD"/>
            </a:gs>
            <a:gs pos="100000">
              <a:srgbClr val="375A84"/>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Lista de indicadores</a:t>
          </a:r>
        </a:p>
      </xdr:txBody>
    </xdr:sp>
    <xdr:clientData/>
  </xdr:twoCellAnchor>
  <xdr:twoCellAnchor>
    <xdr:from>
      <xdr:col>1</xdr:col>
      <xdr:colOff>581025</xdr:colOff>
      <xdr:row>10</xdr:row>
      <xdr:rowOff>66675</xdr:rowOff>
    </xdr:from>
    <xdr:to>
      <xdr:col>1</xdr:col>
      <xdr:colOff>723900</xdr:colOff>
      <xdr:row>11</xdr:row>
      <xdr:rowOff>38100</xdr:rowOff>
    </xdr:to>
    <xdr:sp macro="" textlink="">
      <xdr:nvSpPr>
        <xdr:cNvPr id="1051" name="Freeform 32">
          <a:extLst>
            <a:ext uri="{FF2B5EF4-FFF2-40B4-BE49-F238E27FC236}">
              <a16:creationId xmlns:a16="http://schemas.microsoft.com/office/drawing/2014/main" id="{C5634D54-CDA6-4FA3-B442-25B42750C1E6}"/>
            </a:ext>
          </a:extLst>
        </xdr:cNvPr>
        <xdr:cNvSpPr>
          <a:spLocks noChangeArrowheads="1"/>
        </xdr:cNvSpPr>
      </xdr:nvSpPr>
      <xdr:spPr bwMode="auto">
        <a:xfrm>
          <a:off x="657225" y="2447925"/>
          <a:ext cx="142875" cy="161925"/>
        </a:xfrm>
        <a:custGeom>
          <a:avLst/>
          <a:gdLst>
            <a:gd name="G0" fmla="*/ 65534 445 1"/>
            <a:gd name="G1" fmla="*/ G0 1 596"/>
            <a:gd name="G2" fmla="*/ 1 0 0"/>
            <a:gd name="G3" fmla="*/ G2 423 1"/>
            <a:gd name="G4" fmla="*/ G3 1 598"/>
            <a:gd name="G5" fmla="*/ 1 0 0"/>
            <a:gd name="G6" fmla="*/ G5 445 1"/>
            <a:gd name="G7" fmla="*/ G6 1 596"/>
            <a:gd name="G8" fmla="*/ 65534 423 1"/>
            <a:gd name="G9" fmla="*/ G8 1 598"/>
            <a:gd name="G10" fmla="*/ 1 0 0"/>
            <a:gd name="G11" fmla="*/ G10 445 1"/>
            <a:gd name="G12" fmla="*/ G11 1 596"/>
            <a:gd name="G13" fmla="*/ 65534 423 1"/>
            <a:gd name="G14" fmla="*/ G13 1 598"/>
            <a:gd name="G15" fmla="*/ 65534 445 1"/>
            <a:gd name="G16" fmla="*/ G15 1 596"/>
            <a:gd name="G17" fmla="*/ 65534 423 1"/>
            <a:gd name="G18" fmla="*/ G17 1 598"/>
            <a:gd name="G19" fmla="*/ 65534 445 1"/>
            <a:gd name="G20" fmla="*/ G19 1 596"/>
            <a:gd name="G21" fmla="*/ 1 0 0"/>
            <a:gd name="G22" fmla="*/ G21 423 1"/>
            <a:gd name="G23" fmla="*/ G22 1 598"/>
            <a:gd name="G24" fmla="*/ 65534 445 1"/>
            <a:gd name="G25" fmla="*/ G24 1 596"/>
            <a:gd name="G26" fmla="*/ 1 0 0"/>
            <a:gd name="G27" fmla="*/ G26 423 1"/>
            <a:gd name="G28" fmla="*/ G27 1 598"/>
            <a:gd name="G29" fmla="*/ 1 0 0"/>
            <a:gd name="G30" fmla="*/ 1 0 0"/>
            <a:gd name="G31" fmla="*/ 1 0 0"/>
            <a:gd name="G32" fmla="*/ 1 0 0"/>
            <a:gd name="G33" fmla="*/ 1 0 0"/>
            <a:gd name="G34" fmla="*/ 1 0 0"/>
            <a:gd name="G35" fmla="*/ 1 0 0"/>
            <a:gd name="G36" fmla="*/ G35 445 1"/>
            <a:gd name="G37" fmla="*/ G36 1 596"/>
            <a:gd name="G38" fmla="*/ 1 0 0"/>
            <a:gd name="G39" fmla="*/ G38 423 1"/>
            <a:gd name="G40" fmla="*/ G39 1 598"/>
            <a:gd name="G41" fmla="*/ 596 445 1"/>
            <a:gd name="G42" fmla="*/ G41 1 596"/>
            <a:gd name="G43" fmla="*/ 598 423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533400</xdr:colOff>
      <xdr:row>12</xdr:row>
      <xdr:rowOff>180975</xdr:rowOff>
    </xdr:from>
    <xdr:to>
      <xdr:col>3</xdr:col>
      <xdr:colOff>514350</xdr:colOff>
      <xdr:row>14</xdr:row>
      <xdr:rowOff>161925</xdr:rowOff>
    </xdr:to>
    <xdr:sp macro="" textlink="">
      <xdr:nvSpPr>
        <xdr:cNvPr id="1052" name="AutoShape 30">
          <a:extLst>
            <a:ext uri="{FF2B5EF4-FFF2-40B4-BE49-F238E27FC236}">
              <a16:creationId xmlns:a16="http://schemas.microsoft.com/office/drawing/2014/main" id="{D006BEE2-073B-4699-A31E-1755BE2DB0E8}"/>
            </a:ext>
          </a:extLst>
        </xdr:cNvPr>
        <xdr:cNvSpPr>
          <a:spLocks noChangeArrowheads="1"/>
        </xdr:cNvSpPr>
      </xdr:nvSpPr>
      <xdr:spPr bwMode="auto">
        <a:xfrm>
          <a:off x="609600" y="2943225"/>
          <a:ext cx="1504950" cy="361950"/>
        </a:xfrm>
        <a:custGeom>
          <a:avLst/>
          <a:gdLst>
            <a:gd name="G0" fmla="*/ 1 0 0"/>
            <a:gd name="G1" fmla="+- G0 0 13152"/>
            <a:gd name="G2" fmla="*/ 1 0 0"/>
            <a:gd name="G3" fmla="+- 50000 0 13152"/>
            <a:gd name="G4" fmla="?: G3 13152 50000"/>
            <a:gd name="G5" fmla="?: G1 G2 G3"/>
            <a:gd name="G6" fmla="min 4391 995"/>
            <a:gd name="G7" fmla="*/ G6 G5 1"/>
            <a:gd name="G8" fmla="*/ G7 1 34464"/>
            <a:gd name="G9" fmla="+- 4391 0 G8"/>
            <a:gd name="G10" fmla="+- 995 0 G8"/>
            <a:gd name="G11" fmla="*/ G8 29289 1"/>
            <a:gd name="G12" fmla="*/ G11 1 34464"/>
            <a:gd name="G13" fmla="+- 4391 0 G12"/>
            <a:gd name="G14" fmla="+- 995 0 G12"/>
            <a:gd name="G15" fmla="*/ 4391 1 2"/>
            <a:gd name="G16" fmla="*/ 995 1 2"/>
            <a:gd name="G17" fmla="+- 995 0 0"/>
            <a:gd name="G18" fmla="+- 4391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1064"/>
              </a:moveTo>
              <a:lnTo>
                <a:pt x="1064" y="1064"/>
              </a:lnTo>
              <a:lnTo>
                <a:pt x="180" y="90"/>
              </a:lnTo>
              <a:lnTo>
                <a:pt x="3327" y="0"/>
              </a:lnTo>
              <a:lnTo>
                <a:pt x="1064" y="1064"/>
              </a:lnTo>
              <a:lnTo>
                <a:pt x="270" y="90"/>
              </a:lnTo>
              <a:lnTo>
                <a:pt x="4391" y="-69"/>
              </a:lnTo>
              <a:lnTo>
                <a:pt x="1064" y="1064"/>
              </a:lnTo>
              <a:close/>
            </a:path>
          </a:pathLst>
        </a:custGeom>
        <a:gradFill rotWithShape="0">
          <a:gsLst>
            <a:gs pos="0">
              <a:srgbClr val="EEEEEE"/>
            </a:gs>
            <a:gs pos="100000">
              <a:srgbClr val="DDDDDD"/>
            </a:gs>
          </a:gsLst>
          <a:lin ang="2700000" scaled="1"/>
        </a:gradFill>
        <a:ln w="9360" cap="flat">
          <a:solidFill>
            <a:srgbClr val="FFFFFF"/>
          </a:solidFill>
          <a:miter lim="800000"/>
          <a:headEnd/>
          <a:tailEnd/>
        </a:ln>
        <a:effectLst>
          <a:outerShdw dist="134596" dir="2882134" algn="ctr" rotWithShape="0">
            <a:srgbClr val="000000">
              <a:alpha val="51027"/>
            </a:srgbClr>
          </a:outerShdw>
        </a:effectLst>
      </xdr:spPr>
    </xdr:sp>
    <xdr:clientData/>
  </xdr:twoCellAnchor>
  <xdr:twoCellAnchor>
    <xdr:from>
      <xdr:col>1</xdr:col>
      <xdr:colOff>561975</xdr:colOff>
      <xdr:row>13</xdr:row>
      <xdr:rowOff>19050</xdr:rowOff>
    </xdr:from>
    <xdr:to>
      <xdr:col>3</xdr:col>
      <xdr:colOff>485775</xdr:colOff>
      <xdr:row>14</xdr:row>
      <xdr:rowOff>123825</xdr:rowOff>
    </xdr:to>
    <xdr:sp macro="" textlink="" fLocksText="0">
      <xdr:nvSpPr>
        <xdr:cNvPr id="1053" name="AutoShape 31">
          <a:hlinkClick xmlns:r="http://schemas.openxmlformats.org/officeDocument/2006/relationships" r:id="rId10"/>
          <a:extLst>
            <a:ext uri="{FF2B5EF4-FFF2-40B4-BE49-F238E27FC236}">
              <a16:creationId xmlns:a16="http://schemas.microsoft.com/office/drawing/2014/main" id="{51AA6969-1E58-40C8-9E1B-92CF547B190D}"/>
            </a:ext>
          </a:extLst>
        </xdr:cNvPr>
        <xdr:cNvSpPr>
          <a:spLocks noChangeArrowheads="1"/>
        </xdr:cNvSpPr>
      </xdr:nvSpPr>
      <xdr:spPr bwMode="auto">
        <a:xfrm>
          <a:off x="638175" y="2971800"/>
          <a:ext cx="1447800" cy="295275"/>
        </a:xfrm>
        <a:custGeom>
          <a:avLst/>
          <a:gdLst>
            <a:gd name="G0" fmla="*/ 1 0 0"/>
            <a:gd name="G1" fmla="+- G0 0 13375"/>
            <a:gd name="G2" fmla="*/ 1 0 0"/>
            <a:gd name="G3" fmla="+- 50000 0 13375"/>
            <a:gd name="G4" fmla="?: G3 13375 50000"/>
            <a:gd name="G5" fmla="?: G1 G2 G3"/>
            <a:gd name="G6" fmla="min 4243 825"/>
            <a:gd name="G7" fmla="*/ G6 G5 1"/>
            <a:gd name="G8" fmla="*/ G7 1 34464"/>
            <a:gd name="G9" fmla="+- 4243 0 G8"/>
            <a:gd name="G10" fmla="+- 825 0 G8"/>
            <a:gd name="G11" fmla="*/ G8 29289 1"/>
            <a:gd name="G12" fmla="*/ G11 1 34464"/>
            <a:gd name="G13" fmla="+- 4243 0 G12"/>
            <a:gd name="G14" fmla="+- 825 0 G12"/>
            <a:gd name="G15" fmla="*/ 4243 1 2"/>
            <a:gd name="G16" fmla="*/ 825 1 2"/>
            <a:gd name="G17" fmla="+- 825 0 0"/>
            <a:gd name="G18" fmla="+- 4243 0 0"/>
            <a:gd name="G19" fmla="+- 180 0 0"/>
            <a:gd name="G20" fmla="+- 90 0 0"/>
            <a:gd name="G21" fmla="+- 270 0 0"/>
            <a:gd name="G22" fmla="+- 90 0 0"/>
            <a:gd name="G23" fmla="*/ 1 0 0"/>
            <a:gd name="G24" fmla="+- 90 0 0"/>
            <a:gd name="G25" fmla="+- 90 0 0"/>
            <a:gd name="G26" fmla="+- 90 0 0"/>
          </a:gdLst>
          <a:ahLst/>
          <a:cxnLst>
            <a:cxn ang="0">
              <a:pos x="r" y="vc"/>
            </a:cxn>
            <a:cxn ang="5400000">
              <a:pos x="hc" y="b"/>
            </a:cxn>
            <a:cxn ang="10800000">
              <a:pos x="l" y="vc"/>
            </a:cxn>
            <a:cxn ang="16200000">
              <a:pos x="hc" y="t"/>
            </a:cxn>
          </a:cxnLst>
          <a:rect l="0" t="0" r="0" b="0"/>
          <a:pathLst>
            <a:path>
              <a:moveTo>
                <a:pt x="0" y="877"/>
              </a:moveTo>
              <a:lnTo>
                <a:pt x="877" y="877"/>
              </a:lnTo>
              <a:lnTo>
                <a:pt x="180" y="90"/>
              </a:lnTo>
              <a:lnTo>
                <a:pt x="3366" y="0"/>
              </a:lnTo>
              <a:lnTo>
                <a:pt x="877" y="877"/>
              </a:lnTo>
              <a:lnTo>
                <a:pt x="270" y="90"/>
              </a:lnTo>
              <a:lnTo>
                <a:pt x="4243" y="-52"/>
              </a:lnTo>
              <a:lnTo>
                <a:pt x="877" y="877"/>
              </a:lnTo>
              <a:close/>
            </a:path>
          </a:pathLst>
        </a:custGeom>
        <a:gradFill rotWithShape="0">
          <a:gsLst>
            <a:gs pos="0">
              <a:srgbClr val="4F81BD"/>
            </a:gs>
            <a:gs pos="100000">
              <a:srgbClr val="375A84"/>
            </a:gs>
          </a:gsLst>
          <a:lin ang="5400000" scaled="1"/>
        </a:gradFill>
        <a:ln w="9360" cap="flat">
          <a:solidFill>
            <a:srgbClr val="FEFEFE"/>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l" rtl="0">
            <a:defRPr sz="1000"/>
          </a:pPr>
          <a:r>
            <a:rPr lang="es-SV" sz="1000" b="0" i="0" u="none" strike="noStrike" baseline="0">
              <a:solidFill>
                <a:srgbClr val="FFFFFF"/>
              </a:solidFill>
              <a:latin typeface="Arial"/>
              <a:cs typeface="Arial"/>
            </a:rPr>
            <a:t>Introducción de datos</a:t>
          </a:r>
        </a:p>
      </xdr:txBody>
    </xdr:sp>
    <xdr:clientData/>
  </xdr:twoCellAnchor>
  <xdr:twoCellAnchor>
    <xdr:from>
      <xdr:col>1</xdr:col>
      <xdr:colOff>581025</xdr:colOff>
      <xdr:row>13</xdr:row>
      <xdr:rowOff>38100</xdr:rowOff>
    </xdr:from>
    <xdr:to>
      <xdr:col>1</xdr:col>
      <xdr:colOff>733425</xdr:colOff>
      <xdr:row>13</xdr:row>
      <xdr:rowOff>190500</xdr:rowOff>
    </xdr:to>
    <xdr:sp macro="" textlink="">
      <xdr:nvSpPr>
        <xdr:cNvPr id="1054" name="Freeform 32">
          <a:extLst>
            <a:ext uri="{FF2B5EF4-FFF2-40B4-BE49-F238E27FC236}">
              <a16:creationId xmlns:a16="http://schemas.microsoft.com/office/drawing/2014/main" id="{FB1EF104-FEE2-40BA-B545-AD9D9F8C5C96}"/>
            </a:ext>
          </a:extLst>
        </xdr:cNvPr>
        <xdr:cNvSpPr>
          <a:spLocks noChangeArrowheads="1"/>
        </xdr:cNvSpPr>
      </xdr:nvSpPr>
      <xdr:spPr bwMode="auto">
        <a:xfrm>
          <a:off x="657225" y="2990850"/>
          <a:ext cx="152400" cy="152400"/>
        </a:xfrm>
        <a:custGeom>
          <a:avLst/>
          <a:gdLst>
            <a:gd name="G0" fmla="*/ 65534 445 1"/>
            <a:gd name="G1" fmla="*/ G0 1 596"/>
            <a:gd name="G2" fmla="*/ 1 0 0"/>
            <a:gd name="G3" fmla="*/ G2 423 1"/>
            <a:gd name="G4" fmla="*/ G3 1 598"/>
            <a:gd name="G5" fmla="*/ 1 0 0"/>
            <a:gd name="G6" fmla="*/ G5 445 1"/>
            <a:gd name="G7" fmla="*/ G6 1 596"/>
            <a:gd name="G8" fmla="*/ 65534 423 1"/>
            <a:gd name="G9" fmla="*/ G8 1 598"/>
            <a:gd name="G10" fmla="*/ 1 0 0"/>
            <a:gd name="G11" fmla="*/ G10 445 1"/>
            <a:gd name="G12" fmla="*/ G11 1 596"/>
            <a:gd name="G13" fmla="*/ 65534 423 1"/>
            <a:gd name="G14" fmla="*/ G13 1 598"/>
            <a:gd name="G15" fmla="*/ 65534 445 1"/>
            <a:gd name="G16" fmla="*/ G15 1 596"/>
            <a:gd name="G17" fmla="*/ 65534 423 1"/>
            <a:gd name="G18" fmla="*/ G17 1 598"/>
            <a:gd name="G19" fmla="*/ 65534 445 1"/>
            <a:gd name="G20" fmla="*/ G19 1 596"/>
            <a:gd name="G21" fmla="*/ 1 0 0"/>
            <a:gd name="G22" fmla="*/ G21 423 1"/>
            <a:gd name="G23" fmla="*/ G22 1 598"/>
            <a:gd name="G24" fmla="*/ 65534 445 1"/>
            <a:gd name="G25" fmla="*/ G24 1 596"/>
            <a:gd name="G26" fmla="*/ 1 0 0"/>
            <a:gd name="G27" fmla="*/ G26 423 1"/>
            <a:gd name="G28" fmla="*/ G27 1 598"/>
            <a:gd name="G29" fmla="*/ 1 0 0"/>
            <a:gd name="G30" fmla="*/ 1 0 0"/>
            <a:gd name="G31" fmla="*/ 1 0 0"/>
            <a:gd name="G32" fmla="*/ 1 0 0"/>
            <a:gd name="G33" fmla="*/ 1 0 0"/>
            <a:gd name="G34" fmla="*/ 1 0 0"/>
            <a:gd name="G35" fmla="*/ 1 0 0"/>
            <a:gd name="G36" fmla="*/ G35 445 1"/>
            <a:gd name="G37" fmla="*/ G36 1 596"/>
            <a:gd name="G38" fmla="*/ 1 0 0"/>
            <a:gd name="G39" fmla="*/ G38 423 1"/>
            <a:gd name="G40" fmla="*/ G39 1 598"/>
            <a:gd name="G41" fmla="*/ 596 445 1"/>
            <a:gd name="G42" fmla="*/ G41 1 596"/>
            <a:gd name="G43" fmla="*/ 598 423 1"/>
            <a:gd name="G44" fmla="*/ G43 1 598"/>
          </a:gdLst>
          <a:ahLst/>
          <a:cxnLst>
            <a:cxn ang="0">
              <a:pos x="r" y="vc"/>
            </a:cxn>
            <a:cxn ang="5400000">
              <a:pos x="hc" y="b"/>
            </a:cxn>
            <a:cxn ang="10800000">
              <a:pos x="l" y="vc"/>
            </a:cxn>
            <a:cxn ang="16200000">
              <a:pos x="hc" y="t"/>
            </a:cxn>
          </a:cxnLst>
          <a:rect l="0" t="0" r="0" b="0"/>
          <a:pathLst>
            <a:path>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0">
          <a:gsLst>
            <a:gs pos="0">
              <a:srgbClr val="9FBADB"/>
            </a:gs>
            <a:gs pos="50000">
              <a:srgbClr val="4F81BD"/>
            </a:gs>
            <a:gs pos="100000">
              <a:srgbClr val="9FBADB"/>
            </a:gs>
          </a:gsLst>
          <a:lin ang="2700000" scaled="1"/>
        </a:gra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276225</xdr:colOff>
      <xdr:row>7</xdr:row>
      <xdr:rowOff>38100</xdr:rowOff>
    </xdr:from>
    <xdr:to>
      <xdr:col>4</xdr:col>
      <xdr:colOff>114300</xdr:colOff>
      <xdr:row>9</xdr:row>
      <xdr:rowOff>123825</xdr:rowOff>
    </xdr:to>
    <xdr:pic>
      <xdr:nvPicPr>
        <xdr:cNvPr id="1055" name="Picture 2012">
          <a:extLst>
            <a:ext uri="{FF2B5EF4-FFF2-40B4-BE49-F238E27FC236}">
              <a16:creationId xmlns:a16="http://schemas.microsoft.com/office/drawing/2014/main" id="{979C8AEE-867D-48BE-ADF4-CA08B12FB89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52425" y="1847850"/>
          <a:ext cx="2124075" cy="466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323850</xdr:colOff>
      <xdr:row>7</xdr:row>
      <xdr:rowOff>85725</xdr:rowOff>
    </xdr:from>
    <xdr:to>
      <xdr:col>4</xdr:col>
      <xdr:colOff>95250</xdr:colOff>
      <xdr:row>9</xdr:row>
      <xdr:rowOff>180975</xdr:rowOff>
    </xdr:to>
    <xdr:sp macro="" textlink="" fLocksText="0">
      <xdr:nvSpPr>
        <xdr:cNvPr id="1056" name="Text Box 2013">
          <a:extLst>
            <a:ext uri="{FF2B5EF4-FFF2-40B4-BE49-F238E27FC236}">
              <a16:creationId xmlns:a16="http://schemas.microsoft.com/office/drawing/2014/main" id="{05AA8D43-7FE5-4BF3-9099-531AF64277D3}"/>
            </a:ext>
          </a:extLst>
        </xdr:cNvPr>
        <xdr:cNvSpPr>
          <a:spLocks noChangeArrowheads="1"/>
        </xdr:cNvSpPr>
      </xdr:nvSpPr>
      <xdr:spPr bwMode="auto">
        <a:xfrm>
          <a:off x="400050" y="1895475"/>
          <a:ext cx="2057400" cy="476250"/>
        </a:xfrm>
        <a:custGeom>
          <a:avLst/>
          <a:gdLst>
            <a:gd name="G0" fmla="*/ 6027 1 2"/>
            <a:gd name="G1" fmla="*/ 1323 1 2"/>
            <a:gd name="G2" fmla="+- 1323 0 0"/>
            <a:gd name="G3" fmla="+- 6027 0 0"/>
          </a:gdLst>
          <a:ahLst/>
          <a:cxnLst>
            <a:cxn ang="0">
              <a:pos x="r" y="vc"/>
            </a:cxn>
            <a:cxn ang="5400000">
              <a:pos x="hc" y="b"/>
            </a:cxn>
            <a:cxn ang="10800000">
              <a:pos x="l" y="vc"/>
            </a:cxn>
            <a:cxn ang="16200000">
              <a:pos x="hc" y="t"/>
            </a:cxn>
          </a:cxnLst>
          <a:rect l="0" t="0" r="0" b="0"/>
          <a:pathLst>
            <a:path>
              <a:moveTo>
                <a:pt x="0" y="0"/>
              </a:moveTo>
              <a:lnTo>
                <a:pt x="6027" y="0"/>
              </a:lnTo>
              <a:lnTo>
                <a:pt x="6027" y="1323"/>
              </a:lnTo>
              <a:lnTo>
                <a:pt x="0" y="1323"/>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0" anchor="t"/>
        <a:lstStyle/>
        <a:p>
          <a:pPr algn="l" rtl="0">
            <a:defRPr sz="1000"/>
          </a:pPr>
          <a:r>
            <a:rPr lang="es-SV" sz="1100" b="0" i="0" u="none" strike="noStrike" baseline="0">
              <a:solidFill>
                <a:srgbClr val="000000"/>
              </a:solidFill>
              <a:latin typeface="Arial"/>
              <a:cs typeface="Arial"/>
            </a:rPr>
            <a:t>Información de la subvención</a:t>
          </a:r>
        </a:p>
        <a:p>
          <a:pPr algn="l" rtl="0">
            <a:defRPr sz="1000"/>
          </a:pPr>
          <a:endParaRPr lang="es-SV" sz="1100" b="0" i="0" u="none" strike="noStrike" baseline="0">
            <a:solidFill>
              <a:srgbClr val="000000"/>
            </a:solidFill>
            <a:latin typeface="Arial"/>
            <a:cs typeface="Arial"/>
          </a:endParaRPr>
        </a:p>
      </xdr:txBody>
    </xdr:sp>
    <xdr:clientData/>
  </xdr:twoCellAnchor>
  <xdr:twoCellAnchor>
    <xdr:from>
      <xdr:col>4</xdr:col>
      <xdr:colOff>257175</xdr:colOff>
      <xdr:row>7</xdr:row>
      <xdr:rowOff>38100</xdr:rowOff>
    </xdr:from>
    <xdr:to>
      <xdr:col>7</xdr:col>
      <xdr:colOff>571500</xdr:colOff>
      <xdr:row>9</xdr:row>
      <xdr:rowOff>123825</xdr:rowOff>
    </xdr:to>
    <xdr:pic>
      <xdr:nvPicPr>
        <xdr:cNvPr id="1057" name="Picture 2016">
          <a:extLst>
            <a:ext uri="{FF2B5EF4-FFF2-40B4-BE49-F238E27FC236}">
              <a16:creationId xmlns:a16="http://schemas.microsoft.com/office/drawing/2014/main" id="{923C9501-B9ED-4DBA-A0CB-EC7CAA4F9BD3}"/>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619375" y="1847850"/>
          <a:ext cx="2600325" cy="466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638175</xdr:colOff>
      <xdr:row>7</xdr:row>
      <xdr:rowOff>85725</xdr:rowOff>
    </xdr:from>
    <xdr:to>
      <xdr:col>7</xdr:col>
      <xdr:colOff>304800</xdr:colOff>
      <xdr:row>9</xdr:row>
      <xdr:rowOff>85725</xdr:rowOff>
    </xdr:to>
    <xdr:sp macro="" textlink="" fLocksText="0">
      <xdr:nvSpPr>
        <xdr:cNvPr id="1058" name="Text Box 2017">
          <a:extLst>
            <a:ext uri="{FF2B5EF4-FFF2-40B4-BE49-F238E27FC236}">
              <a16:creationId xmlns:a16="http://schemas.microsoft.com/office/drawing/2014/main" id="{B1C770D2-D651-4B5A-B493-C39F573BAC1A}"/>
            </a:ext>
          </a:extLst>
        </xdr:cNvPr>
        <xdr:cNvSpPr>
          <a:spLocks noChangeArrowheads="1"/>
        </xdr:cNvSpPr>
      </xdr:nvSpPr>
      <xdr:spPr bwMode="auto">
        <a:xfrm>
          <a:off x="3000375" y="1895475"/>
          <a:ext cx="1952625" cy="381000"/>
        </a:xfrm>
        <a:custGeom>
          <a:avLst/>
          <a:gdLst>
            <a:gd name="G0" fmla="*/ 5747 1 2"/>
            <a:gd name="G1" fmla="*/ 1058 1 2"/>
            <a:gd name="G2" fmla="+- 1058 0 0"/>
            <a:gd name="G3" fmla="+- 5747 0 0"/>
          </a:gdLst>
          <a:ahLst/>
          <a:cxnLst>
            <a:cxn ang="0">
              <a:pos x="r" y="vc"/>
            </a:cxn>
            <a:cxn ang="5400000">
              <a:pos x="hc" y="b"/>
            </a:cxn>
            <a:cxn ang="10800000">
              <a:pos x="l" y="vc"/>
            </a:cxn>
            <a:cxn ang="16200000">
              <a:pos x="hc" y="t"/>
            </a:cxn>
          </a:cxnLst>
          <a:rect l="0" t="0" r="0" b="0"/>
          <a:pathLst>
            <a:path>
              <a:moveTo>
                <a:pt x="0" y="0"/>
              </a:moveTo>
              <a:lnTo>
                <a:pt x="5747" y="0"/>
              </a:lnTo>
              <a:lnTo>
                <a:pt x="5747" y="1058"/>
              </a:lnTo>
              <a:lnTo>
                <a:pt x="0" y="1058"/>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s-SV" sz="1200" b="0" i="0" u="none" strike="noStrike" baseline="0">
              <a:solidFill>
                <a:srgbClr val="000000"/>
              </a:solidFill>
              <a:latin typeface="Arial"/>
              <a:cs typeface="Arial"/>
            </a:rPr>
            <a:t>Indicadores</a:t>
          </a:r>
        </a:p>
        <a:p>
          <a:pPr algn="l" rtl="0">
            <a:defRPr sz="1000"/>
          </a:pPr>
          <a:endParaRPr lang="es-SV" sz="1200" b="0" i="0" u="none" strike="noStrike" baseline="0">
            <a:solidFill>
              <a:srgbClr val="000000"/>
            </a:solidFill>
            <a:latin typeface="Arial"/>
            <a:cs typeface="Arial"/>
          </a:endParaRPr>
        </a:p>
      </xdr:txBody>
    </xdr:sp>
    <xdr:clientData/>
  </xdr:twoCellAnchor>
  <xdr:twoCellAnchor>
    <xdr:from>
      <xdr:col>7</xdr:col>
      <xdr:colOff>723900</xdr:colOff>
      <xdr:row>7</xdr:row>
      <xdr:rowOff>66675</xdr:rowOff>
    </xdr:from>
    <xdr:to>
      <xdr:col>11</xdr:col>
      <xdr:colOff>542925</xdr:colOff>
      <xdr:row>9</xdr:row>
      <xdr:rowOff>123825</xdr:rowOff>
    </xdr:to>
    <xdr:pic>
      <xdr:nvPicPr>
        <xdr:cNvPr id="1059" name="Picture 2018">
          <a:extLst>
            <a:ext uri="{FF2B5EF4-FFF2-40B4-BE49-F238E27FC236}">
              <a16:creationId xmlns:a16="http://schemas.microsoft.com/office/drawing/2014/main" id="{ED611BA0-2495-4912-A3A6-C4CE0158161C}"/>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372100" y="1876425"/>
          <a:ext cx="2209800" cy="4381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104775</xdr:colOff>
      <xdr:row>7</xdr:row>
      <xdr:rowOff>85725</xdr:rowOff>
    </xdr:from>
    <xdr:to>
      <xdr:col>11</xdr:col>
      <xdr:colOff>466725</xdr:colOff>
      <xdr:row>9</xdr:row>
      <xdr:rowOff>85725</xdr:rowOff>
    </xdr:to>
    <xdr:sp macro="" textlink="" fLocksText="0">
      <xdr:nvSpPr>
        <xdr:cNvPr id="1060" name="Text Box 2019">
          <a:extLst>
            <a:ext uri="{FF2B5EF4-FFF2-40B4-BE49-F238E27FC236}">
              <a16:creationId xmlns:a16="http://schemas.microsoft.com/office/drawing/2014/main" id="{1C1A8379-FF30-40A0-BD5D-F9200B9CF666}"/>
            </a:ext>
          </a:extLst>
        </xdr:cNvPr>
        <xdr:cNvSpPr>
          <a:spLocks noChangeArrowheads="1"/>
        </xdr:cNvSpPr>
      </xdr:nvSpPr>
      <xdr:spPr bwMode="auto">
        <a:xfrm>
          <a:off x="5514975" y="1895475"/>
          <a:ext cx="1990725" cy="381000"/>
        </a:xfrm>
        <a:custGeom>
          <a:avLst/>
          <a:gdLst>
            <a:gd name="G0" fmla="*/ 5860 1 2"/>
            <a:gd name="G1" fmla="*/ 1058 1 2"/>
            <a:gd name="G2" fmla="+- 1058 0 0"/>
            <a:gd name="G3" fmla="+- 5860 0 0"/>
          </a:gdLst>
          <a:ahLst/>
          <a:cxnLst>
            <a:cxn ang="0">
              <a:pos x="r" y="vc"/>
            </a:cxn>
            <a:cxn ang="5400000">
              <a:pos x="hc" y="b"/>
            </a:cxn>
            <a:cxn ang="10800000">
              <a:pos x="l" y="vc"/>
            </a:cxn>
            <a:cxn ang="16200000">
              <a:pos x="hc" y="t"/>
            </a:cxn>
          </a:cxnLst>
          <a:rect l="0" t="0" r="0" b="0"/>
          <a:pathLst>
            <a:path>
              <a:moveTo>
                <a:pt x="0" y="0"/>
              </a:moveTo>
              <a:lnTo>
                <a:pt x="5860" y="0"/>
              </a:lnTo>
              <a:lnTo>
                <a:pt x="5860" y="1058"/>
              </a:lnTo>
              <a:lnTo>
                <a:pt x="0" y="1058"/>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es-SV" sz="1200" b="0" i="0" u="none" strike="noStrike" baseline="0">
              <a:solidFill>
                <a:srgbClr val="000000"/>
              </a:solidFill>
              <a:latin typeface="Arial"/>
              <a:cs typeface="Arial"/>
            </a:rPr>
            <a:t>Informes</a:t>
          </a:r>
        </a:p>
        <a:p>
          <a:pPr algn="l" rtl="0">
            <a:defRPr sz="1000"/>
          </a:pPr>
          <a:endParaRPr lang="es-SV" sz="1200" b="0" i="0" u="none" strike="noStrike" baseline="0">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1</xdr:row>
      <xdr:rowOff>57150</xdr:rowOff>
    </xdr:from>
    <xdr:to>
      <xdr:col>1</xdr:col>
      <xdr:colOff>152400</xdr:colOff>
      <xdr:row>4</xdr:row>
      <xdr:rowOff>66675</xdr:rowOff>
    </xdr:to>
    <xdr:pic>
      <xdr:nvPicPr>
        <xdr:cNvPr id="10241" name="Picture 2">
          <a:extLst>
            <a:ext uri="{FF2B5EF4-FFF2-40B4-BE49-F238E27FC236}">
              <a16:creationId xmlns:a16="http://schemas.microsoft.com/office/drawing/2014/main" id="{AA138177-F9B0-4A11-85C0-11D4E06C00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247650"/>
          <a:ext cx="752475" cy="981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xdr:col>
      <xdr:colOff>1123950</xdr:colOff>
      <xdr:row>0</xdr:row>
      <xdr:rowOff>419100</xdr:rowOff>
    </xdr:to>
    <xdr:sp macro="" textlink="" fLocksText="0">
      <xdr:nvSpPr>
        <xdr:cNvPr id="2049" name="AutoShape 50">
          <a:hlinkClick xmlns:r="http://schemas.openxmlformats.org/officeDocument/2006/relationships" r:id="rId1"/>
          <a:extLst>
            <a:ext uri="{FF2B5EF4-FFF2-40B4-BE49-F238E27FC236}">
              <a16:creationId xmlns:a16="http://schemas.microsoft.com/office/drawing/2014/main" id="{8CC3A5C1-9EC5-4035-82C5-2738122ECE7F}"/>
            </a:ext>
          </a:extLst>
        </xdr:cNvPr>
        <xdr:cNvSpPr>
          <a:spLocks noChangeArrowheads="1"/>
        </xdr:cNvSpPr>
      </xdr:nvSpPr>
      <xdr:spPr bwMode="auto">
        <a:xfrm>
          <a:off x="47625" y="19050"/>
          <a:ext cx="1247775" cy="400050"/>
        </a:xfrm>
        <a:custGeom>
          <a:avLst/>
          <a:gdLst>
            <a:gd name="G0" fmla="min 3658 1117"/>
            <a:gd name="G1" fmla="*/ 34464 3658 1"/>
            <a:gd name="G2" fmla="*/ G1 1 G0"/>
            <a:gd name="G3" fmla="*/ 1 0 0"/>
            <a:gd name="G4" fmla="+- G3 0 50000"/>
            <a:gd name="G5" fmla="*/ 1 0 0"/>
            <a:gd name="G6" fmla="+- 34464 0 50000"/>
            <a:gd name="G7" fmla="?: G6 50000 34464"/>
            <a:gd name="G8" fmla="?: G4 G5 G6"/>
            <a:gd name="G9" fmla="*/ 1 0 0"/>
            <a:gd name="G10" fmla="+- G9 0 77907"/>
            <a:gd name="G11" fmla="*/ 1 0 0"/>
            <a:gd name="G12" fmla="+- G2 0 77907"/>
            <a:gd name="G13" fmla="?: G12 77907 G2"/>
            <a:gd name="G14" fmla="?: G10 G11 G12"/>
            <a:gd name="G15" fmla="*/ G0 G14 1"/>
            <a:gd name="G16" fmla="*/ G15 1 34464"/>
            <a:gd name="G17" fmla="*/ 1 0 0"/>
            <a:gd name="G18" fmla="+- G16 0 G17"/>
            <a:gd name="G19" fmla="*/ 1117 G8 1"/>
            <a:gd name="G20" fmla="*/ G19 1 3392"/>
            <a:gd name="G21" fmla="*/ 1117 1 2"/>
            <a:gd name="G22" fmla="+- G21 0 G20"/>
            <a:gd name="G23" fmla="+- G21 G20 0"/>
            <a:gd name="G24" fmla="*/ 1 0 0"/>
            <a:gd name="G25" fmla="+- G23 0 G24"/>
            <a:gd name="G26" fmla="*/ 1117 1 2"/>
            <a:gd name="G27" fmla="*/ G22 G16 1"/>
            <a:gd name="G28" fmla="*/ G27 1 G26"/>
            <a:gd name="G29" fmla="+- G18 0 G28"/>
            <a:gd name="G30" fmla="+- 3658 0 0"/>
            <a:gd name="G31" fmla="+- 1117 0 0"/>
          </a:gdLst>
          <a:ahLst/>
          <a:cxnLst>
            <a:cxn ang="0">
              <a:pos x="r" y="vc"/>
            </a:cxn>
            <a:cxn ang="5400000">
              <a:pos x="hc" y="b"/>
            </a:cxn>
            <a:cxn ang="10800000">
              <a:pos x="l" y="vc"/>
            </a:cxn>
            <a:cxn ang="16200000">
              <a:pos x="hc" y="t"/>
            </a:cxn>
          </a:cxnLst>
          <a:rect l="0" t="0" r="0" b="0"/>
          <a:pathLst>
            <a:path>
              <a:moveTo>
                <a:pt x="0" y="559"/>
              </a:moveTo>
              <a:lnTo>
                <a:pt x="1132" y="0"/>
              </a:lnTo>
              <a:lnTo>
                <a:pt x="1132" y="5675"/>
              </a:lnTo>
              <a:lnTo>
                <a:pt x="3658" y="5675"/>
              </a:lnTo>
              <a:lnTo>
                <a:pt x="3658" y="-4558"/>
              </a:lnTo>
              <a:lnTo>
                <a:pt x="1132" y="-4558"/>
              </a:lnTo>
              <a:lnTo>
                <a:pt x="1132" y="1117"/>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161925</xdr:colOff>
      <xdr:row>29</xdr:row>
      <xdr:rowOff>276225</xdr:rowOff>
    </xdr:from>
    <xdr:to>
      <xdr:col>6</xdr:col>
      <xdr:colOff>161925</xdr:colOff>
      <xdr:row>39</xdr:row>
      <xdr:rowOff>95250</xdr:rowOff>
    </xdr:to>
    <xdr:sp macro="" textlink="">
      <xdr:nvSpPr>
        <xdr:cNvPr id="3075" name="AutoShape 100">
          <a:extLst>
            <a:ext uri="{FF2B5EF4-FFF2-40B4-BE49-F238E27FC236}">
              <a16:creationId xmlns:a16="http://schemas.microsoft.com/office/drawing/2014/main" id="{D074DB7D-1774-49C1-8D79-7A20D40EFA13}"/>
            </a:ext>
          </a:extLst>
        </xdr:cNvPr>
        <xdr:cNvSpPr>
          <a:spLocks noChangeShapeType="1"/>
        </xdr:cNvSpPr>
      </xdr:nvSpPr>
      <xdr:spPr bwMode="auto">
        <a:xfrm flipH="1">
          <a:off x="11963400" y="4524375"/>
          <a:ext cx="0" cy="2305050"/>
        </a:xfrm>
        <a:prstGeom prst="straightConnector1">
          <a:avLst/>
        </a:prstGeom>
        <a:noFill/>
        <a:ln w="9360">
          <a:solidFill>
            <a:srgbClr val="000000"/>
          </a:solidFill>
          <a:miter lim="800000"/>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19050</xdr:colOff>
      <xdr:row>0</xdr:row>
      <xdr:rowOff>0</xdr:rowOff>
    </xdr:from>
    <xdr:to>
      <xdr:col>1</xdr:col>
      <xdr:colOff>942975</xdr:colOff>
      <xdr:row>0</xdr:row>
      <xdr:rowOff>333375</xdr:rowOff>
    </xdr:to>
    <xdr:sp macro="" textlink="" fLocksText="0">
      <xdr:nvSpPr>
        <xdr:cNvPr id="3076" name="AutoShape 50">
          <a:hlinkClick xmlns:r="http://schemas.openxmlformats.org/officeDocument/2006/relationships" r:id="rId1"/>
          <a:extLst>
            <a:ext uri="{FF2B5EF4-FFF2-40B4-BE49-F238E27FC236}">
              <a16:creationId xmlns:a16="http://schemas.microsoft.com/office/drawing/2014/main" id="{DF3ADE59-FEAB-4142-8BD5-0392875BE99F}"/>
            </a:ext>
          </a:extLst>
        </xdr:cNvPr>
        <xdr:cNvSpPr>
          <a:spLocks noChangeArrowheads="1"/>
        </xdr:cNvSpPr>
      </xdr:nvSpPr>
      <xdr:spPr bwMode="auto">
        <a:xfrm>
          <a:off x="190500" y="0"/>
          <a:ext cx="923925" cy="333375"/>
        </a:xfrm>
        <a:custGeom>
          <a:avLst/>
          <a:gdLst>
            <a:gd name="G0" fmla="min 2711 926"/>
            <a:gd name="G1" fmla="*/ 34464 2711 1"/>
            <a:gd name="G2" fmla="*/ G1 1 G0"/>
            <a:gd name="G3" fmla="*/ 1 0 0"/>
            <a:gd name="G4" fmla="+- G3 0 50000"/>
            <a:gd name="G5" fmla="*/ 1 0 0"/>
            <a:gd name="G6" fmla="+- 34464 0 50000"/>
            <a:gd name="G7" fmla="?: G6 50000 34464"/>
            <a:gd name="G8" fmla="?: G4 G5 G6"/>
            <a:gd name="G9" fmla="*/ 1 0 0"/>
            <a:gd name="G10" fmla="+- G9 0 79711"/>
            <a:gd name="G11" fmla="*/ 1 0 0"/>
            <a:gd name="G12" fmla="+- G2 0 79711"/>
            <a:gd name="G13" fmla="?: G12 79711 G2"/>
            <a:gd name="G14" fmla="?: G10 G11 G12"/>
            <a:gd name="G15" fmla="*/ G0 G14 1"/>
            <a:gd name="G16" fmla="*/ G15 1 34464"/>
            <a:gd name="G17" fmla="*/ 1 0 0"/>
            <a:gd name="G18" fmla="+- G16 0 G17"/>
            <a:gd name="G19" fmla="*/ 926 G8 1"/>
            <a:gd name="G20" fmla="*/ G19 1 3392"/>
            <a:gd name="G21" fmla="*/ 926 1 2"/>
            <a:gd name="G22" fmla="+- G21 0 G20"/>
            <a:gd name="G23" fmla="+- G21 G20 0"/>
            <a:gd name="G24" fmla="*/ 1 0 0"/>
            <a:gd name="G25" fmla="+- G23 0 G24"/>
            <a:gd name="G26" fmla="*/ 926 1 2"/>
            <a:gd name="G27" fmla="*/ G22 G16 1"/>
            <a:gd name="G28" fmla="*/ G27 1 G26"/>
            <a:gd name="G29" fmla="+- G18 0 G28"/>
            <a:gd name="G30" fmla="+- 2711 0 0"/>
            <a:gd name="G31" fmla="+- 926 0 0"/>
          </a:gdLst>
          <a:ahLst/>
          <a:cxnLst>
            <a:cxn ang="0">
              <a:pos x="r" y="vc"/>
            </a:cxn>
            <a:cxn ang="5400000">
              <a:pos x="hc" y="b"/>
            </a:cxn>
            <a:cxn ang="10800000">
              <a:pos x="l" y="vc"/>
            </a:cxn>
            <a:cxn ang="16200000">
              <a:pos x="hc" y="t"/>
            </a:cxn>
          </a:cxnLst>
          <a:rect l="0" t="0" r="0" b="0"/>
          <a:pathLst>
            <a:path>
              <a:moveTo>
                <a:pt x="0" y="463"/>
              </a:moveTo>
              <a:lnTo>
                <a:pt x="568" y="0"/>
              </a:lnTo>
              <a:lnTo>
                <a:pt x="568" y="4704"/>
              </a:lnTo>
              <a:lnTo>
                <a:pt x="2711" y="4704"/>
              </a:lnTo>
              <a:lnTo>
                <a:pt x="2711" y="-3779"/>
              </a:lnTo>
              <a:lnTo>
                <a:pt x="568" y="-3779"/>
              </a:lnTo>
              <a:lnTo>
                <a:pt x="568" y="926"/>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twoCellAnchor>
    <xdr:from>
      <xdr:col>2</xdr:col>
      <xdr:colOff>1200150</xdr:colOff>
      <xdr:row>49</xdr:row>
      <xdr:rowOff>28575</xdr:rowOff>
    </xdr:from>
    <xdr:to>
      <xdr:col>6</xdr:col>
      <xdr:colOff>971550</xdr:colOff>
      <xdr:row>50</xdr:row>
      <xdr:rowOff>38100</xdr:rowOff>
    </xdr:to>
    <xdr:grpSp>
      <xdr:nvGrpSpPr>
        <xdr:cNvPr id="3077" name="Group 5">
          <a:extLst>
            <a:ext uri="{FF2B5EF4-FFF2-40B4-BE49-F238E27FC236}">
              <a16:creationId xmlns:a16="http://schemas.microsoft.com/office/drawing/2014/main" id="{F2EE299B-E3A8-4707-ADA7-307BE5B37359}"/>
            </a:ext>
          </a:extLst>
        </xdr:cNvPr>
        <xdr:cNvGrpSpPr>
          <a:grpSpLocks/>
        </xdr:cNvGrpSpPr>
      </xdr:nvGrpSpPr>
      <xdr:grpSpPr bwMode="auto">
        <a:xfrm>
          <a:off x="7927181" y="8684419"/>
          <a:ext cx="4843463" cy="200025"/>
          <a:chOff x="13221" y="13635"/>
          <a:chExt cx="8060" cy="312"/>
        </a:xfrm>
      </xdr:grpSpPr>
      <xdr:sp macro="" textlink="">
        <xdr:nvSpPr>
          <xdr:cNvPr id="3078" name="AutoShape 100">
            <a:extLst>
              <a:ext uri="{FF2B5EF4-FFF2-40B4-BE49-F238E27FC236}">
                <a16:creationId xmlns:a16="http://schemas.microsoft.com/office/drawing/2014/main" id="{539CC887-93EA-4930-93E0-34F5C8BE33EA}"/>
              </a:ext>
            </a:extLst>
          </xdr:cNvPr>
          <xdr:cNvSpPr>
            <a:spLocks noChangeShapeType="1"/>
          </xdr:cNvSpPr>
        </xdr:nvSpPr>
        <xdr:spPr bwMode="auto">
          <a:xfrm>
            <a:off x="13242" y="13928"/>
            <a:ext cx="8033" cy="1"/>
          </a:xfrm>
          <a:prstGeom prst="straightConnector1">
            <a:avLst/>
          </a:prstGeom>
          <a:noFill/>
          <a:ln w="936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79" name="Straight Connector 16">
            <a:extLst>
              <a:ext uri="{FF2B5EF4-FFF2-40B4-BE49-F238E27FC236}">
                <a16:creationId xmlns:a16="http://schemas.microsoft.com/office/drawing/2014/main" id="{4774AE6E-02F1-43B8-B489-93ADBA13F7D5}"/>
              </a:ext>
            </a:extLst>
          </xdr:cNvPr>
          <xdr:cNvSpPr>
            <a:spLocks noChangeShapeType="1"/>
          </xdr:cNvSpPr>
        </xdr:nvSpPr>
        <xdr:spPr bwMode="auto">
          <a:xfrm flipV="1">
            <a:off x="13221" y="13635"/>
            <a:ext cx="0" cy="28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080" name="Straight Connector 17">
            <a:extLst>
              <a:ext uri="{FF2B5EF4-FFF2-40B4-BE49-F238E27FC236}">
                <a16:creationId xmlns:a16="http://schemas.microsoft.com/office/drawing/2014/main" id="{51202865-EEA6-4C1D-8AF7-CE688B78A002}"/>
              </a:ext>
            </a:extLst>
          </xdr:cNvPr>
          <xdr:cNvSpPr>
            <a:spLocks noChangeShapeType="1"/>
          </xdr:cNvSpPr>
        </xdr:nvSpPr>
        <xdr:spPr bwMode="auto">
          <a:xfrm flipV="1">
            <a:off x="21282" y="13661"/>
            <a:ext cx="0" cy="286"/>
          </a:xfrm>
          <a:prstGeom prst="line">
            <a:avLst/>
          </a:prstGeom>
          <a:noFill/>
          <a:ln w="9360">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1</xdr:row>
      <xdr:rowOff>314325</xdr:rowOff>
    </xdr:from>
    <xdr:to>
      <xdr:col>0</xdr:col>
      <xdr:colOff>1162050</xdr:colOff>
      <xdr:row>2</xdr:row>
      <xdr:rowOff>447675</xdr:rowOff>
    </xdr:to>
    <xdr:sp macro="" textlink="" fLocksText="0">
      <xdr:nvSpPr>
        <xdr:cNvPr id="4097" name="Rectangle 117">
          <a:hlinkClick xmlns:r="http://schemas.openxmlformats.org/officeDocument/2006/relationships" r:id="rId1"/>
          <a:extLst>
            <a:ext uri="{FF2B5EF4-FFF2-40B4-BE49-F238E27FC236}">
              <a16:creationId xmlns:a16="http://schemas.microsoft.com/office/drawing/2014/main" id="{F822478D-4F68-4146-BCFE-3FFFA4AE37ED}"/>
            </a:ext>
          </a:extLst>
        </xdr:cNvPr>
        <xdr:cNvSpPr>
          <a:spLocks noChangeArrowheads="1"/>
        </xdr:cNvSpPr>
      </xdr:nvSpPr>
      <xdr:spPr bwMode="auto">
        <a:xfrm>
          <a:off x="228600" y="581025"/>
          <a:ext cx="933450" cy="457200"/>
        </a:xfrm>
        <a:custGeom>
          <a:avLst/>
          <a:gdLst>
            <a:gd name="G0" fmla="*/ 2762 1 2"/>
            <a:gd name="G1" fmla="*/ 1265 1 2"/>
            <a:gd name="G2" fmla="+- 1265 0 0"/>
            <a:gd name="G3" fmla="+- 2762 0 0"/>
          </a:gdLst>
          <a:ahLst/>
          <a:cxnLst>
            <a:cxn ang="0">
              <a:pos x="r" y="vc"/>
            </a:cxn>
            <a:cxn ang="5400000">
              <a:pos x="hc" y="b"/>
            </a:cxn>
            <a:cxn ang="10800000">
              <a:pos x="l" y="vc"/>
            </a:cxn>
            <a:cxn ang="16200000">
              <a:pos x="hc" y="t"/>
            </a:cxn>
          </a:cxnLst>
          <a:rect l="0" t="0" r="0" b="0"/>
          <a:pathLst>
            <a:path>
              <a:moveTo>
                <a:pt x="0" y="0"/>
              </a:moveTo>
              <a:lnTo>
                <a:pt x="2762" y="0"/>
              </a:lnTo>
              <a:lnTo>
                <a:pt x="2762" y="1265"/>
              </a:lnTo>
              <a:lnTo>
                <a:pt x="0" y="1265"/>
              </a:lnTo>
              <a:close/>
            </a:path>
          </a:pathLst>
        </a:custGeom>
        <a:solidFill>
          <a:srgbClr val="FFFFFF"/>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0" bIns="0" anchor="t"/>
        <a:lstStyle/>
        <a:p>
          <a:pPr algn="l" rtl="0">
            <a:defRPr sz="1000"/>
          </a:pPr>
          <a:r>
            <a:rPr lang="es-SV" sz="900" b="0" i="0" u="none" strike="noStrike" baseline="0">
              <a:solidFill>
                <a:srgbClr val="000000"/>
              </a:solidFill>
              <a:latin typeface="Calibri"/>
              <a:cs typeface="Calibri"/>
            </a:rPr>
            <a:t>http://www.crwflags.com/fotw/flags/country.html</a:t>
          </a:r>
        </a:p>
      </xdr:txBody>
    </xdr:sp>
    <xdr:clientData/>
  </xdr:twoCellAnchor>
  <xdr:twoCellAnchor>
    <xdr:from>
      <xdr:col>0</xdr:col>
      <xdr:colOff>114300</xdr:colOff>
      <xdr:row>0</xdr:row>
      <xdr:rowOff>28575</xdr:rowOff>
    </xdr:from>
    <xdr:to>
      <xdr:col>0</xdr:col>
      <xdr:colOff>1000125</xdr:colOff>
      <xdr:row>1</xdr:row>
      <xdr:rowOff>104775</xdr:rowOff>
    </xdr:to>
    <xdr:sp macro="" textlink="" fLocksText="0">
      <xdr:nvSpPr>
        <xdr:cNvPr id="4098" name="AutoShape 50">
          <a:hlinkClick xmlns:r="http://schemas.openxmlformats.org/officeDocument/2006/relationships" r:id="rId2"/>
          <a:extLst>
            <a:ext uri="{FF2B5EF4-FFF2-40B4-BE49-F238E27FC236}">
              <a16:creationId xmlns:a16="http://schemas.microsoft.com/office/drawing/2014/main" id="{8036BF29-0CB6-45F5-BF94-4E83E8C2C8FB}"/>
            </a:ext>
          </a:extLst>
        </xdr:cNvPr>
        <xdr:cNvSpPr>
          <a:spLocks noChangeArrowheads="1"/>
        </xdr:cNvSpPr>
      </xdr:nvSpPr>
      <xdr:spPr bwMode="auto">
        <a:xfrm>
          <a:off x="114300" y="28575"/>
          <a:ext cx="885825" cy="342900"/>
        </a:xfrm>
        <a:custGeom>
          <a:avLst/>
          <a:gdLst>
            <a:gd name="G0" fmla="min 2599 952"/>
            <a:gd name="G1" fmla="*/ 34464 2599 1"/>
            <a:gd name="G2" fmla="*/ G1 1 G0"/>
            <a:gd name="G3" fmla="*/ 1 0 0"/>
            <a:gd name="G4" fmla="+- G3 0 50000"/>
            <a:gd name="G5" fmla="*/ 1 0 0"/>
            <a:gd name="G6" fmla="+- 34464 0 50000"/>
            <a:gd name="G7" fmla="?: G6 50000 34464"/>
            <a:gd name="G8" fmla="?: G4 G5 G6"/>
            <a:gd name="G9" fmla="*/ 1 0 0"/>
            <a:gd name="G10" fmla="+- G9 0 74365"/>
            <a:gd name="G11" fmla="*/ 1 0 0"/>
            <a:gd name="G12" fmla="+- G2 0 74365"/>
            <a:gd name="G13" fmla="?: G12 74365 G2"/>
            <a:gd name="G14" fmla="?: G10 G11 G12"/>
            <a:gd name="G15" fmla="*/ G0 G14 1"/>
            <a:gd name="G16" fmla="*/ G15 1 34464"/>
            <a:gd name="G17" fmla="*/ 1 0 0"/>
            <a:gd name="G18" fmla="+- G16 0 G17"/>
            <a:gd name="G19" fmla="*/ 952 G8 1"/>
            <a:gd name="G20" fmla="*/ G19 1 3392"/>
            <a:gd name="G21" fmla="*/ 952 1 2"/>
            <a:gd name="G22" fmla="+- G21 0 G20"/>
            <a:gd name="G23" fmla="+- G21 G20 0"/>
            <a:gd name="G24" fmla="*/ 1 0 0"/>
            <a:gd name="G25" fmla="+- G23 0 G24"/>
            <a:gd name="G26" fmla="*/ 952 1 2"/>
            <a:gd name="G27" fmla="*/ G22 G16 1"/>
            <a:gd name="G28" fmla="*/ G27 1 G26"/>
            <a:gd name="G29" fmla="+- G18 0 G28"/>
            <a:gd name="G30" fmla="+- 2599 0 0"/>
            <a:gd name="G31" fmla="+- 952 0 0"/>
          </a:gdLst>
          <a:ahLst/>
          <a:cxnLst>
            <a:cxn ang="0">
              <a:pos x="r" y="vc"/>
            </a:cxn>
            <a:cxn ang="5400000">
              <a:pos x="hc" y="b"/>
            </a:cxn>
            <a:cxn ang="10800000">
              <a:pos x="l" y="vc"/>
            </a:cxn>
            <a:cxn ang="16200000">
              <a:pos x="hc" y="t"/>
            </a:cxn>
          </a:cxnLst>
          <a:rect l="0" t="0" r="0" b="0"/>
          <a:pathLst>
            <a:path>
              <a:moveTo>
                <a:pt x="0" y="476"/>
              </a:moveTo>
              <a:lnTo>
                <a:pt x="544" y="0"/>
              </a:lnTo>
              <a:lnTo>
                <a:pt x="544" y="4836"/>
              </a:lnTo>
              <a:lnTo>
                <a:pt x="2599" y="4836"/>
              </a:lnTo>
              <a:lnTo>
                <a:pt x="2599" y="-3885"/>
              </a:lnTo>
              <a:lnTo>
                <a:pt x="544" y="-3885"/>
              </a:lnTo>
              <a:lnTo>
                <a:pt x="544" y="952"/>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twoCellAnchor>
    <xdr:from>
      <xdr:col>0</xdr:col>
      <xdr:colOff>247650</xdr:colOff>
      <xdr:row>1</xdr:row>
      <xdr:rowOff>266700</xdr:rowOff>
    </xdr:from>
    <xdr:to>
      <xdr:col>0</xdr:col>
      <xdr:colOff>1200150</xdr:colOff>
      <xdr:row>3</xdr:row>
      <xdr:rowOff>38100</xdr:rowOff>
    </xdr:to>
    <xdr:pic>
      <xdr:nvPicPr>
        <xdr:cNvPr id="4099" name="Picture 711">
          <a:extLst>
            <a:ext uri="{FF2B5EF4-FFF2-40B4-BE49-F238E27FC236}">
              <a16:creationId xmlns:a16="http://schemas.microsoft.com/office/drawing/2014/main" id="{209B8E24-543C-47C8-82E0-43BE62C1C51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7650" y="533400"/>
          <a:ext cx="952500" cy="5524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8</xdr:row>
      <xdr:rowOff>1000124</xdr:rowOff>
    </xdr:from>
    <xdr:to>
      <xdr:col>6</xdr:col>
      <xdr:colOff>19050</xdr:colOff>
      <xdr:row>21</xdr:row>
      <xdr:rowOff>114300</xdr:rowOff>
    </xdr:to>
    <xdr:graphicFrame macro="">
      <xdr:nvGraphicFramePr>
        <xdr:cNvPr id="5121" name="Gráfico 1">
          <a:extLst>
            <a:ext uri="{FF2B5EF4-FFF2-40B4-BE49-F238E27FC236}">
              <a16:creationId xmlns:a16="http://schemas.microsoft.com/office/drawing/2014/main" id="{A2CB781A-D050-45BE-9972-2ADA1B52A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209550</xdr:colOff>
      <xdr:row>9</xdr:row>
      <xdr:rowOff>57150</xdr:rowOff>
    </xdr:from>
    <xdr:to>
      <xdr:col>13</xdr:col>
      <xdr:colOff>666750</xdr:colOff>
      <xdr:row>21</xdr:row>
      <xdr:rowOff>266700</xdr:rowOff>
    </xdr:to>
    <xdr:graphicFrame macro="">
      <xdr:nvGraphicFramePr>
        <xdr:cNvPr id="5122" name="Gráfico 2">
          <a:extLst>
            <a:ext uri="{FF2B5EF4-FFF2-40B4-BE49-F238E27FC236}">
              <a16:creationId xmlns:a16="http://schemas.microsoft.com/office/drawing/2014/main" id="{76FB7CF9-C1F5-452D-8F02-2D6B149780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0</xdr:row>
      <xdr:rowOff>0</xdr:rowOff>
    </xdr:from>
    <xdr:to>
      <xdr:col>1</xdr:col>
      <xdr:colOff>714375</xdr:colOff>
      <xdr:row>0</xdr:row>
      <xdr:rowOff>333375</xdr:rowOff>
    </xdr:to>
    <xdr:sp macro="" textlink="" fLocksText="0">
      <xdr:nvSpPr>
        <xdr:cNvPr id="5123" name="AutoShape 50">
          <a:hlinkClick xmlns:r="http://schemas.openxmlformats.org/officeDocument/2006/relationships" r:id="rId3"/>
          <a:extLst>
            <a:ext uri="{FF2B5EF4-FFF2-40B4-BE49-F238E27FC236}">
              <a16:creationId xmlns:a16="http://schemas.microsoft.com/office/drawing/2014/main" id="{7131276E-CDF1-421E-A651-60791F601C53}"/>
            </a:ext>
          </a:extLst>
        </xdr:cNvPr>
        <xdr:cNvSpPr>
          <a:spLocks noChangeArrowheads="1"/>
        </xdr:cNvSpPr>
      </xdr:nvSpPr>
      <xdr:spPr bwMode="auto">
        <a:xfrm>
          <a:off x="28575" y="0"/>
          <a:ext cx="914400" cy="333375"/>
        </a:xfrm>
        <a:custGeom>
          <a:avLst/>
          <a:gdLst>
            <a:gd name="G0" fmla="min 2692 926"/>
            <a:gd name="G1" fmla="*/ 34464 2692 1"/>
            <a:gd name="G2" fmla="*/ G1 1 G0"/>
            <a:gd name="G3" fmla="*/ 1 0 0"/>
            <a:gd name="G4" fmla="+- G3 0 50000"/>
            <a:gd name="G5" fmla="*/ 1 0 0"/>
            <a:gd name="G6" fmla="+- 34464 0 50000"/>
            <a:gd name="G7" fmla="?: G6 50000 34464"/>
            <a:gd name="G8" fmla="?: G4 G5 G6"/>
            <a:gd name="G9" fmla="*/ 1 0 0"/>
            <a:gd name="G10" fmla="+- G9 0 78906"/>
            <a:gd name="G11" fmla="*/ 1 0 0"/>
            <a:gd name="G12" fmla="+- G2 0 78906"/>
            <a:gd name="G13" fmla="?: G12 78906 G2"/>
            <a:gd name="G14" fmla="?: G10 G11 G12"/>
            <a:gd name="G15" fmla="*/ G0 G14 1"/>
            <a:gd name="G16" fmla="*/ G15 1 34464"/>
            <a:gd name="G17" fmla="*/ 1 0 0"/>
            <a:gd name="G18" fmla="+- G16 0 G17"/>
            <a:gd name="G19" fmla="*/ 926 G8 1"/>
            <a:gd name="G20" fmla="*/ G19 1 3392"/>
            <a:gd name="G21" fmla="*/ 926 1 2"/>
            <a:gd name="G22" fmla="+- G21 0 G20"/>
            <a:gd name="G23" fmla="+- G21 G20 0"/>
            <a:gd name="G24" fmla="*/ 1 0 0"/>
            <a:gd name="G25" fmla="+- G23 0 G24"/>
            <a:gd name="G26" fmla="*/ 926 1 2"/>
            <a:gd name="G27" fmla="*/ G22 G16 1"/>
            <a:gd name="G28" fmla="*/ G27 1 G26"/>
            <a:gd name="G29" fmla="+- G18 0 G28"/>
            <a:gd name="G30" fmla="+- 2692 0 0"/>
            <a:gd name="G31" fmla="+- 926 0 0"/>
          </a:gdLst>
          <a:ahLst/>
          <a:cxnLst>
            <a:cxn ang="0">
              <a:pos x="r" y="vc"/>
            </a:cxn>
            <a:cxn ang="5400000">
              <a:pos x="hc" y="b"/>
            </a:cxn>
            <a:cxn ang="10800000">
              <a:pos x="l" y="vc"/>
            </a:cxn>
            <a:cxn ang="16200000">
              <a:pos x="hc" y="t"/>
            </a:cxn>
          </a:cxnLst>
          <a:rect l="0" t="0" r="0" b="0"/>
          <a:pathLst>
            <a:path>
              <a:moveTo>
                <a:pt x="0" y="463"/>
              </a:moveTo>
              <a:lnTo>
                <a:pt x="571" y="0"/>
              </a:lnTo>
              <a:lnTo>
                <a:pt x="571" y="4704"/>
              </a:lnTo>
              <a:lnTo>
                <a:pt x="2692" y="4704"/>
              </a:lnTo>
              <a:lnTo>
                <a:pt x="2692" y="-3779"/>
              </a:lnTo>
              <a:lnTo>
                <a:pt x="571" y="-3779"/>
              </a:lnTo>
              <a:lnTo>
                <a:pt x="571" y="926"/>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twoCellAnchor>
    <xdr:from>
      <xdr:col>14</xdr:col>
      <xdr:colOff>76200</xdr:colOff>
      <xdr:row>9</xdr:row>
      <xdr:rowOff>85725</xdr:rowOff>
    </xdr:from>
    <xdr:to>
      <xdr:col>24</xdr:col>
      <xdr:colOff>323849</xdr:colOff>
      <xdr:row>22</xdr:row>
      <xdr:rowOff>981075</xdr:rowOff>
    </xdr:to>
    <xdr:graphicFrame macro="">
      <xdr:nvGraphicFramePr>
        <xdr:cNvPr id="5124" name="Gráfico 4">
          <a:extLst>
            <a:ext uri="{FF2B5EF4-FFF2-40B4-BE49-F238E27FC236}">
              <a16:creationId xmlns:a16="http://schemas.microsoft.com/office/drawing/2014/main" id="{5D8B9C49-D29D-4BF1-A606-4BFBE857A1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200025</xdr:colOff>
      <xdr:row>31</xdr:row>
      <xdr:rowOff>47623</xdr:rowOff>
    </xdr:from>
    <xdr:to>
      <xdr:col>20</xdr:col>
      <xdr:colOff>95249</xdr:colOff>
      <xdr:row>50</xdr:row>
      <xdr:rowOff>104774</xdr:rowOff>
    </xdr:to>
    <xdr:graphicFrame macro="">
      <xdr:nvGraphicFramePr>
        <xdr:cNvPr id="5125" name="Gráfico 5">
          <a:extLst>
            <a:ext uri="{FF2B5EF4-FFF2-40B4-BE49-F238E27FC236}">
              <a16:creationId xmlns:a16="http://schemas.microsoft.com/office/drawing/2014/main" id="{BBCF7714-9BD0-47CD-B4DC-C4FBE27BEC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57150</xdr:colOff>
      <xdr:row>7</xdr:row>
      <xdr:rowOff>152400</xdr:rowOff>
    </xdr:from>
    <xdr:to>
      <xdr:col>12</xdr:col>
      <xdr:colOff>295275</xdr:colOff>
      <xdr:row>14</xdr:row>
      <xdr:rowOff>142875</xdr:rowOff>
    </xdr:to>
    <xdr:graphicFrame macro="">
      <xdr:nvGraphicFramePr>
        <xdr:cNvPr id="6145" name="Gráfico 1">
          <a:extLst>
            <a:ext uri="{FF2B5EF4-FFF2-40B4-BE49-F238E27FC236}">
              <a16:creationId xmlns:a16="http://schemas.microsoft.com/office/drawing/2014/main" id="{87F66D71-DEE9-4396-8D6B-73CFE886C2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95250</xdr:colOff>
      <xdr:row>15</xdr:row>
      <xdr:rowOff>361950</xdr:rowOff>
    </xdr:from>
    <xdr:to>
      <xdr:col>6</xdr:col>
      <xdr:colOff>28575</xdr:colOff>
      <xdr:row>25</xdr:row>
      <xdr:rowOff>19050</xdr:rowOff>
    </xdr:to>
    <xdr:graphicFrame macro="">
      <xdr:nvGraphicFramePr>
        <xdr:cNvPr id="6146" name="Gráfico 2">
          <a:extLst>
            <a:ext uri="{FF2B5EF4-FFF2-40B4-BE49-F238E27FC236}">
              <a16:creationId xmlns:a16="http://schemas.microsoft.com/office/drawing/2014/main" id="{8382C917-20EC-4CF8-9F75-D532ABCD5A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7</xdr:row>
      <xdr:rowOff>180975</xdr:rowOff>
    </xdr:from>
    <xdr:to>
      <xdr:col>6</xdr:col>
      <xdr:colOff>114300</xdr:colOff>
      <xdr:row>14</xdr:row>
      <xdr:rowOff>238125</xdr:rowOff>
    </xdr:to>
    <xdr:graphicFrame macro="">
      <xdr:nvGraphicFramePr>
        <xdr:cNvPr id="6147" name="Gráfico 3">
          <a:extLst>
            <a:ext uri="{FF2B5EF4-FFF2-40B4-BE49-F238E27FC236}">
              <a16:creationId xmlns:a16="http://schemas.microsoft.com/office/drawing/2014/main" id="{BB6A065B-D6F3-4155-90D8-6B969D2C25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1076325</xdr:colOff>
      <xdr:row>15</xdr:row>
      <xdr:rowOff>371475</xdr:rowOff>
    </xdr:from>
    <xdr:to>
      <xdr:col>13</xdr:col>
      <xdr:colOff>247650</xdr:colOff>
      <xdr:row>25</xdr:row>
      <xdr:rowOff>38100</xdr:rowOff>
    </xdr:to>
    <xdr:graphicFrame macro="">
      <xdr:nvGraphicFramePr>
        <xdr:cNvPr id="6148" name="Gráfico 4">
          <a:extLst>
            <a:ext uri="{FF2B5EF4-FFF2-40B4-BE49-F238E27FC236}">
              <a16:creationId xmlns:a16="http://schemas.microsoft.com/office/drawing/2014/main" id="{AD5EA788-D5C4-4AA8-BE58-9DF948903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27</xdr:row>
      <xdr:rowOff>38100</xdr:rowOff>
    </xdr:from>
    <xdr:to>
      <xdr:col>6</xdr:col>
      <xdr:colOff>123825</xdr:colOff>
      <xdr:row>30</xdr:row>
      <xdr:rowOff>257175</xdr:rowOff>
    </xdr:to>
    <xdr:graphicFrame macro="">
      <xdr:nvGraphicFramePr>
        <xdr:cNvPr id="6149" name="Gráfico 5">
          <a:extLst>
            <a:ext uri="{FF2B5EF4-FFF2-40B4-BE49-F238E27FC236}">
              <a16:creationId xmlns:a16="http://schemas.microsoft.com/office/drawing/2014/main" id="{84092C96-2392-44DD-9A0A-7F5A85C94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28575</xdr:colOff>
      <xdr:row>0</xdr:row>
      <xdr:rowOff>0</xdr:rowOff>
    </xdr:from>
    <xdr:to>
      <xdr:col>1</xdr:col>
      <xdr:colOff>704850</xdr:colOff>
      <xdr:row>0</xdr:row>
      <xdr:rowOff>333375</xdr:rowOff>
    </xdr:to>
    <xdr:sp macro="" textlink="" fLocksText="0">
      <xdr:nvSpPr>
        <xdr:cNvPr id="6150" name="AutoShape 50">
          <a:hlinkClick xmlns:r="http://schemas.openxmlformats.org/officeDocument/2006/relationships" r:id="rId6"/>
          <a:extLst>
            <a:ext uri="{FF2B5EF4-FFF2-40B4-BE49-F238E27FC236}">
              <a16:creationId xmlns:a16="http://schemas.microsoft.com/office/drawing/2014/main" id="{57801220-9B1B-4284-920B-CED319F6EAF9}"/>
            </a:ext>
          </a:extLst>
        </xdr:cNvPr>
        <xdr:cNvSpPr>
          <a:spLocks noChangeArrowheads="1"/>
        </xdr:cNvSpPr>
      </xdr:nvSpPr>
      <xdr:spPr bwMode="auto">
        <a:xfrm>
          <a:off x="28575" y="0"/>
          <a:ext cx="904875" cy="333375"/>
        </a:xfrm>
        <a:custGeom>
          <a:avLst/>
          <a:gdLst>
            <a:gd name="G0" fmla="min 2670 926"/>
            <a:gd name="G1" fmla="*/ 34464 2670 1"/>
            <a:gd name="G2" fmla="*/ G1 1 G0"/>
            <a:gd name="G3" fmla="*/ 1 0 0"/>
            <a:gd name="G4" fmla="+- G3 0 50000"/>
            <a:gd name="G5" fmla="*/ 1 0 0"/>
            <a:gd name="G6" fmla="+- 34464 0 50000"/>
            <a:gd name="G7" fmla="?: G6 50000 34464"/>
            <a:gd name="G8" fmla="?: G4 G5 G6"/>
            <a:gd name="G9" fmla="*/ 1 0 0"/>
            <a:gd name="G10" fmla="+- G9 0 78906"/>
            <a:gd name="G11" fmla="*/ 1 0 0"/>
            <a:gd name="G12" fmla="+- G2 0 78906"/>
            <a:gd name="G13" fmla="?: G12 78906 G2"/>
            <a:gd name="G14" fmla="?: G10 G11 G12"/>
            <a:gd name="G15" fmla="*/ G0 G14 1"/>
            <a:gd name="G16" fmla="*/ G15 1 34464"/>
            <a:gd name="G17" fmla="*/ 1 0 0"/>
            <a:gd name="G18" fmla="+- G16 0 G17"/>
            <a:gd name="G19" fmla="*/ 926 G8 1"/>
            <a:gd name="G20" fmla="*/ G19 1 3392"/>
            <a:gd name="G21" fmla="*/ 926 1 2"/>
            <a:gd name="G22" fmla="+- G21 0 G20"/>
            <a:gd name="G23" fmla="+- G21 G20 0"/>
            <a:gd name="G24" fmla="*/ 1 0 0"/>
            <a:gd name="G25" fmla="+- G23 0 G24"/>
            <a:gd name="G26" fmla="*/ 926 1 2"/>
            <a:gd name="G27" fmla="*/ G22 G16 1"/>
            <a:gd name="G28" fmla="*/ G27 1 G26"/>
            <a:gd name="G29" fmla="+- G18 0 G28"/>
            <a:gd name="G30" fmla="+- 2670 0 0"/>
            <a:gd name="G31" fmla="+- 926 0 0"/>
          </a:gdLst>
          <a:ahLst/>
          <a:cxnLst>
            <a:cxn ang="0">
              <a:pos x="r" y="vc"/>
            </a:cxn>
            <a:cxn ang="5400000">
              <a:pos x="hc" y="b"/>
            </a:cxn>
            <a:cxn ang="10800000">
              <a:pos x="l" y="vc"/>
            </a:cxn>
            <a:cxn ang="16200000">
              <a:pos x="hc" y="t"/>
            </a:cxn>
          </a:cxnLst>
          <a:rect l="0" t="0" r="0" b="0"/>
          <a:pathLst>
            <a:path>
              <a:moveTo>
                <a:pt x="0" y="463"/>
              </a:moveTo>
              <a:lnTo>
                <a:pt x="549" y="0"/>
              </a:lnTo>
              <a:lnTo>
                <a:pt x="549" y="4704"/>
              </a:lnTo>
              <a:lnTo>
                <a:pt x="2670" y="4704"/>
              </a:lnTo>
              <a:lnTo>
                <a:pt x="2670" y="-3779"/>
              </a:lnTo>
              <a:lnTo>
                <a:pt x="549" y="-3779"/>
              </a:lnTo>
              <a:lnTo>
                <a:pt x="549" y="926"/>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438150</xdr:colOff>
      <xdr:row>9</xdr:row>
      <xdr:rowOff>104775</xdr:rowOff>
    </xdr:from>
    <xdr:to>
      <xdr:col>12</xdr:col>
      <xdr:colOff>247650</xdr:colOff>
      <xdr:row>18</xdr:row>
      <xdr:rowOff>9525</xdr:rowOff>
    </xdr:to>
    <xdr:graphicFrame macro="">
      <xdr:nvGraphicFramePr>
        <xdr:cNvPr id="7169" name="Gráfico 1">
          <a:extLst>
            <a:ext uri="{FF2B5EF4-FFF2-40B4-BE49-F238E27FC236}">
              <a16:creationId xmlns:a16="http://schemas.microsoft.com/office/drawing/2014/main" id="{B6F86160-55D2-41BB-B955-CF9D8A95A4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209550</xdr:colOff>
      <xdr:row>8</xdr:row>
      <xdr:rowOff>923925</xdr:rowOff>
    </xdr:from>
    <xdr:to>
      <xdr:col>16</xdr:col>
      <xdr:colOff>733425</xdr:colOff>
      <xdr:row>17</xdr:row>
      <xdr:rowOff>171450</xdr:rowOff>
    </xdr:to>
    <xdr:graphicFrame macro="">
      <xdr:nvGraphicFramePr>
        <xdr:cNvPr id="7170" name="Gráfico 2">
          <a:extLst>
            <a:ext uri="{FF2B5EF4-FFF2-40B4-BE49-F238E27FC236}">
              <a16:creationId xmlns:a16="http://schemas.microsoft.com/office/drawing/2014/main" id="{80D8ECAF-8A60-4848-B2BE-100DB6894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0</xdr:row>
      <xdr:rowOff>9525</xdr:rowOff>
    </xdr:from>
    <xdr:to>
      <xdr:col>1</xdr:col>
      <xdr:colOff>942975</xdr:colOff>
      <xdr:row>1</xdr:row>
      <xdr:rowOff>0</xdr:rowOff>
    </xdr:to>
    <xdr:sp macro="" textlink="" fLocksText="0">
      <xdr:nvSpPr>
        <xdr:cNvPr id="7171" name="AutoShape 50">
          <a:hlinkClick xmlns:r="http://schemas.openxmlformats.org/officeDocument/2006/relationships" r:id="rId3"/>
          <a:extLst>
            <a:ext uri="{FF2B5EF4-FFF2-40B4-BE49-F238E27FC236}">
              <a16:creationId xmlns:a16="http://schemas.microsoft.com/office/drawing/2014/main" id="{1EB1D272-1627-450E-9221-0CBA7938D313}"/>
            </a:ext>
          </a:extLst>
        </xdr:cNvPr>
        <xdr:cNvSpPr>
          <a:spLocks noChangeArrowheads="1"/>
        </xdr:cNvSpPr>
      </xdr:nvSpPr>
      <xdr:spPr bwMode="auto">
        <a:xfrm>
          <a:off x="57150" y="9525"/>
          <a:ext cx="914400" cy="323850"/>
        </a:xfrm>
        <a:custGeom>
          <a:avLst/>
          <a:gdLst>
            <a:gd name="G0" fmla="min 2704 900"/>
            <a:gd name="G1" fmla="*/ 34464 2704 1"/>
            <a:gd name="G2" fmla="*/ G1 1 G0"/>
            <a:gd name="G3" fmla="*/ 1 0 0"/>
            <a:gd name="G4" fmla="+- G3 0 50000"/>
            <a:gd name="G5" fmla="*/ 1 0 0"/>
            <a:gd name="G6" fmla="+- 34464 0 50000"/>
            <a:gd name="G7" fmla="?: G6 50000 34464"/>
            <a:gd name="G8" fmla="?: G4 G5 G6"/>
            <a:gd name="G9" fmla="*/ 1 0 0"/>
            <a:gd name="G10" fmla="+- G9 0 82055"/>
            <a:gd name="G11" fmla="*/ 1 0 0"/>
            <a:gd name="G12" fmla="+- G2 0 82055"/>
            <a:gd name="G13" fmla="?: G12 82055 G2"/>
            <a:gd name="G14" fmla="?: G10 G11 G12"/>
            <a:gd name="G15" fmla="*/ G0 G14 1"/>
            <a:gd name="G16" fmla="*/ G15 1 34464"/>
            <a:gd name="G17" fmla="*/ 1 0 0"/>
            <a:gd name="G18" fmla="+- G16 0 G17"/>
            <a:gd name="G19" fmla="*/ 900 G8 1"/>
            <a:gd name="G20" fmla="*/ G19 1 3392"/>
            <a:gd name="G21" fmla="*/ 900 1 2"/>
            <a:gd name="G22" fmla="+- G21 0 G20"/>
            <a:gd name="G23" fmla="+- G21 G20 0"/>
            <a:gd name="G24" fmla="*/ 1 0 0"/>
            <a:gd name="G25" fmla="+- G23 0 G24"/>
            <a:gd name="G26" fmla="*/ 900 1 2"/>
            <a:gd name="G27" fmla="*/ G22 G16 1"/>
            <a:gd name="G28" fmla="*/ G27 1 G26"/>
            <a:gd name="G29" fmla="+- G18 0 G28"/>
            <a:gd name="G30" fmla="+- 2704 0 0"/>
            <a:gd name="G31" fmla="+- 900 0 0"/>
          </a:gdLst>
          <a:ahLst/>
          <a:cxnLst>
            <a:cxn ang="0">
              <a:pos x="r" y="vc"/>
            </a:cxn>
            <a:cxn ang="5400000">
              <a:pos x="hc" y="b"/>
            </a:cxn>
            <a:cxn ang="10800000">
              <a:pos x="l" y="vc"/>
            </a:cxn>
            <a:cxn ang="16200000">
              <a:pos x="hc" y="t"/>
            </a:cxn>
          </a:cxnLst>
          <a:rect l="0" t="0" r="0" b="0"/>
          <a:pathLst>
            <a:path>
              <a:moveTo>
                <a:pt x="0" y="450"/>
              </a:moveTo>
              <a:lnTo>
                <a:pt x="560" y="0"/>
              </a:lnTo>
              <a:lnTo>
                <a:pt x="560" y="4572"/>
              </a:lnTo>
              <a:lnTo>
                <a:pt x="2704" y="4572"/>
              </a:lnTo>
              <a:lnTo>
                <a:pt x="2704" y="-3673"/>
              </a:lnTo>
              <a:lnTo>
                <a:pt x="560" y="-3673"/>
              </a:lnTo>
              <a:lnTo>
                <a:pt x="560" y="900"/>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twoCellAnchor>
    <xdr:from>
      <xdr:col>1</xdr:col>
      <xdr:colOff>76200</xdr:colOff>
      <xdr:row>9</xdr:row>
      <xdr:rowOff>57150</xdr:rowOff>
    </xdr:from>
    <xdr:to>
      <xdr:col>5</xdr:col>
      <xdr:colOff>285750</xdr:colOff>
      <xdr:row>17</xdr:row>
      <xdr:rowOff>57150</xdr:rowOff>
    </xdr:to>
    <xdr:graphicFrame macro="">
      <xdr:nvGraphicFramePr>
        <xdr:cNvPr id="7172" name="Gráfico 4">
          <a:extLst>
            <a:ext uri="{FF2B5EF4-FFF2-40B4-BE49-F238E27FC236}">
              <a16:creationId xmlns:a16="http://schemas.microsoft.com/office/drawing/2014/main" id="{CABE6820-645B-4F24-AF9B-7F25500B03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38100</xdr:rowOff>
    </xdr:from>
    <xdr:to>
      <xdr:col>1</xdr:col>
      <xdr:colOff>923925</xdr:colOff>
      <xdr:row>0</xdr:row>
      <xdr:rowOff>371475</xdr:rowOff>
    </xdr:to>
    <xdr:sp macro="" textlink="" fLocksText="0">
      <xdr:nvSpPr>
        <xdr:cNvPr id="8193" name="AutoShape 50">
          <a:hlinkClick xmlns:r="http://schemas.openxmlformats.org/officeDocument/2006/relationships" r:id="rId1"/>
          <a:extLst>
            <a:ext uri="{FF2B5EF4-FFF2-40B4-BE49-F238E27FC236}">
              <a16:creationId xmlns:a16="http://schemas.microsoft.com/office/drawing/2014/main" id="{B3615DE2-8969-47F9-A751-94979C57B9E3}"/>
            </a:ext>
          </a:extLst>
        </xdr:cNvPr>
        <xdr:cNvSpPr>
          <a:spLocks noChangeArrowheads="1"/>
        </xdr:cNvSpPr>
      </xdr:nvSpPr>
      <xdr:spPr bwMode="auto">
        <a:xfrm>
          <a:off x="57150" y="38100"/>
          <a:ext cx="942975" cy="333375"/>
        </a:xfrm>
        <a:custGeom>
          <a:avLst/>
          <a:gdLst>
            <a:gd name="G0" fmla="min 2743 926"/>
            <a:gd name="G1" fmla="*/ 34464 2743 1"/>
            <a:gd name="G2" fmla="*/ G1 1 G0"/>
            <a:gd name="G3" fmla="*/ 1 0 0"/>
            <a:gd name="G4" fmla="+- G3 0 50000"/>
            <a:gd name="G5" fmla="*/ 1 0 0"/>
            <a:gd name="G6" fmla="+- 34464 0 50000"/>
            <a:gd name="G7" fmla="?: G6 50000 34464"/>
            <a:gd name="G8" fmla="?: G4 G5 G6"/>
            <a:gd name="G9" fmla="*/ 1 0 0"/>
            <a:gd name="G10" fmla="+- G9 0 80516"/>
            <a:gd name="G11" fmla="*/ 1 0 0"/>
            <a:gd name="G12" fmla="+- G2 0 80516"/>
            <a:gd name="G13" fmla="?: G12 80516 G2"/>
            <a:gd name="G14" fmla="?: G10 G11 G12"/>
            <a:gd name="G15" fmla="*/ G0 G14 1"/>
            <a:gd name="G16" fmla="*/ G15 1 34464"/>
            <a:gd name="G17" fmla="*/ 1 0 0"/>
            <a:gd name="G18" fmla="+- G16 0 G17"/>
            <a:gd name="G19" fmla="*/ 926 G8 1"/>
            <a:gd name="G20" fmla="*/ G19 1 3392"/>
            <a:gd name="G21" fmla="*/ 926 1 2"/>
            <a:gd name="G22" fmla="+- G21 0 G20"/>
            <a:gd name="G23" fmla="+- G21 G20 0"/>
            <a:gd name="G24" fmla="*/ 1 0 0"/>
            <a:gd name="G25" fmla="+- G23 0 G24"/>
            <a:gd name="G26" fmla="*/ 926 1 2"/>
            <a:gd name="G27" fmla="*/ G22 G16 1"/>
            <a:gd name="G28" fmla="*/ G27 1 G26"/>
            <a:gd name="G29" fmla="+- G18 0 G28"/>
            <a:gd name="G30" fmla="+- 2743 0 0"/>
            <a:gd name="G31" fmla="+- 926 0 0"/>
          </a:gdLst>
          <a:ahLst/>
          <a:cxnLst>
            <a:cxn ang="0">
              <a:pos x="r" y="vc"/>
            </a:cxn>
            <a:cxn ang="5400000">
              <a:pos x="hc" y="b"/>
            </a:cxn>
            <a:cxn ang="10800000">
              <a:pos x="l" y="vc"/>
            </a:cxn>
            <a:cxn ang="16200000">
              <a:pos x="hc" y="t"/>
            </a:cxn>
          </a:cxnLst>
          <a:rect l="0" t="0" r="0" b="0"/>
          <a:pathLst>
            <a:path>
              <a:moveTo>
                <a:pt x="0" y="463"/>
              </a:moveTo>
              <a:lnTo>
                <a:pt x="579" y="0"/>
              </a:lnTo>
              <a:lnTo>
                <a:pt x="579" y="4704"/>
              </a:lnTo>
              <a:lnTo>
                <a:pt x="2743" y="4704"/>
              </a:lnTo>
              <a:lnTo>
                <a:pt x="2743" y="-3779"/>
              </a:lnTo>
              <a:lnTo>
                <a:pt x="579" y="-3779"/>
              </a:lnTo>
              <a:lnTo>
                <a:pt x="579" y="926"/>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0</xdr:row>
      <xdr:rowOff>19050</xdr:rowOff>
    </xdr:from>
    <xdr:to>
      <xdr:col>1</xdr:col>
      <xdr:colOff>676275</xdr:colOff>
      <xdr:row>0</xdr:row>
      <xdr:rowOff>342900</xdr:rowOff>
    </xdr:to>
    <xdr:sp macro="" textlink="" fLocksText="0">
      <xdr:nvSpPr>
        <xdr:cNvPr id="9217" name="AutoShape 50">
          <a:hlinkClick xmlns:r="http://schemas.openxmlformats.org/officeDocument/2006/relationships" r:id="rId1"/>
          <a:extLst>
            <a:ext uri="{FF2B5EF4-FFF2-40B4-BE49-F238E27FC236}">
              <a16:creationId xmlns:a16="http://schemas.microsoft.com/office/drawing/2014/main" id="{94F4392F-33BB-45F2-9388-B17E8E4CF03B}"/>
            </a:ext>
          </a:extLst>
        </xdr:cNvPr>
        <xdr:cNvSpPr>
          <a:spLocks noChangeArrowheads="1"/>
        </xdr:cNvSpPr>
      </xdr:nvSpPr>
      <xdr:spPr bwMode="auto">
        <a:xfrm>
          <a:off x="57150" y="19050"/>
          <a:ext cx="895350" cy="323850"/>
        </a:xfrm>
        <a:custGeom>
          <a:avLst/>
          <a:gdLst>
            <a:gd name="G0" fmla="min 2626 900"/>
            <a:gd name="G1" fmla="*/ 34464 2626 1"/>
            <a:gd name="G2" fmla="*/ G1 1 G0"/>
            <a:gd name="G3" fmla="*/ 1 0 0"/>
            <a:gd name="G4" fmla="+- G3 0 50000"/>
            <a:gd name="G5" fmla="*/ 1 0 0"/>
            <a:gd name="G6" fmla="+- 34464 0 50000"/>
            <a:gd name="G7" fmla="?: G6 50000 34464"/>
            <a:gd name="G8" fmla="?: G4 G5 G6"/>
            <a:gd name="G9" fmla="*/ 1 0 0"/>
            <a:gd name="G10" fmla="+- G9 0 79569"/>
            <a:gd name="G11" fmla="*/ 1 0 0"/>
            <a:gd name="G12" fmla="+- G2 0 79569"/>
            <a:gd name="G13" fmla="?: G12 79569 G2"/>
            <a:gd name="G14" fmla="?: G10 G11 G12"/>
            <a:gd name="G15" fmla="*/ G0 G14 1"/>
            <a:gd name="G16" fmla="*/ G15 1 34464"/>
            <a:gd name="G17" fmla="*/ 1 0 0"/>
            <a:gd name="G18" fmla="+- G16 0 G17"/>
            <a:gd name="G19" fmla="*/ 900 G8 1"/>
            <a:gd name="G20" fmla="*/ G19 1 3392"/>
            <a:gd name="G21" fmla="*/ 900 1 2"/>
            <a:gd name="G22" fmla="+- G21 0 G20"/>
            <a:gd name="G23" fmla="+- G21 G20 0"/>
            <a:gd name="G24" fmla="*/ 1 0 0"/>
            <a:gd name="G25" fmla="+- G23 0 G24"/>
            <a:gd name="G26" fmla="*/ 900 1 2"/>
            <a:gd name="G27" fmla="*/ G22 G16 1"/>
            <a:gd name="G28" fmla="*/ G27 1 G26"/>
            <a:gd name="G29" fmla="+- G18 0 G28"/>
            <a:gd name="G30" fmla="+- 2626 0 0"/>
            <a:gd name="G31" fmla="+- 900 0 0"/>
          </a:gdLst>
          <a:ahLst/>
          <a:cxnLst>
            <a:cxn ang="0">
              <a:pos x="r" y="vc"/>
            </a:cxn>
            <a:cxn ang="5400000">
              <a:pos x="hc" y="b"/>
            </a:cxn>
            <a:cxn ang="10800000">
              <a:pos x="l" y="vc"/>
            </a:cxn>
            <a:cxn ang="16200000">
              <a:pos x="hc" y="t"/>
            </a:cxn>
          </a:cxnLst>
          <a:rect l="0" t="0" r="0" b="0"/>
          <a:pathLst>
            <a:path>
              <a:moveTo>
                <a:pt x="0" y="450"/>
              </a:moveTo>
              <a:lnTo>
                <a:pt x="547" y="0"/>
              </a:lnTo>
              <a:lnTo>
                <a:pt x="547" y="4572"/>
              </a:lnTo>
              <a:lnTo>
                <a:pt x="2626" y="4572"/>
              </a:lnTo>
              <a:lnTo>
                <a:pt x="2626" y="-3673"/>
              </a:lnTo>
              <a:lnTo>
                <a:pt x="547" y="-3673"/>
              </a:lnTo>
              <a:lnTo>
                <a:pt x="547" y="900"/>
              </a:lnTo>
              <a:close/>
            </a:path>
          </a:pathLst>
        </a:custGeom>
        <a:solidFill>
          <a:srgbClr val="FFFF99"/>
        </a:solidFill>
        <a:ln w="9360" cap="flat">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0" rIns="18000" bIns="0" anchor="ctr"/>
        <a:lstStyle/>
        <a:p>
          <a:pPr algn="l" rtl="0">
            <a:defRPr sz="1000"/>
          </a:pPr>
          <a:r>
            <a:rPr lang="es-SV" sz="1000" b="0" i="0" u="none" strike="noStrike" baseline="0">
              <a:solidFill>
                <a:srgbClr val="000000"/>
              </a:solidFill>
              <a:latin typeface="Calibri"/>
              <a:cs typeface="Calibri"/>
            </a:rPr>
            <a:t>Menú</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E%20MENSUALES/REPORTE%20SEMESTRAL/Documents%20and%20Settings/Administrator/My%20Documents/Downloads/Ficticia%20HIV%20Dashboard_ES%20-%20Set%20Up%20and%20Maintenance%20Gui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afigueroa/AppData/Local/Microsoft/Windows/INetCache/Content.Outlook/BGV0Y37W/Tablero%20Mando%20SLV-T-MOH_(enero-diciembre%202020)_Indicadores_Programat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0" refreshError="1"/>
      <sheetData sheetId="1">
        <row r="6">
          <cell r="B6" t="str">
            <v>Subvención nº:</v>
          </cell>
          <cell r="C6" t="str">
            <v>FIC-910-G01-H</v>
          </cell>
        </row>
      </sheetData>
      <sheetData sheetId="2">
        <row r="3">
          <cell r="B3" t="str">
            <v>Tablero de mando:  Ficticia - VIH / SIDA</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Lista de indicadores"/>
      <sheetName val="Introducción de datos"/>
      <sheetName val="Información de la subvención"/>
      <sheetName val="Financiamiento"/>
      <sheetName val="Gestión"/>
      <sheetName val="Programatico"/>
      <sheetName val="Recomendaciones"/>
      <sheetName val="Acciones"/>
      <sheetName val="Setup"/>
    </sheetNames>
    <sheetDataSet>
      <sheetData sheetId="0"/>
      <sheetData sheetId="1"/>
      <sheetData sheetId="2">
        <row r="130">
          <cell r="I130">
            <v>0.64993000000000001</v>
          </cell>
        </row>
        <row r="131">
          <cell r="I131">
            <v>0.786582</v>
          </cell>
        </row>
        <row r="132">
          <cell r="B132" t="str">
            <v>MDR TB-3(M): Número de casos TB-RR y/o TB-MDR que iniciaron tratamiento con drogas de segunda línea</v>
          </cell>
          <cell r="I132">
            <v>35</v>
          </cell>
        </row>
        <row r="133">
          <cell r="I133">
            <v>37</v>
          </cell>
        </row>
        <row r="134">
          <cell r="B134" t="str">
            <v>TCP-6a: Número de casos de TB (todas las formas) notificados entre los privados de libertad</v>
          </cell>
          <cell r="I134">
            <v>1035</v>
          </cell>
        </row>
        <row r="135">
          <cell r="I135">
            <v>983</v>
          </cell>
        </row>
        <row r="136">
          <cell r="B136" t="str">
            <v>TCP - other -1: Porcentaje de casos todas las formas de TB entre PPL tratados exitosamente entre el total de casos todas las formas notificados</v>
          </cell>
          <cell r="I136">
            <v>0.94997299999999996</v>
          </cell>
        </row>
        <row r="137">
          <cell r="I137">
            <v>0.94503000000000004</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sheetPr>
  <dimension ref="B1:O4"/>
  <sheetViews>
    <sheetView showGridLines="0" topLeftCell="A3" zoomScale="80" zoomScaleNormal="80" workbookViewId="0">
      <selection activeCell="A3" sqref="A3"/>
    </sheetView>
  </sheetViews>
  <sheetFormatPr baseColWidth="10" defaultColWidth="10.7109375" defaultRowHeight="15"/>
  <cols>
    <col min="1" max="1" width="1.140625" customWidth="1"/>
    <col min="2" max="10" width="11.42578125" customWidth="1"/>
    <col min="11" max="11" width="1.5703125" customWidth="1"/>
  </cols>
  <sheetData>
    <row r="1" spans="2:15" ht="25.5" customHeight="1"/>
    <row r="2" spans="2:15" ht="36">
      <c r="B2" s="465" t="str">
        <f>+'[1]Información de la subvención'!B3:J3</f>
        <v>Tablero de mando:  Ficticia - VIH / SIDA</v>
      </c>
      <c r="C2" s="465"/>
      <c r="D2" s="465"/>
      <c r="E2" s="465"/>
      <c r="F2" s="465"/>
      <c r="G2" s="465"/>
      <c r="H2" s="465"/>
      <c r="I2" s="465"/>
      <c r="J2" s="465"/>
      <c r="K2" s="465"/>
      <c r="L2" s="465"/>
      <c r="M2" s="1"/>
      <c r="N2" s="1"/>
      <c r="O2" s="1"/>
    </row>
    <row r="4" spans="2:15" ht="21">
      <c r="B4" s="466" t="str">
        <f>+'Introducción de datos'!G6&amp;"  "&amp;+'Introducción de datos'!G8&amp;",  "&amp;+'Introducción de datos'!I8</f>
        <v xml:space="preserve">TB  ,  </v>
      </c>
      <c r="C4" s="466"/>
      <c r="D4" s="466"/>
      <c r="E4" s="466"/>
      <c r="F4" s="2"/>
      <c r="G4" s="2"/>
      <c r="H4" s="3" t="str">
        <f>+'[1]Introducción de datos'!B6&amp;" "&amp;+'[1]Introducción de datos'!C6</f>
        <v>Subvención nº: FIC-910-G01-H</v>
      </c>
      <c r="I4" s="3"/>
      <c r="J4" s="3"/>
      <c r="K4" s="2"/>
      <c r="L4" s="2"/>
    </row>
  </sheetData>
  <sheetProtection selectLockedCells="1" selectUnlockedCells="1"/>
  <mergeCells count="2">
    <mergeCell ref="B2:L2"/>
    <mergeCell ref="B4:E4"/>
  </mergeCells>
  <phoneticPr fontId="68" type="noConversion"/>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48"/>
  <sheetViews>
    <sheetView showGridLines="0" topLeftCell="G6" zoomScale="80" zoomScaleNormal="80" workbookViewId="0">
      <selection activeCell="H9" sqref="H9"/>
    </sheetView>
  </sheetViews>
  <sheetFormatPr baseColWidth="10" defaultColWidth="10.7109375" defaultRowHeight="15"/>
  <cols>
    <col min="1" max="1" width="11.42578125" customWidth="1"/>
    <col min="2" max="2" width="16.140625" customWidth="1"/>
    <col min="3" max="3" width="14.5703125" customWidth="1"/>
    <col min="4" max="4" width="15.42578125" customWidth="1"/>
    <col min="5" max="6" width="11.42578125" customWidth="1"/>
    <col min="7" max="7" width="14.42578125" customWidth="1"/>
    <col min="8" max="8" width="35.42578125" customWidth="1"/>
    <col min="9" max="9" width="45.5703125" customWidth="1"/>
    <col min="10" max="10" width="33.42578125" customWidth="1"/>
    <col min="11" max="12" width="11.42578125" customWidth="1"/>
    <col min="13" max="13" width="28.42578125" customWidth="1"/>
    <col min="14" max="14" width="46.42578125" customWidth="1"/>
  </cols>
  <sheetData>
    <row r="2" spans="2:13" ht="25.5" customHeight="1"/>
    <row r="3" spans="2:13" ht="36">
      <c r="B3" s="559" t="str">
        <f>'Información de la subvención'!B3:J3</f>
        <v>Tablero de mando:  El Salvador - TB</v>
      </c>
      <c r="C3" s="559"/>
      <c r="D3" s="559"/>
      <c r="E3" s="559"/>
      <c r="F3" s="559"/>
      <c r="G3" s="559"/>
      <c r="H3" s="559"/>
      <c r="I3" s="288"/>
    </row>
    <row r="6" spans="2:13" ht="18.75">
      <c r="B6" s="651" t="s">
        <v>248</v>
      </c>
      <c r="C6" s="651"/>
      <c r="D6" s="651"/>
      <c r="E6" s="651"/>
      <c r="F6" s="651"/>
      <c r="G6" s="651"/>
      <c r="H6" s="651"/>
    </row>
    <row r="8" spans="2:13" ht="18.75">
      <c r="B8" s="409" t="s">
        <v>249</v>
      </c>
      <c r="C8" s="409" t="s">
        <v>250</v>
      </c>
      <c r="D8" s="409" t="s">
        <v>251</v>
      </c>
      <c r="E8" s="409" t="s">
        <v>252</v>
      </c>
      <c r="F8" s="409" t="s">
        <v>253</v>
      </c>
      <c r="G8" s="409" t="s">
        <v>254</v>
      </c>
      <c r="H8" s="409" t="s">
        <v>255</v>
      </c>
      <c r="I8" s="409" t="s">
        <v>256</v>
      </c>
      <c r="J8" s="409" t="s">
        <v>257</v>
      </c>
    </row>
    <row r="9" spans="2:13">
      <c r="B9" s="410" t="s">
        <v>258</v>
      </c>
      <c r="C9" s="410" t="s">
        <v>258</v>
      </c>
      <c r="D9" s="410" t="s">
        <v>258</v>
      </c>
      <c r="E9" s="410" t="s">
        <v>258</v>
      </c>
      <c r="F9" s="410" t="s">
        <v>258</v>
      </c>
      <c r="G9" s="410" t="s">
        <v>258</v>
      </c>
      <c r="H9" s="410" t="s">
        <v>258</v>
      </c>
      <c r="I9" s="411" t="s">
        <v>258</v>
      </c>
      <c r="J9" s="410" t="s">
        <v>258</v>
      </c>
    </row>
    <row r="10" spans="2:13">
      <c r="B10" s="412" t="s">
        <v>259</v>
      </c>
      <c r="C10" s="412" t="s">
        <v>74</v>
      </c>
      <c r="D10" s="412" t="s">
        <v>260</v>
      </c>
      <c r="E10" s="412" t="s">
        <v>261</v>
      </c>
      <c r="F10" s="412" t="s">
        <v>78</v>
      </c>
      <c r="G10" s="412" t="s">
        <v>262</v>
      </c>
      <c r="H10" s="413" t="s">
        <v>263</v>
      </c>
      <c r="I10" s="411" t="s">
        <v>168</v>
      </c>
      <c r="J10" s="410" t="s">
        <v>264</v>
      </c>
    </row>
    <row r="11" spans="2:13">
      <c r="B11" s="412" t="s">
        <v>265</v>
      </c>
      <c r="C11" s="412" t="s">
        <v>266</v>
      </c>
      <c r="D11" s="412" t="s">
        <v>267</v>
      </c>
      <c r="E11" s="412" t="s">
        <v>268</v>
      </c>
      <c r="F11" s="412" t="s">
        <v>61</v>
      </c>
      <c r="G11" s="412" t="s">
        <v>269</v>
      </c>
      <c r="H11" s="413" t="s">
        <v>270</v>
      </c>
      <c r="I11" s="411" t="s">
        <v>169</v>
      </c>
      <c r="J11" s="410" t="s">
        <v>271</v>
      </c>
    </row>
    <row r="12" spans="2:13">
      <c r="B12" s="412" t="s">
        <v>49</v>
      </c>
      <c r="D12" s="412" t="s">
        <v>272</v>
      </c>
      <c r="E12" s="412" t="s">
        <v>273</v>
      </c>
      <c r="F12" s="412" t="s">
        <v>79</v>
      </c>
      <c r="G12" s="412" t="s">
        <v>57</v>
      </c>
      <c r="H12" s="413" t="s">
        <v>274</v>
      </c>
      <c r="I12" s="411" t="s">
        <v>170</v>
      </c>
      <c r="J12" s="410" t="s">
        <v>275</v>
      </c>
      <c r="M12" s="414"/>
    </row>
    <row r="13" spans="2:13">
      <c r="B13" s="412" t="s">
        <v>276</v>
      </c>
      <c r="D13" s="412" t="s">
        <v>277</v>
      </c>
      <c r="E13" s="415"/>
      <c r="F13" s="412" t="s">
        <v>80</v>
      </c>
      <c r="G13" s="412" t="s">
        <v>278</v>
      </c>
      <c r="H13" s="413" t="s">
        <v>279</v>
      </c>
      <c r="I13" s="411" t="s">
        <v>171</v>
      </c>
      <c r="J13" s="410" t="s">
        <v>280</v>
      </c>
      <c r="M13" s="414"/>
    </row>
    <row r="14" spans="2:13">
      <c r="B14" s="412" t="s">
        <v>281</v>
      </c>
      <c r="D14" s="412" t="s">
        <v>282</v>
      </c>
      <c r="F14" s="412" t="s">
        <v>81</v>
      </c>
      <c r="G14" s="412" t="s">
        <v>283</v>
      </c>
      <c r="H14" s="413" t="s">
        <v>284</v>
      </c>
      <c r="I14" s="411" t="s">
        <v>285</v>
      </c>
      <c r="J14" s="410" t="s">
        <v>286</v>
      </c>
      <c r="M14" s="414"/>
    </row>
    <row r="15" spans="2:13">
      <c r="D15" s="412" t="s">
        <v>287</v>
      </c>
      <c r="F15" s="412" t="s">
        <v>82</v>
      </c>
      <c r="H15" s="413" t="s">
        <v>288</v>
      </c>
      <c r="I15" s="411" t="s">
        <v>289</v>
      </c>
      <c r="J15" s="410" t="s">
        <v>290</v>
      </c>
      <c r="M15" s="414"/>
    </row>
    <row r="16" spans="2:13">
      <c r="D16" s="412" t="s">
        <v>291</v>
      </c>
      <c r="F16" s="412" t="s">
        <v>83</v>
      </c>
      <c r="H16" s="413" t="s">
        <v>292</v>
      </c>
      <c r="I16" s="411" t="s">
        <v>293</v>
      </c>
      <c r="J16" s="410" t="s">
        <v>294</v>
      </c>
      <c r="M16" s="414"/>
    </row>
    <row r="17" spans="4:13">
      <c r="D17" s="412" t="s">
        <v>295</v>
      </c>
      <c r="F17" s="412" t="s">
        <v>84</v>
      </c>
      <c r="H17" s="413" t="s">
        <v>296</v>
      </c>
      <c r="I17" s="411" t="s">
        <v>297</v>
      </c>
      <c r="J17" s="410" t="s">
        <v>298</v>
      </c>
      <c r="M17" s="414"/>
    </row>
    <row r="18" spans="4:13">
      <c r="D18" s="412" t="s">
        <v>299</v>
      </c>
      <c r="F18" s="412" t="s">
        <v>85</v>
      </c>
      <c r="H18" s="413" t="s">
        <v>300</v>
      </c>
      <c r="I18" s="411" t="s">
        <v>301</v>
      </c>
      <c r="J18" s="410" t="s">
        <v>302</v>
      </c>
      <c r="M18" s="414"/>
    </row>
    <row r="19" spans="4:13">
      <c r="D19" s="412" t="s">
        <v>303</v>
      </c>
      <c r="F19" s="412" t="s">
        <v>86</v>
      </c>
      <c r="H19" s="413" t="s">
        <v>304</v>
      </c>
      <c r="I19" s="411" t="s">
        <v>305</v>
      </c>
      <c r="J19" s="410" t="s">
        <v>306</v>
      </c>
      <c r="M19" s="414"/>
    </row>
    <row r="20" spans="4:13">
      <c r="D20" s="416"/>
      <c r="F20" s="412" t="s">
        <v>87</v>
      </c>
      <c r="H20" s="413" t="s">
        <v>307</v>
      </c>
      <c r="I20" s="411" t="s">
        <v>308</v>
      </c>
      <c r="J20" s="410" t="s">
        <v>309</v>
      </c>
    </row>
    <row r="21" spans="4:13">
      <c r="D21" s="410"/>
      <c r="F21" s="412" t="s">
        <v>88</v>
      </c>
      <c r="H21" s="410"/>
      <c r="I21" s="411" t="s">
        <v>310</v>
      </c>
      <c r="J21" s="410" t="s">
        <v>311</v>
      </c>
    </row>
    <row r="22" spans="4:13">
      <c r="H22" s="410"/>
      <c r="I22" s="411" t="s">
        <v>312</v>
      </c>
      <c r="J22" s="410" t="s">
        <v>313</v>
      </c>
    </row>
    <row r="23" spans="4:13">
      <c r="I23" s="411" t="s">
        <v>314</v>
      </c>
      <c r="J23" s="410" t="s">
        <v>315</v>
      </c>
    </row>
    <row r="24" spans="4:13">
      <c r="I24" s="411" t="s">
        <v>316</v>
      </c>
      <c r="J24" s="410" t="s">
        <v>317</v>
      </c>
    </row>
    <row r="25" spans="4:13">
      <c r="I25" s="410"/>
      <c r="J25" s="410" t="s">
        <v>318</v>
      </c>
    </row>
    <row r="26" spans="4:13">
      <c r="I26" s="411" t="s">
        <v>319</v>
      </c>
      <c r="J26" s="410" t="s">
        <v>320</v>
      </c>
    </row>
    <row r="27" spans="4:13">
      <c r="I27" s="411" t="s">
        <v>321</v>
      </c>
      <c r="J27" s="410" t="s">
        <v>44</v>
      </c>
    </row>
    <row r="28" spans="4:13">
      <c r="I28" s="410" t="s">
        <v>322</v>
      </c>
      <c r="J28" s="410" t="s">
        <v>323</v>
      </c>
    </row>
    <row r="29" spans="4:13">
      <c r="I29" s="410" t="s">
        <v>324</v>
      </c>
      <c r="J29" s="410" t="s">
        <v>325</v>
      </c>
    </row>
    <row r="30" spans="4:13">
      <c r="I30" s="410" t="s">
        <v>326</v>
      </c>
      <c r="J30" s="410" t="s">
        <v>327</v>
      </c>
    </row>
    <row r="31" spans="4:13">
      <c r="J31" s="410" t="s">
        <v>328</v>
      </c>
    </row>
    <row r="32" spans="4:13">
      <c r="J32" s="410" t="s">
        <v>329</v>
      </c>
    </row>
    <row r="33" spans="10:10">
      <c r="J33" s="410" t="s">
        <v>330</v>
      </c>
    </row>
    <row r="34" spans="10:10">
      <c r="J34" s="410" t="s">
        <v>331</v>
      </c>
    </row>
    <row r="35" spans="10:10">
      <c r="J35" s="410" t="s">
        <v>332</v>
      </c>
    </row>
    <row r="36" spans="10:10">
      <c r="J36" s="410" t="s">
        <v>333</v>
      </c>
    </row>
    <row r="37" spans="10:10">
      <c r="J37" s="410" t="s">
        <v>334</v>
      </c>
    </row>
    <row r="38" spans="10:10">
      <c r="J38" s="410" t="s">
        <v>335</v>
      </c>
    </row>
    <row r="39" spans="10:10">
      <c r="J39" s="410" t="s">
        <v>336</v>
      </c>
    </row>
    <row r="40" spans="10:10">
      <c r="J40" s="410" t="s">
        <v>337</v>
      </c>
    </row>
    <row r="41" spans="10:10">
      <c r="J41" s="410" t="s">
        <v>338</v>
      </c>
    </row>
    <row r="42" spans="10:10">
      <c r="J42" s="410" t="s">
        <v>339</v>
      </c>
    </row>
    <row r="43" spans="10:10">
      <c r="J43" s="410" t="s">
        <v>340</v>
      </c>
    </row>
    <row r="44" spans="10:10">
      <c r="J44" s="410" t="s">
        <v>341</v>
      </c>
    </row>
    <row r="45" spans="10:10">
      <c r="J45" s="410" t="s">
        <v>342</v>
      </c>
    </row>
    <row r="46" spans="10:10">
      <c r="J46" s="410" t="s">
        <v>343</v>
      </c>
    </row>
    <row r="47" spans="10:10">
      <c r="J47" s="410" t="s">
        <v>344</v>
      </c>
    </row>
    <row r="48" spans="10:10">
      <c r="J48" s="410" t="s">
        <v>345</v>
      </c>
    </row>
  </sheetData>
  <sheetProtection selectLockedCells="1" selectUnlockedCells="1"/>
  <mergeCells count="2">
    <mergeCell ref="B3:H3"/>
    <mergeCell ref="B6:H6"/>
  </mergeCells>
  <phoneticPr fontId="68" type="noConversion"/>
  <dataValidations count="1">
    <dataValidation type="list" allowBlank="1" showErrorMessage="1" sqref="M28" xr:uid="{00000000-0002-0000-0900-000000000000}">
      <formula1>$J$10:$J$48</formula1>
      <formula2>0</formula2>
    </dataValidation>
  </dataValidations>
  <pageMargins left="0.7" right="0.7" top="0.75" bottom="0.75" header="0.51180555555555551" footer="0.3"/>
  <pageSetup firstPageNumber="0" orientation="landscape" horizontalDpi="300" verticalDpi="300"/>
  <headerFooter alignWithMargins="0">
    <oddFooter>&amp;L&amp;8&amp;F: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H48"/>
  <sheetViews>
    <sheetView showGridLines="0" topLeftCell="B1" zoomScale="70" zoomScaleNormal="70" workbookViewId="0">
      <pane ySplit="2" topLeftCell="A3" activePane="bottomLeft" state="frozen"/>
      <selection activeCell="B1" sqref="B1"/>
      <selection pane="bottomLeft" activeCell="B11" sqref="B11:D11"/>
    </sheetView>
  </sheetViews>
  <sheetFormatPr baseColWidth="10" defaultColWidth="10.7109375" defaultRowHeight="15"/>
  <cols>
    <col min="1" max="1" width="2.5703125" customWidth="1"/>
    <col min="2" max="2" width="21.42578125" customWidth="1"/>
    <col min="3" max="3" width="11.42578125" customWidth="1"/>
    <col min="4" max="4" width="11.140625" customWidth="1"/>
    <col min="5" max="5" width="16.42578125" customWidth="1"/>
    <col min="6" max="6" width="15.5703125" customWidth="1"/>
    <col min="7" max="7" width="37.42578125" customWidth="1"/>
    <col min="8" max="8" width="17.42578125" customWidth="1"/>
    <col min="9" max="9" width="71.140625" customWidth="1"/>
    <col min="10" max="10" width="14.140625" customWidth="1"/>
    <col min="11" max="11" width="16" customWidth="1"/>
    <col min="12" max="12" width="13.140625" customWidth="1"/>
    <col min="13" max="13" width="49.42578125" customWidth="1"/>
    <col min="14" max="14" width="2.42578125" customWidth="1"/>
    <col min="15" max="15" width="3" customWidth="1"/>
    <col min="16" max="16" width="2.42578125" customWidth="1"/>
    <col min="17" max="17" width="16.140625" customWidth="1"/>
    <col min="18" max="18" width="13.5703125" customWidth="1"/>
    <col min="19" max="19" width="11.42578125" customWidth="1"/>
    <col min="20" max="20" width="14.85546875" customWidth="1"/>
    <col min="21" max="21" width="16" customWidth="1"/>
    <col min="22" max="22" width="0" hidden="1" customWidth="1"/>
    <col min="23" max="23" width="15.42578125" customWidth="1"/>
    <col min="24" max="24" width="11.42578125" customWidth="1"/>
    <col min="25" max="25" width="2.42578125" customWidth="1"/>
    <col min="26" max="26" width="1.140625" customWidth="1"/>
    <col min="27" max="27" width="3.425781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42578125" customWidth="1"/>
    <col min="36" max="36" width="2.42578125" customWidth="1"/>
    <col min="37" max="37" width="40.5703125" customWidth="1"/>
    <col min="38" max="38" width="15.42578125" customWidth="1"/>
  </cols>
  <sheetData>
    <row r="1" spans="2:60" ht="34.5" customHeight="1"/>
    <row r="2" spans="2:60" ht="36" customHeight="1">
      <c r="B2" s="470" t="str">
        <f>+"Cuadro de mando:  "&amp;"  "&amp;+'Introducción de datos'!C4&amp;" - "&amp;'Introducción de datos'!G6</f>
        <v>Cuadro de mando:    El Salvador - TB</v>
      </c>
      <c r="C2" s="470"/>
      <c r="D2" s="470"/>
      <c r="E2" s="470"/>
      <c r="F2" s="470"/>
      <c r="G2" s="470"/>
      <c r="H2" s="470"/>
      <c r="I2" s="470"/>
      <c r="J2" s="470"/>
      <c r="K2" s="470"/>
      <c r="L2" s="470"/>
      <c r="M2" s="470"/>
    </row>
    <row r="3" spans="2:60" ht="15.75" customHeight="1">
      <c r="B3" s="4"/>
      <c r="C3" s="4"/>
      <c r="D3" s="4"/>
      <c r="E3" s="4"/>
      <c r="F3" s="4"/>
      <c r="G3" s="4"/>
      <c r="H3" s="4"/>
      <c r="I3" s="4"/>
      <c r="J3" s="4"/>
      <c r="K3" s="5"/>
      <c r="L3" s="5"/>
    </row>
    <row r="5" spans="2:60" ht="23.25">
      <c r="B5" s="471" t="s">
        <v>0</v>
      </c>
      <c r="C5" s="471"/>
      <c r="D5" s="471"/>
      <c r="E5" s="471"/>
      <c r="F5" s="471"/>
      <c r="G5" s="471"/>
      <c r="H5" s="471"/>
      <c r="I5" s="471"/>
      <c r="J5" s="471"/>
      <c r="K5" s="471"/>
      <c r="L5" s="471"/>
      <c r="M5" s="471"/>
      <c r="N5" s="471"/>
      <c r="O5" s="471"/>
    </row>
    <row r="7" spans="2:60" ht="21">
      <c r="B7" s="472" t="s">
        <v>1</v>
      </c>
      <c r="C7" s="472"/>
      <c r="D7" s="472"/>
      <c r="E7" s="472" t="s">
        <v>2</v>
      </c>
      <c r="F7" s="472"/>
      <c r="G7" s="472"/>
      <c r="H7" s="472"/>
      <c r="I7" s="472"/>
      <c r="J7" s="472" t="s">
        <v>3</v>
      </c>
      <c r="K7" s="472"/>
      <c r="L7" s="472"/>
      <c r="M7" s="472" t="s">
        <v>4</v>
      </c>
      <c r="N7" s="472"/>
      <c r="O7" s="472"/>
    </row>
    <row r="8" spans="2:60" ht="92.25" customHeight="1">
      <c r="B8" s="467" t="str">
        <f>+'Introducción de datos'!B27</f>
        <v>F1: Presupuesto y desembolsos del Fondo Mundial</v>
      </c>
      <c r="C8" s="467"/>
      <c r="D8" s="467"/>
      <c r="E8" s="468" t="s">
        <v>5</v>
      </c>
      <c r="F8" s="468"/>
      <c r="G8" s="468"/>
      <c r="H8" s="468"/>
      <c r="I8" s="468"/>
      <c r="J8" s="469" t="s">
        <v>6</v>
      </c>
      <c r="K8" s="469"/>
      <c r="L8" s="469"/>
      <c r="M8" s="469" t="s">
        <v>7</v>
      </c>
      <c r="N8" s="469"/>
      <c r="O8" s="469"/>
    </row>
    <row r="9" spans="2:60" ht="117.75" customHeight="1">
      <c r="B9" s="467" t="str">
        <f>+'Introducción de datos'!B36</f>
        <v>F2: Presupuesto y gastos reales por estrategias de la subvención anual</v>
      </c>
      <c r="C9" s="467"/>
      <c r="D9" s="467"/>
      <c r="E9" s="474" t="s">
        <v>8</v>
      </c>
      <c r="F9" s="474"/>
      <c r="G9" s="474"/>
      <c r="H9" s="474"/>
      <c r="I9" s="474"/>
      <c r="J9" s="475" t="s">
        <v>9</v>
      </c>
      <c r="K9" s="475"/>
      <c r="L9" s="475"/>
      <c r="M9" s="475" t="s">
        <v>7</v>
      </c>
      <c r="N9" s="475"/>
      <c r="O9" s="475"/>
    </row>
    <row r="10" spans="2:60" ht="233.25" customHeight="1">
      <c r="B10" s="473" t="str">
        <f>+'Introducción de datos'!B51</f>
        <v>F3: Desembolsos y gastos</v>
      </c>
      <c r="C10" s="473"/>
      <c r="D10" s="473"/>
      <c r="E10" s="474" t="s">
        <v>10</v>
      </c>
      <c r="F10" s="474"/>
      <c r="G10" s="474"/>
      <c r="H10" s="474"/>
      <c r="I10" s="474"/>
      <c r="J10" s="475" t="s">
        <v>11</v>
      </c>
      <c r="K10" s="475"/>
      <c r="L10" s="475"/>
      <c r="M10" s="475" t="s">
        <v>12</v>
      </c>
      <c r="N10" s="475"/>
      <c r="O10" s="475"/>
    </row>
    <row r="11" spans="2:60" ht="279.75" customHeight="1">
      <c r="B11" s="473" t="str">
        <f>+'Introducción de datos'!B69</f>
        <v>F4: Último ciclo de información y desembolso del RP</v>
      </c>
      <c r="C11" s="473"/>
      <c r="D11" s="473"/>
      <c r="E11" s="474" t="s">
        <v>13</v>
      </c>
      <c r="F11" s="474"/>
      <c r="G11" s="474"/>
      <c r="H11" s="474"/>
      <c r="I11" s="474"/>
      <c r="J11" s="475" t="s">
        <v>14</v>
      </c>
      <c r="K11" s="475"/>
      <c r="L11" s="475"/>
      <c r="M11" s="475" t="s">
        <v>15</v>
      </c>
      <c r="N11" s="475"/>
      <c r="O11" s="475"/>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row>
    <row r="12" spans="2:60">
      <c r="B12" s="476"/>
      <c r="C12" s="476"/>
      <c r="D12" s="476"/>
      <c r="E12" s="477"/>
      <c r="F12" s="477"/>
      <c r="G12" s="477"/>
      <c r="H12" s="477"/>
      <c r="I12" s="477"/>
      <c r="J12" s="477"/>
      <c r="K12" s="477"/>
      <c r="L12" s="477"/>
      <c r="M12" s="477"/>
      <c r="N12" s="477"/>
      <c r="O12" s="477"/>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row>
    <row r="13" spans="2:60">
      <c r="B13" s="478"/>
      <c r="C13" s="478"/>
      <c r="D13" s="478"/>
      <c r="E13" s="479"/>
      <c r="F13" s="479"/>
      <c r="G13" s="479"/>
      <c r="H13" s="479"/>
      <c r="I13" s="479"/>
      <c r="J13" s="479"/>
      <c r="K13" s="479"/>
      <c r="L13" s="479"/>
      <c r="M13" s="479"/>
      <c r="N13" s="479"/>
      <c r="O13" s="479"/>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row>
    <row r="14" spans="2:60">
      <c r="B14" s="478"/>
      <c r="C14" s="478"/>
      <c r="D14" s="478"/>
      <c r="E14" s="479"/>
      <c r="F14" s="479"/>
      <c r="G14" s="479"/>
      <c r="H14" s="479"/>
      <c r="I14" s="479"/>
      <c r="J14" s="479"/>
      <c r="K14" s="479"/>
      <c r="L14" s="479"/>
      <c r="M14" s="479"/>
      <c r="N14" s="479"/>
      <c r="O14" s="479"/>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row>
    <row r="15" spans="2:60">
      <c r="B15" s="478"/>
      <c r="C15" s="478"/>
      <c r="D15" s="478"/>
      <c r="E15" s="479"/>
      <c r="F15" s="479"/>
      <c r="G15" s="479"/>
      <c r="H15" s="479"/>
      <c r="I15" s="479"/>
      <c r="J15" s="479"/>
      <c r="K15" s="479"/>
      <c r="L15" s="479"/>
      <c r="M15" s="479"/>
      <c r="N15" s="479"/>
      <c r="O15" s="479"/>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row>
    <row r="16" spans="2:60" ht="23.25">
      <c r="B16" s="471" t="s">
        <v>16</v>
      </c>
      <c r="C16" s="471"/>
      <c r="D16" s="471"/>
      <c r="E16" s="471"/>
      <c r="F16" s="471"/>
      <c r="G16" s="471"/>
      <c r="H16" s="471"/>
      <c r="I16" s="471"/>
      <c r="J16" s="471"/>
      <c r="K16" s="471"/>
      <c r="L16" s="471"/>
      <c r="M16" s="471"/>
      <c r="N16" s="471"/>
      <c r="O16" s="47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row>
    <row r="17" spans="2:60">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row>
    <row r="18" spans="2:60" ht="21">
      <c r="B18" s="480" t="s">
        <v>1</v>
      </c>
      <c r="C18" s="480"/>
      <c r="D18" s="480"/>
      <c r="E18" s="480" t="s">
        <v>2</v>
      </c>
      <c r="F18" s="480"/>
      <c r="G18" s="480"/>
      <c r="H18" s="480"/>
      <c r="I18" s="480"/>
      <c r="J18" s="480" t="s">
        <v>3</v>
      </c>
      <c r="K18" s="480"/>
      <c r="L18" s="480"/>
      <c r="M18" s="480" t="s">
        <v>17</v>
      </c>
      <c r="N18" s="480"/>
      <c r="O18" s="480"/>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row>
    <row r="19" spans="2:60" ht="149.25" customHeight="1">
      <c r="B19" s="467" t="str">
        <f>+'Introducción de datos'!B80</f>
        <v>M1: Estado de las condiciones precedentes y acciones con fecha límite</v>
      </c>
      <c r="C19" s="467"/>
      <c r="D19" s="467"/>
      <c r="E19" s="474" t="s">
        <v>18</v>
      </c>
      <c r="F19" s="474"/>
      <c r="G19" s="474"/>
      <c r="H19" s="474"/>
      <c r="I19" s="474"/>
      <c r="J19" s="475" t="s">
        <v>19</v>
      </c>
      <c r="K19" s="475"/>
      <c r="L19" s="475"/>
      <c r="M19" s="475" t="s">
        <v>20</v>
      </c>
      <c r="N19" s="475"/>
      <c r="O19" s="475"/>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row>
    <row r="20" spans="2:60" ht="102.75" customHeight="1">
      <c r="B20" s="467" t="str">
        <f>+'Introducción de datos'!B87</f>
        <v>M2: Estado de los principales puestos directivos del RP</v>
      </c>
      <c r="C20" s="467"/>
      <c r="D20" s="467"/>
      <c r="E20" s="474" t="s">
        <v>21</v>
      </c>
      <c r="F20" s="474"/>
      <c r="G20" s="474"/>
      <c r="H20" s="474"/>
      <c r="I20" s="474"/>
      <c r="J20" s="475" t="s">
        <v>22</v>
      </c>
      <c r="K20" s="475"/>
      <c r="L20" s="475"/>
      <c r="M20" s="475" t="s">
        <v>23</v>
      </c>
      <c r="N20" s="475"/>
      <c r="O20" s="475"/>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row>
    <row r="21" spans="2:60" ht="137.25" customHeight="1">
      <c r="B21" s="467" t="str">
        <f>+'Introducción de datos'!B92</f>
        <v>M3: Acuerdos contractuales</v>
      </c>
      <c r="C21" s="467"/>
      <c r="D21" s="467"/>
      <c r="E21" s="481" t="s">
        <v>24</v>
      </c>
      <c r="F21" s="481"/>
      <c r="G21" s="481"/>
      <c r="H21" s="481"/>
      <c r="I21" s="481"/>
      <c r="J21" s="475" t="s">
        <v>25</v>
      </c>
      <c r="K21" s="475"/>
      <c r="L21" s="475"/>
      <c r="M21" s="475" t="s">
        <v>26</v>
      </c>
      <c r="N21" s="475"/>
      <c r="O21" s="475"/>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row>
    <row r="22" spans="2:60" ht="74.25" customHeight="1">
      <c r="B22" s="467" t="str">
        <f>+'Introducción de datos'!B97</f>
        <v>M4: Número de informes completos recibidos a tiempo</v>
      </c>
      <c r="C22" s="467"/>
      <c r="D22" s="467"/>
      <c r="E22" s="481" t="s">
        <v>27</v>
      </c>
      <c r="F22" s="481"/>
      <c r="G22" s="481"/>
      <c r="H22" s="481"/>
      <c r="I22" s="481"/>
      <c r="J22" s="475" t="s">
        <v>28</v>
      </c>
      <c r="K22" s="475"/>
      <c r="L22" s="475"/>
      <c r="M22" s="475" t="s">
        <v>29</v>
      </c>
      <c r="N22" s="475"/>
      <c r="O22" s="475"/>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row>
    <row r="23" spans="2:60" ht="207.75" customHeight="1">
      <c r="B23" s="473" t="str">
        <f>+'Introducción de datos'!B103</f>
        <v>M5: Presupuesto y compra de productos y equipo sanitario, medicamentos y productos farmacéuticos</v>
      </c>
      <c r="C23" s="473"/>
      <c r="D23" s="473"/>
      <c r="E23" s="485" t="s">
        <v>30</v>
      </c>
      <c r="F23" s="485"/>
      <c r="G23" s="485"/>
      <c r="H23" s="485"/>
      <c r="I23" s="485"/>
      <c r="J23" s="475" t="s">
        <v>31</v>
      </c>
      <c r="K23" s="475"/>
      <c r="L23" s="475"/>
      <c r="M23" s="475" t="s">
        <v>32</v>
      </c>
      <c r="N23" s="475"/>
      <c r="O23" s="475"/>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row>
    <row r="24" spans="2:60" ht="114.75" customHeight="1">
      <c r="B24" s="473"/>
      <c r="C24" s="473"/>
      <c r="D24" s="473"/>
      <c r="E24" s="486" t="s">
        <v>33</v>
      </c>
      <c r="F24" s="486"/>
      <c r="G24" s="486"/>
      <c r="H24" s="486"/>
      <c r="I24" s="486"/>
      <c r="J24" s="475"/>
      <c r="K24" s="475"/>
      <c r="L24" s="475"/>
      <c r="M24" s="475"/>
      <c r="N24" s="475"/>
      <c r="O24" s="475"/>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row>
    <row r="25" spans="2:60" ht="206.25" customHeight="1">
      <c r="B25" s="467" t="str">
        <f>+'Introducción de datos'!B116</f>
        <v>M6: Diferencia entre existencias actuales y existencias de seguridad</v>
      </c>
      <c r="C25" s="467"/>
      <c r="D25" s="467"/>
      <c r="E25" s="482" t="s">
        <v>34</v>
      </c>
      <c r="F25" s="482"/>
      <c r="G25" s="482"/>
      <c r="H25" s="482"/>
      <c r="I25" s="482"/>
      <c r="J25" s="483" t="s">
        <v>35</v>
      </c>
      <c r="K25" s="483"/>
      <c r="L25" s="483"/>
      <c r="M25" s="484" t="s">
        <v>36</v>
      </c>
      <c r="N25" s="484"/>
      <c r="O25" s="484"/>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row>
    <row r="26" spans="2:60">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row>
    <row r="27" spans="2:60">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row>
    <row r="28" spans="2:60">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row>
    <row r="29" spans="2:60" ht="18.75">
      <c r="B29" s="8"/>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row>
    <row r="30" spans="2:60" ht="23.25">
      <c r="B30" s="471" t="s">
        <v>37</v>
      </c>
      <c r="C30" s="471"/>
      <c r="D30" s="471"/>
      <c r="E30" s="471"/>
      <c r="F30" s="471"/>
      <c r="G30" s="471"/>
      <c r="H30" s="471"/>
      <c r="I30" s="471"/>
      <c r="J30" s="471"/>
      <c r="K30" s="471"/>
      <c r="L30" s="471"/>
      <c r="M30" s="471"/>
      <c r="N30" s="471"/>
      <c r="O30" s="471"/>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row>
    <row r="31" spans="2:60">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row>
    <row r="32" spans="2:60" ht="28.5" customHeight="1">
      <c r="B32" s="490" t="s">
        <v>38</v>
      </c>
      <c r="C32" s="490"/>
      <c r="D32" s="490"/>
      <c r="E32" s="491" t="s">
        <v>39</v>
      </c>
      <c r="F32" s="491"/>
      <c r="G32" s="491"/>
      <c r="H32" s="491"/>
      <c r="I32" s="491"/>
      <c r="J32" s="491" t="s">
        <v>3</v>
      </c>
      <c r="K32" s="491"/>
      <c r="L32" s="491"/>
      <c r="M32" s="491" t="s">
        <v>17</v>
      </c>
      <c r="N32" s="491"/>
      <c r="O32" s="491"/>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row>
    <row r="33" spans="2:60" ht="47.25" customHeight="1">
      <c r="B33" s="487"/>
      <c r="C33" s="487"/>
      <c r="D33" s="487"/>
      <c r="E33" s="488"/>
      <c r="F33" s="488"/>
      <c r="G33" s="488"/>
      <c r="H33" s="488"/>
      <c r="I33" s="488"/>
      <c r="J33" s="489"/>
      <c r="K33" s="489"/>
      <c r="L33" s="489"/>
      <c r="M33" s="489"/>
      <c r="N33" s="489"/>
      <c r="O33" s="489"/>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row>
    <row r="34" spans="2:60" ht="59.25" customHeight="1">
      <c r="B34" s="487"/>
      <c r="C34" s="487"/>
      <c r="D34" s="487"/>
      <c r="E34" s="488"/>
      <c r="F34" s="488"/>
      <c r="G34" s="488"/>
      <c r="H34" s="488"/>
      <c r="I34" s="488"/>
      <c r="J34" s="489"/>
      <c r="K34" s="489"/>
      <c r="L34" s="489"/>
      <c r="M34" s="489"/>
      <c r="N34" s="489"/>
      <c r="O34" s="489"/>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row>
    <row r="35" spans="2:60" ht="57.75" customHeight="1">
      <c r="B35" s="487"/>
      <c r="C35" s="487"/>
      <c r="D35" s="487"/>
      <c r="E35" s="489"/>
      <c r="F35" s="489"/>
      <c r="G35" s="489"/>
      <c r="H35" s="489"/>
      <c r="I35" s="489"/>
      <c r="J35" s="489"/>
      <c r="K35" s="489"/>
      <c r="L35" s="489"/>
      <c r="M35" s="489"/>
      <c r="N35" s="489"/>
      <c r="O35" s="489"/>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row>
    <row r="36" spans="2:60" ht="9.75" customHeight="1">
      <c r="B36" s="493"/>
      <c r="C36" s="493"/>
      <c r="D36" s="493"/>
      <c r="E36" s="9"/>
      <c r="F36" s="10"/>
      <c r="G36" s="10"/>
      <c r="H36" s="10"/>
      <c r="I36" s="11"/>
      <c r="J36" s="12"/>
      <c r="K36" s="13"/>
      <c r="L36" s="14"/>
      <c r="M36" s="12"/>
      <c r="N36" s="13"/>
      <c r="O36" s="14"/>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row>
    <row r="37" spans="2:60" ht="46.5" customHeight="1">
      <c r="B37" s="487"/>
      <c r="C37" s="487"/>
      <c r="D37" s="487"/>
      <c r="E37" s="489"/>
      <c r="F37" s="489"/>
      <c r="G37" s="489"/>
      <c r="H37" s="489"/>
      <c r="I37" s="489"/>
      <c r="J37" s="15"/>
      <c r="K37" s="16"/>
      <c r="L37" s="17"/>
      <c r="M37" s="15"/>
      <c r="N37" s="16"/>
      <c r="O37" s="17"/>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row>
    <row r="38" spans="2:60" ht="69" customHeight="1">
      <c r="B38" s="487"/>
      <c r="C38" s="487"/>
      <c r="D38" s="487"/>
      <c r="E38" s="488"/>
      <c r="F38" s="488"/>
      <c r="G38" s="488"/>
      <c r="H38" s="488"/>
      <c r="I38" s="488"/>
      <c r="J38" s="489"/>
      <c r="K38" s="489"/>
      <c r="L38" s="489"/>
      <c r="M38" s="489"/>
      <c r="N38" s="489"/>
      <c r="O38" s="489"/>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row>
    <row r="39" spans="2:60" ht="64.5" customHeight="1">
      <c r="B39" s="492"/>
      <c r="C39" s="492"/>
      <c r="D39" s="492"/>
      <c r="E39" s="489"/>
      <c r="F39" s="489"/>
      <c r="G39" s="489"/>
      <c r="H39" s="489"/>
      <c r="I39" s="489"/>
      <c r="J39" s="15"/>
      <c r="K39" s="16"/>
      <c r="L39" s="17"/>
      <c r="M39" s="15"/>
      <c r="N39" s="16"/>
      <c r="O39" s="17"/>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row>
    <row r="40" spans="2:60" ht="45" customHeight="1">
      <c r="B40" s="496"/>
      <c r="C40" s="496"/>
      <c r="D40" s="496"/>
      <c r="E40" s="489"/>
      <c r="F40" s="489"/>
      <c r="G40" s="489"/>
      <c r="H40" s="489"/>
      <c r="I40" s="489"/>
      <c r="J40" s="489"/>
      <c r="K40" s="489"/>
      <c r="L40" s="489"/>
      <c r="M40" s="489"/>
      <c r="N40" s="489"/>
      <c r="O40" s="489"/>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row>
    <row r="41" spans="2:60" ht="62.25" customHeight="1">
      <c r="B41" s="492"/>
      <c r="C41" s="492"/>
      <c r="D41" s="492"/>
      <c r="E41" s="488"/>
      <c r="F41" s="488"/>
      <c r="G41" s="488"/>
      <c r="H41" s="488"/>
      <c r="I41" s="488"/>
      <c r="J41" s="489"/>
      <c r="K41" s="489"/>
      <c r="L41" s="489"/>
      <c r="M41" s="489"/>
      <c r="N41" s="489"/>
      <c r="O41" s="489"/>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row>
    <row r="42" spans="2:60" ht="84" customHeight="1">
      <c r="B42" s="492"/>
      <c r="C42" s="492"/>
      <c r="D42" s="492"/>
      <c r="E42" s="489"/>
      <c r="F42" s="489"/>
      <c r="G42" s="489"/>
      <c r="H42" s="489"/>
      <c r="I42" s="489"/>
      <c r="J42" s="15"/>
      <c r="K42" s="16"/>
      <c r="L42" s="17"/>
      <c r="M42" s="15"/>
      <c r="N42" s="16"/>
      <c r="O42" s="17"/>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row>
    <row r="43" spans="2:60" ht="45" customHeight="1">
      <c r="B43" s="492"/>
      <c r="C43" s="492"/>
      <c r="D43" s="492"/>
      <c r="E43" s="488"/>
      <c r="F43" s="488"/>
      <c r="G43" s="488"/>
      <c r="H43" s="488"/>
      <c r="I43" s="488"/>
      <c r="J43" s="489"/>
      <c r="K43" s="489"/>
      <c r="L43" s="489"/>
      <c r="M43" s="15"/>
      <c r="N43" s="16"/>
      <c r="O43" s="17"/>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row>
    <row r="44" spans="2:60" ht="64.5" customHeight="1">
      <c r="B44" s="496"/>
      <c r="C44" s="496"/>
      <c r="D44" s="496"/>
      <c r="E44" s="488"/>
      <c r="F44" s="488"/>
      <c r="G44" s="488"/>
      <c r="H44" s="488"/>
      <c r="I44" s="488"/>
      <c r="J44" s="489"/>
      <c r="K44" s="489"/>
      <c r="L44" s="489"/>
      <c r="M44" s="15"/>
      <c r="N44" s="16"/>
      <c r="O44" s="17"/>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row>
    <row r="45" spans="2:60" ht="49.5" customHeight="1">
      <c r="B45" s="496"/>
      <c r="C45" s="496"/>
      <c r="D45" s="496"/>
      <c r="E45" s="488"/>
      <c r="F45" s="488"/>
      <c r="G45" s="488"/>
      <c r="H45" s="488"/>
      <c r="I45" s="488"/>
      <c r="J45" s="489"/>
      <c r="K45" s="489"/>
      <c r="L45" s="489"/>
      <c r="M45" s="15"/>
      <c r="N45" s="16"/>
      <c r="O45" s="17"/>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row>
    <row r="46" spans="2:60" ht="30" customHeight="1">
      <c r="B46" s="497"/>
      <c r="C46" s="497"/>
      <c r="D46" s="497"/>
      <c r="E46" s="18"/>
      <c r="F46" s="19"/>
      <c r="G46" s="19"/>
      <c r="H46" s="19"/>
      <c r="I46" s="20"/>
      <c r="J46" s="15"/>
      <c r="K46" s="16"/>
      <c r="L46" s="17"/>
      <c r="M46" s="15"/>
      <c r="N46" s="16"/>
      <c r="O46" s="17"/>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row>
    <row r="47" spans="2:60" ht="33.75" customHeight="1">
      <c r="B47" s="21"/>
      <c r="C47" s="22"/>
      <c r="D47" s="22"/>
      <c r="E47" s="23"/>
      <c r="F47" s="24"/>
      <c r="G47" s="24"/>
      <c r="H47" s="24"/>
      <c r="I47" s="24"/>
      <c r="J47" s="23"/>
      <c r="K47" s="23"/>
      <c r="L47" s="25"/>
      <c r="M47" s="26"/>
      <c r="N47" s="23"/>
      <c r="O47" s="25"/>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row>
    <row r="48" spans="2:60" ht="15.75" customHeight="1">
      <c r="B48" s="494" t="s">
        <v>40</v>
      </c>
      <c r="C48" s="494"/>
      <c r="D48" s="494"/>
      <c r="E48" s="494"/>
      <c r="F48" s="494"/>
      <c r="G48" s="494"/>
      <c r="H48" s="494"/>
      <c r="I48" s="494"/>
      <c r="J48" s="494"/>
      <c r="K48" s="494"/>
      <c r="L48" s="494"/>
      <c r="M48" s="495" t="s">
        <v>41</v>
      </c>
      <c r="N48" s="495"/>
      <c r="O48" s="495"/>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row>
  </sheetData>
  <sheetProtection password="CFC9" sheet="1"/>
  <mergeCells count="116">
    <mergeCell ref="B48:L48"/>
    <mergeCell ref="M48:O48"/>
    <mergeCell ref="B45:D45"/>
    <mergeCell ref="E45:I45"/>
    <mergeCell ref="J45:L45"/>
    <mergeCell ref="B46:D46"/>
    <mergeCell ref="J41:L41"/>
    <mergeCell ref="M41:O41"/>
    <mergeCell ref="B40:D40"/>
    <mergeCell ref="E40:I40"/>
    <mergeCell ref="J40:L40"/>
    <mergeCell ref="M40:O40"/>
    <mergeCell ref="J43:L43"/>
    <mergeCell ref="B44:D44"/>
    <mergeCell ref="E44:I44"/>
    <mergeCell ref="J44:L44"/>
    <mergeCell ref="B42:D42"/>
    <mergeCell ref="E42:I42"/>
    <mergeCell ref="B43:D43"/>
    <mergeCell ref="E43:I43"/>
    <mergeCell ref="B39:D39"/>
    <mergeCell ref="E39:I39"/>
    <mergeCell ref="B36:D36"/>
    <mergeCell ref="B37:D37"/>
    <mergeCell ref="E37:I37"/>
    <mergeCell ref="B38:D38"/>
    <mergeCell ref="E38:I38"/>
    <mergeCell ref="B41:D41"/>
    <mergeCell ref="E41:I41"/>
    <mergeCell ref="B35:D35"/>
    <mergeCell ref="E35:I35"/>
    <mergeCell ref="J35:L35"/>
    <mergeCell ref="M35:O35"/>
    <mergeCell ref="B34:D34"/>
    <mergeCell ref="E34:I34"/>
    <mergeCell ref="J34:L34"/>
    <mergeCell ref="M34:O34"/>
    <mergeCell ref="J38:L38"/>
    <mergeCell ref="M38:O38"/>
    <mergeCell ref="B33:D33"/>
    <mergeCell ref="E33:I33"/>
    <mergeCell ref="J33:L33"/>
    <mergeCell ref="M33:O33"/>
    <mergeCell ref="B30:O30"/>
    <mergeCell ref="B32:D32"/>
    <mergeCell ref="E32:I32"/>
    <mergeCell ref="J32:L32"/>
    <mergeCell ref="M32:O32"/>
    <mergeCell ref="B22:D22"/>
    <mergeCell ref="E22:I22"/>
    <mergeCell ref="J22:L22"/>
    <mergeCell ref="M22:O22"/>
    <mergeCell ref="B21:D21"/>
    <mergeCell ref="E21:I21"/>
    <mergeCell ref="J21:L21"/>
    <mergeCell ref="M21:O21"/>
    <mergeCell ref="B25:D25"/>
    <mergeCell ref="E25:I25"/>
    <mergeCell ref="J25:L25"/>
    <mergeCell ref="M25:O25"/>
    <mergeCell ref="B23:D24"/>
    <mergeCell ref="E23:I23"/>
    <mergeCell ref="J23:L24"/>
    <mergeCell ref="M23:O24"/>
    <mergeCell ref="E24:I24"/>
    <mergeCell ref="B18:D18"/>
    <mergeCell ref="E18:I18"/>
    <mergeCell ref="J18:L18"/>
    <mergeCell ref="M18:O18"/>
    <mergeCell ref="B15:D15"/>
    <mergeCell ref="E15:I15"/>
    <mergeCell ref="J15:L15"/>
    <mergeCell ref="M15:O15"/>
    <mergeCell ref="B20:D20"/>
    <mergeCell ref="E20:I20"/>
    <mergeCell ref="J20:L20"/>
    <mergeCell ref="M20:O20"/>
    <mergeCell ref="B19:D19"/>
    <mergeCell ref="E19:I19"/>
    <mergeCell ref="J19:L19"/>
    <mergeCell ref="M19:O19"/>
    <mergeCell ref="B14:D14"/>
    <mergeCell ref="E14:I14"/>
    <mergeCell ref="J14:L14"/>
    <mergeCell ref="M14:O14"/>
    <mergeCell ref="B13:D13"/>
    <mergeCell ref="E13:I13"/>
    <mergeCell ref="J13:L13"/>
    <mergeCell ref="M13:O13"/>
    <mergeCell ref="B16:O16"/>
    <mergeCell ref="B10:D10"/>
    <mergeCell ref="E10:I10"/>
    <mergeCell ref="J10:L10"/>
    <mergeCell ref="M10:O10"/>
    <mergeCell ref="B9:D9"/>
    <mergeCell ref="E9:I9"/>
    <mergeCell ref="J9:L9"/>
    <mergeCell ref="M9:O9"/>
    <mergeCell ref="B12:D12"/>
    <mergeCell ref="E12:I12"/>
    <mergeCell ref="J12:L12"/>
    <mergeCell ref="M12:O12"/>
    <mergeCell ref="B11:D11"/>
    <mergeCell ref="E11:I11"/>
    <mergeCell ref="J11:L11"/>
    <mergeCell ref="M11:O11"/>
    <mergeCell ref="B8:D8"/>
    <mergeCell ref="E8:I8"/>
    <mergeCell ref="J8:L8"/>
    <mergeCell ref="M8:O8"/>
    <mergeCell ref="B2:M2"/>
    <mergeCell ref="B5:O5"/>
    <mergeCell ref="B7:D7"/>
    <mergeCell ref="E7:I7"/>
    <mergeCell ref="J7:L7"/>
    <mergeCell ref="M7:O7"/>
  </mergeCells>
  <phoneticPr fontId="68" type="noConversion"/>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1"/>
    <pageSetUpPr fitToPage="1"/>
  </sheetPr>
  <dimension ref="A1:AC155"/>
  <sheetViews>
    <sheetView showGridLines="0" topLeftCell="C163" zoomScale="80" zoomScaleNormal="80" workbookViewId="0">
      <selection activeCell="K2" sqref="K2"/>
    </sheetView>
  </sheetViews>
  <sheetFormatPr baseColWidth="10" defaultColWidth="10.7109375" defaultRowHeight="15"/>
  <cols>
    <col min="1" max="1" width="2.5703125" customWidth="1"/>
    <col min="2" max="2" width="98.42578125" customWidth="1"/>
    <col min="3" max="3" width="23" customWidth="1"/>
    <col min="4" max="4" width="19.140625" customWidth="1"/>
    <col min="5" max="5" width="16.42578125" customWidth="1"/>
    <col min="6" max="6" width="17.42578125" customWidth="1"/>
    <col min="7" max="7" width="16.42578125" customWidth="1"/>
    <col min="8" max="8" width="17.42578125" customWidth="1"/>
    <col min="9" max="9" width="16.42578125" customWidth="1"/>
    <col min="10" max="10" width="16.85546875" customWidth="1"/>
    <col min="11" max="11" width="18.42578125" customWidth="1"/>
    <col min="12" max="12" width="15.42578125" customWidth="1"/>
    <col min="13" max="13" width="20.42578125" customWidth="1"/>
    <col min="14" max="14" width="14.42578125" customWidth="1"/>
    <col min="15" max="15" width="16.140625" customWidth="1"/>
    <col min="16" max="16" width="13.5703125" customWidth="1"/>
    <col min="17" max="17" width="13.42578125" customWidth="1"/>
    <col min="18" max="18" width="11.42578125" customWidth="1"/>
    <col min="19" max="19" width="2.42578125" customWidth="1"/>
    <col min="20" max="20" width="1.140625" customWidth="1"/>
    <col min="21" max="21" width="3.42578125" customWidth="1"/>
    <col min="22" max="22" width="17" customWidth="1"/>
    <col min="23" max="23" width="15" customWidth="1"/>
    <col min="24" max="24" width="11.42578125" customWidth="1"/>
    <col min="25" max="25" width="13.42578125" customWidth="1"/>
    <col min="26" max="26" width="16.85546875" customWidth="1"/>
    <col min="27" max="27" width="11.42578125" customWidth="1"/>
    <col min="28" max="28" width="2" customWidth="1"/>
    <col min="29" max="29" width="3.42578125" customWidth="1"/>
    <col min="30" max="30" width="2.42578125" customWidth="1"/>
    <col min="31" max="31" width="40.5703125" customWidth="1"/>
    <col min="32" max="32" width="15.42578125" customWidth="1"/>
  </cols>
  <sheetData>
    <row r="1" spans="2:13" ht="29.25" customHeight="1"/>
    <row r="2" spans="2:13" ht="15.75" customHeight="1">
      <c r="B2" s="498" t="s">
        <v>42</v>
      </c>
      <c r="C2" s="498"/>
      <c r="D2" s="498"/>
      <c r="E2" s="498"/>
      <c r="F2" s="498"/>
      <c r="G2" s="498"/>
      <c r="H2" s="498"/>
      <c r="I2" s="498"/>
      <c r="J2" s="498"/>
      <c r="K2" s="27"/>
      <c r="L2" s="27"/>
      <c r="M2" s="27"/>
    </row>
    <row r="3" spans="2:13" ht="4.5" customHeight="1"/>
    <row r="4" spans="2:13" ht="14.25" customHeight="1">
      <c r="B4" s="28" t="s">
        <v>43</v>
      </c>
      <c r="C4" s="499" t="s">
        <v>44</v>
      </c>
      <c r="D4" s="499"/>
      <c r="E4" s="500" t="s">
        <v>45</v>
      </c>
      <c r="F4" s="500"/>
      <c r="G4" s="501" t="s">
        <v>363</v>
      </c>
      <c r="H4" s="501"/>
      <c r="I4" s="501"/>
      <c r="J4" s="501"/>
    </row>
    <row r="5" spans="2:13" ht="3" customHeight="1">
      <c r="B5" s="30"/>
      <c r="E5" s="31"/>
      <c r="F5" s="31"/>
    </row>
    <row r="6" spans="2:13">
      <c r="B6" s="28" t="s">
        <v>46</v>
      </c>
      <c r="C6" s="504" t="s">
        <v>47</v>
      </c>
      <c r="D6" s="504"/>
      <c r="E6" s="500" t="s">
        <v>48</v>
      </c>
      <c r="F6" s="500"/>
      <c r="G6" s="29" t="s">
        <v>49</v>
      </c>
      <c r="H6" s="32" t="s">
        <v>50</v>
      </c>
      <c r="I6" s="505">
        <v>4242741</v>
      </c>
      <c r="J6" s="505"/>
    </row>
    <row r="7" spans="2:13" ht="3" customHeight="1">
      <c r="B7" s="30"/>
      <c r="E7" s="31"/>
      <c r="F7" s="31"/>
      <c r="H7" s="30"/>
    </row>
    <row r="8" spans="2:13">
      <c r="B8" s="28" t="s">
        <v>51</v>
      </c>
      <c r="C8" s="504" t="s">
        <v>52</v>
      </c>
      <c r="D8" s="504"/>
      <c r="E8" s="31"/>
      <c r="F8" s="28"/>
      <c r="G8" s="29"/>
      <c r="H8" s="28"/>
      <c r="I8" s="499"/>
      <c r="J8" s="499"/>
    </row>
    <row r="9" spans="2:13" ht="3" customHeight="1">
      <c r="B9" s="31"/>
      <c r="C9" s="33">
        <v>39825</v>
      </c>
      <c r="E9" s="31"/>
      <c r="F9" s="31"/>
    </row>
    <row r="10" spans="2:13">
      <c r="B10" s="28" t="s">
        <v>53</v>
      </c>
      <c r="C10" s="502">
        <v>43466</v>
      </c>
      <c r="D10" s="502"/>
      <c r="E10" s="503" t="s">
        <v>54</v>
      </c>
      <c r="F10" s="503"/>
      <c r="G10" s="499" t="s">
        <v>55</v>
      </c>
      <c r="H10" s="499"/>
      <c r="I10" s="499"/>
      <c r="J10" s="499"/>
    </row>
    <row r="11" spans="2:13" ht="5.25" customHeight="1"/>
    <row r="12" spans="2:13" ht="15" customHeight="1">
      <c r="B12" s="28" t="s">
        <v>56</v>
      </c>
      <c r="C12" s="506" t="s">
        <v>269</v>
      </c>
      <c r="D12" s="506"/>
      <c r="E12" s="507" t="s">
        <v>58</v>
      </c>
      <c r="F12" s="507"/>
      <c r="G12" s="508" t="s">
        <v>362</v>
      </c>
      <c r="H12" s="508"/>
      <c r="I12" s="508"/>
      <c r="J12" s="508"/>
    </row>
    <row r="13" spans="2:13" ht="5.25" customHeight="1"/>
    <row r="14" spans="2:13" ht="15.75" customHeight="1">
      <c r="B14" s="498" t="s">
        <v>59</v>
      </c>
      <c r="C14" s="498"/>
      <c r="D14" s="498"/>
      <c r="E14" s="498"/>
      <c r="F14" s="498"/>
      <c r="G14" s="498"/>
      <c r="H14" s="498"/>
      <c r="I14" s="498"/>
      <c r="J14" s="498"/>
    </row>
    <row r="15" spans="2:13" ht="3" customHeight="1"/>
    <row r="16" spans="2:13">
      <c r="B16" s="28" t="s">
        <v>60</v>
      </c>
      <c r="C16" s="29" t="s">
        <v>61</v>
      </c>
      <c r="D16" s="28" t="s">
        <v>62</v>
      </c>
      <c r="E16" s="34">
        <v>43831</v>
      </c>
      <c r="F16" s="35" t="s">
        <v>63</v>
      </c>
      <c r="G16" s="448">
        <v>44196</v>
      </c>
      <c r="H16" s="510" t="s">
        <v>64</v>
      </c>
      <c r="I16" s="510"/>
      <c r="J16" s="448">
        <v>44302</v>
      </c>
    </row>
    <row r="17" spans="2:29" ht="3" customHeight="1"/>
    <row r="18" spans="2:29">
      <c r="B18" s="511" t="s">
        <v>65</v>
      </c>
      <c r="C18" s="511"/>
      <c r="D18" s="512" t="s">
        <v>66</v>
      </c>
      <c r="E18" s="512"/>
      <c r="F18" s="512"/>
    </row>
    <row r="19" spans="2:29" ht="3" customHeight="1"/>
    <row r="20" spans="2:29" ht="5.25" customHeight="1"/>
    <row r="21" spans="2:29" ht="15.75" customHeight="1">
      <c r="B21" s="498" t="s">
        <v>67</v>
      </c>
      <c r="C21" s="498"/>
      <c r="D21" s="498"/>
      <c r="E21" s="498"/>
      <c r="F21" s="498"/>
      <c r="G21" s="498"/>
      <c r="H21" s="498"/>
      <c r="I21" s="498"/>
      <c r="J21" s="498"/>
    </row>
    <row r="22" spans="2:29">
      <c r="B22" s="36" t="s">
        <v>68</v>
      </c>
    </row>
    <row r="23" spans="2:29" ht="3" customHeight="1"/>
    <row r="24" spans="2:29">
      <c r="B24" s="28" t="s">
        <v>69</v>
      </c>
      <c r="C24" s="37"/>
      <c r="D24" s="500" t="s">
        <v>70</v>
      </c>
      <c r="E24" s="500"/>
      <c r="F24" s="38"/>
      <c r="G24" s="500" t="s">
        <v>71</v>
      </c>
      <c r="H24" s="500"/>
      <c r="I24" s="509"/>
      <c r="J24" s="509"/>
    </row>
    <row r="25" spans="2:29" ht="18.75">
      <c r="B25" s="39" t="s">
        <v>69</v>
      </c>
      <c r="C25" s="40"/>
      <c r="D25" s="40"/>
      <c r="E25" s="40"/>
      <c r="F25" s="40"/>
      <c r="G25" s="40"/>
      <c r="H25" s="41"/>
      <c r="I25" s="41"/>
      <c r="J25" s="41" t="s">
        <v>72</v>
      </c>
      <c r="K25" s="41"/>
      <c r="L25" s="40"/>
      <c r="M25" s="40"/>
      <c r="N25" s="42"/>
      <c r="AC25" s="43"/>
    </row>
    <row r="26" spans="2:29">
      <c r="B26" s="517" t="s">
        <v>73</v>
      </c>
      <c r="C26" s="517"/>
      <c r="D26" s="44" t="s">
        <v>74</v>
      </c>
      <c r="E26" s="45"/>
      <c r="F26" s="45"/>
      <c r="G26" s="45"/>
      <c r="H26" s="45"/>
      <c r="I26" s="45"/>
      <c r="J26" s="46"/>
      <c r="K26" s="45"/>
      <c r="L26" s="45"/>
      <c r="M26" s="45"/>
      <c r="N26" s="47"/>
      <c r="AC26" s="43"/>
    </row>
    <row r="27" spans="2:29" ht="18.75">
      <c r="B27" s="48" t="s">
        <v>75</v>
      </c>
      <c r="C27" s="45"/>
      <c r="D27" s="45"/>
      <c r="E27" s="45"/>
      <c r="F27" s="45"/>
      <c r="G27" s="45"/>
      <c r="H27" s="45"/>
      <c r="I27" s="45"/>
      <c r="J27" s="46"/>
      <c r="K27" s="45"/>
      <c r="L27" s="45"/>
      <c r="M27" s="45"/>
      <c r="N27" s="47"/>
      <c r="AC27" s="43"/>
    </row>
    <row r="29" spans="2:29">
      <c r="B29" s="518" t="s">
        <v>76</v>
      </c>
      <c r="C29" s="518"/>
      <c r="D29" s="518"/>
      <c r="E29" s="518"/>
      <c r="F29" s="518"/>
      <c r="G29" s="518"/>
      <c r="H29" s="518"/>
      <c r="I29" s="518"/>
      <c r="J29" s="518"/>
      <c r="K29" s="518"/>
      <c r="L29" s="518"/>
      <c r="M29" s="518"/>
      <c r="N29" s="518"/>
      <c r="O29" s="49"/>
      <c r="P29" s="50">
        <f>+C33</f>
        <v>1721029</v>
      </c>
      <c r="Q29" s="49"/>
    </row>
    <row r="30" spans="2:29" ht="45" customHeight="1">
      <c r="B30" s="51" t="s">
        <v>77</v>
      </c>
      <c r="C30" s="52" t="s">
        <v>78</v>
      </c>
      <c r="D30" s="52" t="s">
        <v>61</v>
      </c>
      <c r="E30" s="52" t="s">
        <v>79</v>
      </c>
      <c r="F30" s="52" t="s">
        <v>80</v>
      </c>
      <c r="G30" s="52" t="s">
        <v>81</v>
      </c>
      <c r="H30" s="52" t="s">
        <v>82</v>
      </c>
      <c r="I30" s="52" t="s">
        <v>83</v>
      </c>
      <c r="J30" s="52" t="s">
        <v>84</v>
      </c>
      <c r="K30" s="52" t="s">
        <v>85</v>
      </c>
      <c r="L30" s="52" t="s">
        <v>86</v>
      </c>
      <c r="M30" s="52" t="s">
        <v>87</v>
      </c>
      <c r="N30" s="52" t="s">
        <v>88</v>
      </c>
      <c r="O30" s="49"/>
      <c r="P30" s="50">
        <f>+D33</f>
        <v>3110315</v>
      </c>
      <c r="Q30" s="49"/>
    </row>
    <row r="31" spans="2:29" ht="14.25" customHeight="1">
      <c r="B31" s="53" t="str">
        <f>CONCATENATE("Presupuesto (en ",'Introducción de datos'!$D$26,")")</f>
        <v>Presupuesto (en $)</v>
      </c>
      <c r="C31" s="54">
        <v>1721029</v>
      </c>
      <c r="D31" s="54">
        <v>1389286</v>
      </c>
      <c r="E31" s="54">
        <v>0</v>
      </c>
      <c r="F31" s="55"/>
      <c r="G31" s="55"/>
      <c r="H31" s="55"/>
      <c r="I31" s="55"/>
      <c r="J31" s="55"/>
      <c r="K31" s="55"/>
      <c r="L31" s="55"/>
      <c r="M31" s="55"/>
      <c r="N31" s="55"/>
      <c r="O31" s="49"/>
      <c r="P31" s="50">
        <f>+E33</f>
        <v>0</v>
      </c>
      <c r="Q31" s="49"/>
    </row>
    <row r="32" spans="2:29" ht="14.25" customHeight="1">
      <c r="B32" s="56" t="str">
        <f>CONCATENATE("Desembolsos por el Fondo Mundial (en ",$D$26,")")</f>
        <v>Desembolsos por el Fondo Mundial (en $)</v>
      </c>
      <c r="C32" s="54">
        <v>1721029</v>
      </c>
      <c r="D32" s="54">
        <v>1389286</v>
      </c>
      <c r="E32" s="54">
        <v>0</v>
      </c>
      <c r="F32" s="57"/>
      <c r="G32" s="57"/>
      <c r="H32" s="57"/>
      <c r="I32" s="55"/>
      <c r="J32" s="55"/>
      <c r="K32" s="55"/>
      <c r="L32" s="55"/>
      <c r="M32" s="55"/>
      <c r="N32" s="55"/>
      <c r="O32" s="49"/>
      <c r="P32" s="50">
        <f>+F33</f>
        <v>0</v>
      </c>
      <c r="Q32" s="49"/>
    </row>
    <row r="33" spans="2:17" ht="14.25" customHeight="1" thickBot="1">
      <c r="B33" s="58" t="s">
        <v>89</v>
      </c>
      <c r="C33" s="89">
        <f>+C31</f>
        <v>1721029</v>
      </c>
      <c r="D33" s="54">
        <f>+C33+D31</f>
        <v>3110315</v>
      </c>
      <c r="E33" s="54"/>
      <c r="F33" s="59"/>
      <c r="G33" s="59"/>
      <c r="H33" s="59"/>
      <c r="I33" s="59"/>
      <c r="J33" s="60"/>
      <c r="K33" s="59"/>
      <c r="L33" s="59"/>
      <c r="M33" s="59"/>
      <c r="N33" s="59"/>
      <c r="O33" s="49"/>
      <c r="P33" s="50">
        <f>+G33</f>
        <v>0</v>
      </c>
      <c r="Q33" s="49"/>
    </row>
    <row r="34" spans="2:17" ht="15" customHeight="1" thickBot="1">
      <c r="B34" s="61" t="s">
        <v>90</v>
      </c>
      <c r="C34" s="89">
        <f>+C32</f>
        <v>1721029</v>
      </c>
      <c r="D34" s="54">
        <f>+C34+D32</f>
        <v>3110315</v>
      </c>
      <c r="E34" s="54">
        <v>0</v>
      </c>
      <c r="F34" s="62"/>
      <c r="G34" s="62"/>
      <c r="H34" s="62"/>
      <c r="I34" s="62"/>
      <c r="J34" s="62"/>
      <c r="K34" s="62"/>
      <c r="L34" s="62"/>
      <c r="M34" s="62"/>
      <c r="N34" s="62"/>
      <c r="O34" s="49"/>
      <c r="P34" s="50">
        <f>+H33</f>
        <v>0</v>
      </c>
      <c r="Q34" s="49"/>
    </row>
    <row r="35" spans="2:17">
      <c r="C35" s="63">
        <f t="shared" ref="C35:N35" si="0">+IF(AND(C30=$C$16,C33&lt;&gt;0),C34/C33,0)</f>
        <v>0</v>
      </c>
      <c r="D35" s="63">
        <f t="shared" si="0"/>
        <v>1</v>
      </c>
      <c r="E35" s="63">
        <f t="shared" si="0"/>
        <v>0</v>
      </c>
      <c r="F35" s="63">
        <f t="shared" si="0"/>
        <v>0</v>
      </c>
      <c r="G35" s="63">
        <f t="shared" si="0"/>
        <v>0</v>
      </c>
      <c r="H35" s="63">
        <f t="shared" si="0"/>
        <v>0</v>
      </c>
      <c r="I35" s="63">
        <f t="shared" si="0"/>
        <v>0</v>
      </c>
      <c r="J35" s="63">
        <f t="shared" si="0"/>
        <v>0</v>
      </c>
      <c r="K35" s="63">
        <f t="shared" si="0"/>
        <v>0</v>
      </c>
      <c r="L35" s="63">
        <f t="shared" si="0"/>
        <v>0</v>
      </c>
      <c r="M35" s="63">
        <f t="shared" si="0"/>
        <v>0</v>
      </c>
      <c r="N35" s="63">
        <f t="shared" si="0"/>
        <v>0</v>
      </c>
      <c r="O35" s="49"/>
      <c r="P35" s="50">
        <f>+I33</f>
        <v>0</v>
      </c>
      <c r="Q35" s="49"/>
    </row>
    <row r="36" spans="2:17" ht="18.75">
      <c r="B36" s="48" t="s">
        <v>91</v>
      </c>
      <c r="E36" s="64"/>
      <c r="G36" s="65"/>
      <c r="N36" s="66"/>
    </row>
    <row r="37" spans="2:17" ht="15.75" thickBot="1">
      <c r="N37" s="67"/>
    </row>
    <row r="38" spans="2:17" ht="30" customHeight="1">
      <c r="B38" s="68" t="s">
        <v>92</v>
      </c>
      <c r="C38" s="69" t="str">
        <f>CONCATENATE("Presupuesto acumulado (en ",'Introducción de datos'!$D$26,")")</f>
        <v>Presupuesto acumulado (en $)</v>
      </c>
      <c r="D38" s="70" t="str">
        <f>CONCATENATE("Gastos acumulados (en ",'Introducción de datos'!$D$26,")")</f>
        <v>Gastos acumulados (en $)</v>
      </c>
      <c r="E38" s="71"/>
      <c r="F38" s="424"/>
      <c r="H38" s="75">
        <f>485302.48+439071.02</f>
        <v>924373.5</v>
      </c>
      <c r="I38" s="75">
        <f>378673.2+611563.07</f>
        <v>990236.27</v>
      </c>
      <c r="J38" s="73"/>
      <c r="K38" s="73"/>
    </row>
    <row r="39" spans="2:17" ht="14.25" customHeight="1">
      <c r="B39" s="74" t="s">
        <v>93</v>
      </c>
      <c r="C39" s="75">
        <f>485302.48+439071.02+63705-36188.95+208763.05-15000</f>
        <v>1145652.6000000001</v>
      </c>
      <c r="D39" s="75">
        <f>378673.2+611563.07</f>
        <v>990236.27</v>
      </c>
      <c r="E39" s="76"/>
      <c r="F39" s="77"/>
      <c r="G39" s="78"/>
      <c r="H39" s="75">
        <f>136604+145984</f>
        <v>282588</v>
      </c>
      <c r="I39" s="75">
        <f>113510.06+90070.72</f>
        <v>203580.78</v>
      </c>
      <c r="J39" s="7"/>
      <c r="K39" s="7"/>
    </row>
    <row r="40" spans="2:17" ht="14.25" customHeight="1">
      <c r="B40" s="74" t="s">
        <v>94</v>
      </c>
      <c r="C40" s="75">
        <f>136604+145984-14932.9-36805.5</f>
        <v>230849.59999999998</v>
      </c>
      <c r="D40" s="75">
        <f>113510.06+90070.72</f>
        <v>203580.78</v>
      </c>
      <c r="F40" s="77"/>
      <c r="G40" s="78"/>
      <c r="H40" s="75">
        <f>13500+162500</f>
        <v>176000</v>
      </c>
      <c r="I40" s="75">
        <f>7650+140530</f>
        <v>148180</v>
      </c>
      <c r="K40" s="7"/>
    </row>
    <row r="41" spans="2:17">
      <c r="B41" s="79" t="s">
        <v>95</v>
      </c>
      <c r="C41" s="75">
        <f>13500+162500+17500-5000</f>
        <v>188500</v>
      </c>
      <c r="D41" s="75">
        <f>7650+140530</f>
        <v>148180</v>
      </c>
      <c r="F41" s="80"/>
      <c r="H41" s="75">
        <v>38186.120000000003</v>
      </c>
      <c r="I41" s="75">
        <v>32546</v>
      </c>
      <c r="J41" s="452"/>
      <c r="K41" s="453"/>
      <c r="L41" s="452"/>
    </row>
    <row r="42" spans="2:17" ht="15" customHeight="1">
      <c r="B42" s="74" t="s">
        <v>96</v>
      </c>
      <c r="C42" s="75">
        <v>38186.120000000003</v>
      </c>
      <c r="D42" s="75">
        <v>32546</v>
      </c>
      <c r="F42" s="81"/>
      <c r="H42" s="75">
        <f>36480+46480</f>
        <v>82960</v>
      </c>
      <c r="I42" s="75">
        <f>29827.98+5548.46</f>
        <v>35376.44</v>
      </c>
      <c r="J42" s="454"/>
      <c r="K42" s="454"/>
      <c r="L42" s="455"/>
    </row>
    <row r="43" spans="2:17">
      <c r="B43" s="74" t="s">
        <v>97</v>
      </c>
      <c r="C43" s="75">
        <f>36480+46480+5260-2799.33</f>
        <v>85420.67</v>
      </c>
      <c r="D43" s="75">
        <f>29827.98+5548.46</f>
        <v>35376.44</v>
      </c>
      <c r="F43" s="80"/>
      <c r="H43" s="75">
        <f>553061.62+251561.62</f>
        <v>804623.24</v>
      </c>
      <c r="I43" s="82">
        <f>260030.17+337044.25</f>
        <v>597074.42000000004</v>
      </c>
      <c r="J43" s="452"/>
      <c r="K43" s="456"/>
      <c r="L43" s="457"/>
    </row>
    <row r="44" spans="2:17">
      <c r="B44" s="74" t="s">
        <v>98</v>
      </c>
      <c r="C44" s="75">
        <f>553061.62+251561.62+99145.8-141711.01-69813.55</f>
        <v>692244.47999999998</v>
      </c>
      <c r="D44" s="82">
        <f>260030.17+337044.25</f>
        <v>597074.42000000004</v>
      </c>
      <c r="F44" s="83"/>
      <c r="H44" s="75">
        <f>10000+25000</f>
        <v>35000</v>
      </c>
      <c r="I44" s="82">
        <v>15111.5</v>
      </c>
      <c r="J44" s="452"/>
      <c r="K44" s="456"/>
      <c r="L44" s="457"/>
    </row>
    <row r="45" spans="2:17">
      <c r="B45" s="84" t="s">
        <v>99</v>
      </c>
      <c r="C45" s="75">
        <f>10000+25000</f>
        <v>35000</v>
      </c>
      <c r="D45" s="82">
        <v>15111.5</v>
      </c>
      <c r="F45" s="80"/>
      <c r="H45" s="75">
        <f>285122.98+159062.1</f>
        <v>444185.07999999996</v>
      </c>
      <c r="I45" s="82">
        <f>153033.48+55525.57</f>
        <v>208559.05000000002</v>
      </c>
      <c r="J45" s="452"/>
      <c r="K45" s="452"/>
      <c r="L45" s="452"/>
    </row>
    <row r="46" spans="2:17">
      <c r="B46" s="84" t="s">
        <v>100</v>
      </c>
      <c r="C46" s="75">
        <f>285122.98+159062.1-87144</f>
        <v>357041.07999999996</v>
      </c>
      <c r="D46" s="82">
        <f>153033.48+55525.57</f>
        <v>208559.05000000002</v>
      </c>
      <c r="F46" s="80"/>
      <c r="H46" s="75">
        <f>162771.78+159626.93</f>
        <v>322398.70999999996</v>
      </c>
      <c r="I46" s="82">
        <f>100456.47+232703.23</f>
        <v>333159.7</v>
      </c>
    </row>
    <row r="47" spans="2:17">
      <c r="B47" s="84" t="s">
        <v>101</v>
      </c>
      <c r="C47" s="75">
        <f>162771.78+159626.93+53673.39-38652</f>
        <v>337420.1</v>
      </c>
      <c r="D47" s="82">
        <f>100456.47+232703.23</f>
        <v>333159.7</v>
      </c>
      <c r="F47" s="451"/>
      <c r="H47" s="86">
        <v>0</v>
      </c>
      <c r="I47" s="87">
        <v>0</v>
      </c>
    </row>
    <row r="48" spans="2:17" ht="15.75" thickBot="1">
      <c r="B48" s="85"/>
      <c r="C48" s="86">
        <v>0</v>
      </c>
      <c r="D48" s="87">
        <v>0</v>
      </c>
      <c r="H48" s="89">
        <f>SUM(H38:H47)</f>
        <v>3110314.6500000004</v>
      </c>
      <c r="I48" s="89">
        <f>SUM(I38:I47)</f>
        <v>2563824.16</v>
      </c>
    </row>
    <row r="49" spans="2:17" ht="15.75" thickBot="1">
      <c r="B49" s="88" t="s">
        <v>102</v>
      </c>
      <c r="C49" s="89">
        <f>SUM(C39:C48)</f>
        <v>3110314.6500000004</v>
      </c>
      <c r="D49" s="89">
        <f>SUM(D39:D48)</f>
        <v>2563824.16</v>
      </c>
      <c r="E49" s="90"/>
      <c r="F49" s="519" t="str">
        <f ca="1">+IF((ROUND(C49,0)=ROUND(OFFSET(B33,0,RIGHT('Introducción de datos'!$C$16,LEN('Introducción de datos'!$C$16)-1),1,1),0)),"OK: Datos corresponden","Atención: Datos no corresponden")</f>
        <v>OK: Datos corresponden</v>
      </c>
      <c r="G49" s="519"/>
      <c r="H49" s="519"/>
      <c r="I49" s="519"/>
      <c r="J49" s="91"/>
      <c r="K49" s="91"/>
      <c r="L49" s="91"/>
      <c r="M49" s="92"/>
      <c r="N49" s="49"/>
    </row>
    <row r="50" spans="2:17">
      <c r="B50" s="93" t="s">
        <v>103</v>
      </c>
      <c r="C50" s="91"/>
      <c r="D50" s="91"/>
      <c r="E50" s="94"/>
      <c r="F50" s="91"/>
      <c r="G50" s="91"/>
      <c r="H50" s="91"/>
      <c r="I50" s="91"/>
      <c r="J50" s="91"/>
      <c r="K50" s="91"/>
      <c r="L50" s="91"/>
      <c r="M50" s="91"/>
      <c r="N50" s="91"/>
      <c r="O50" s="49"/>
      <c r="P50" s="50"/>
      <c r="Q50" s="49"/>
    </row>
    <row r="51" spans="2:17" ht="18.75">
      <c r="B51" s="48" t="s">
        <v>104</v>
      </c>
      <c r="C51" s="115"/>
      <c r="O51" s="49"/>
      <c r="P51" s="50">
        <f>+J33</f>
        <v>0</v>
      </c>
      <c r="Q51" s="49"/>
    </row>
    <row r="52" spans="2:17" ht="15.75" thickBot="1">
      <c r="O52" s="49"/>
      <c r="P52" s="50">
        <f>+K33</f>
        <v>0</v>
      </c>
      <c r="Q52" s="49"/>
    </row>
    <row r="53" spans="2:17" ht="35.25" customHeight="1">
      <c r="B53" s="432"/>
      <c r="C53" s="433" t="s">
        <v>105</v>
      </c>
      <c r="D53" s="433" t="s">
        <v>106</v>
      </c>
      <c r="E53" s="434" t="str">
        <f>CONCATENATE("Total gastado y desembolso (en ",D26,")")</f>
        <v>Total gastado y desembolso (en $)</v>
      </c>
      <c r="G53" s="96"/>
      <c r="H53" s="72"/>
      <c r="I53" s="97"/>
      <c r="J53" s="97"/>
      <c r="K53" s="97"/>
      <c r="L53" s="97"/>
      <c r="M53" s="98"/>
      <c r="N53" s="98"/>
      <c r="O53" s="50">
        <f>+M33</f>
        <v>0</v>
      </c>
      <c r="P53" s="49"/>
    </row>
    <row r="54" spans="2:17" ht="35.25" customHeight="1">
      <c r="B54" s="446" t="s">
        <v>350</v>
      </c>
      <c r="C54" s="108"/>
      <c r="D54" s="108">
        <v>366580.92</v>
      </c>
      <c r="E54" s="447"/>
      <c r="G54" s="96"/>
      <c r="H54" s="72"/>
      <c r="I54" s="97"/>
      <c r="J54" s="97"/>
      <c r="K54" s="97"/>
      <c r="L54" s="97"/>
      <c r="M54" s="98"/>
      <c r="N54" s="98"/>
      <c r="O54" s="50"/>
      <c r="P54" s="49"/>
    </row>
    <row r="55" spans="2:17">
      <c r="B55" s="435" t="s">
        <v>351</v>
      </c>
      <c r="C55" s="100">
        <f>1721028.96-366580.92</f>
        <v>1354448.04</v>
      </c>
      <c r="D55" s="100">
        <f>1389286+366580.92</f>
        <v>1755866.92</v>
      </c>
      <c r="E55" s="436">
        <f>+D55+C55</f>
        <v>3110314.96</v>
      </c>
      <c r="G55" s="101"/>
      <c r="H55" s="102"/>
      <c r="I55" s="103"/>
      <c r="J55" s="104"/>
      <c r="K55" s="104"/>
      <c r="L55" s="105"/>
      <c r="M55" s="105"/>
      <c r="N55" s="105"/>
      <c r="O55" s="49"/>
      <c r="P55" s="49"/>
    </row>
    <row r="56" spans="2:17">
      <c r="B56" s="437" t="s">
        <v>107</v>
      </c>
      <c r="C56" s="100">
        <v>1354448.04</v>
      </c>
      <c r="D56" s="100">
        <f>680619.62+801832.21</f>
        <v>1482451.83</v>
      </c>
      <c r="E56" s="436">
        <f>+D56+C56</f>
        <v>2836899.87</v>
      </c>
      <c r="G56" s="101"/>
      <c r="H56" s="102"/>
      <c r="I56" s="103"/>
      <c r="J56" s="104"/>
      <c r="K56" s="104"/>
      <c r="L56" s="105"/>
      <c r="M56" s="107"/>
      <c r="N56" s="107"/>
      <c r="O56" s="49"/>
      <c r="P56" s="49"/>
    </row>
    <row r="57" spans="2:17">
      <c r="B57" s="438" t="s">
        <v>348</v>
      </c>
      <c r="C57" s="99">
        <v>0</v>
      </c>
      <c r="D57" s="99">
        <v>114060.7</v>
      </c>
      <c r="E57" s="439">
        <f>+D57+C57</f>
        <v>114060.7</v>
      </c>
      <c r="G57" s="425"/>
      <c r="H57" s="102"/>
      <c r="I57" s="103"/>
      <c r="J57" s="104"/>
      <c r="K57" s="104"/>
      <c r="L57" s="105"/>
      <c r="M57" s="107"/>
      <c r="N57" s="107"/>
      <c r="O57" s="49"/>
      <c r="P57" s="49"/>
    </row>
    <row r="58" spans="2:17" ht="15.75" thickBot="1">
      <c r="B58" s="437" t="s">
        <v>108</v>
      </c>
      <c r="C58" s="108">
        <f>+C55-C56-C57</f>
        <v>0</v>
      </c>
      <c r="D58" s="108">
        <f>+D55-D56-D57</f>
        <v>159354.38999999984</v>
      </c>
      <c r="E58" s="439">
        <f>+E55-E56-E57</f>
        <v>159354.38999999984</v>
      </c>
      <c r="G58" s="449"/>
      <c r="H58" s="102"/>
      <c r="I58" s="103"/>
      <c r="J58" s="104"/>
      <c r="K58" s="104"/>
      <c r="L58" s="105"/>
      <c r="M58" s="107"/>
      <c r="N58" s="107"/>
      <c r="O58" s="49"/>
      <c r="P58" s="49"/>
    </row>
    <row r="59" spans="2:17" ht="19.5" thickBot="1">
      <c r="B59" s="440" t="s">
        <v>109</v>
      </c>
      <c r="C59" s="95"/>
      <c r="D59" s="95"/>
      <c r="E59" s="441"/>
      <c r="F59" s="115"/>
      <c r="G59" s="450"/>
      <c r="O59" s="49"/>
      <c r="P59" s="50">
        <f>+J40</f>
        <v>0</v>
      </c>
      <c r="Q59" s="49"/>
    </row>
    <row r="60" spans="2:17" ht="15.75" thickBot="1">
      <c r="B60" s="442" t="s">
        <v>347</v>
      </c>
      <c r="C60" s="100">
        <v>1049406.92</v>
      </c>
      <c r="D60" s="100">
        <f>680619.62</f>
        <v>680619.62</v>
      </c>
      <c r="E60" s="436">
        <f t="shared" ref="E60:E65" si="1">+D60+C60</f>
        <v>1730026.54</v>
      </c>
      <c r="F60" s="429"/>
      <c r="G60" s="430"/>
      <c r="H60" s="102"/>
      <c r="I60" s="103"/>
      <c r="J60" s="104"/>
      <c r="K60" s="104"/>
      <c r="L60" s="105"/>
      <c r="M60" s="105"/>
      <c r="N60" s="105"/>
    </row>
    <row r="61" spans="2:17" ht="15.75" thickBot="1">
      <c r="B61" s="442" t="s">
        <v>111</v>
      </c>
      <c r="C61" s="100">
        <v>738140.24</v>
      </c>
      <c r="D61" s="100">
        <v>718810.59</v>
      </c>
      <c r="E61" s="436">
        <f>+D61+C61</f>
        <v>1456950.83</v>
      </c>
      <c r="F61" s="429"/>
      <c r="G61" s="430"/>
      <c r="H61" s="102"/>
      <c r="I61" s="103"/>
      <c r="J61" s="104"/>
      <c r="K61" s="104"/>
      <c r="L61" s="105"/>
      <c r="M61" s="105"/>
      <c r="N61" s="105"/>
    </row>
    <row r="62" spans="2:17" ht="15.75" thickBot="1">
      <c r="B62" s="442" t="s">
        <v>349</v>
      </c>
      <c r="C62" s="100">
        <v>435906.56</v>
      </c>
      <c r="D62" s="100">
        <v>161787.4</v>
      </c>
      <c r="E62" s="439">
        <f t="shared" si="1"/>
        <v>597693.96</v>
      </c>
      <c r="F62" s="429"/>
      <c r="G62" s="430"/>
      <c r="H62" s="102"/>
      <c r="I62" s="103"/>
      <c r="J62" s="104"/>
      <c r="K62" s="104"/>
      <c r="L62" s="105"/>
      <c r="M62" s="105"/>
      <c r="N62" s="105"/>
    </row>
    <row r="63" spans="2:17" ht="15.75" thickBot="1">
      <c r="B63" s="442" t="s">
        <v>110</v>
      </c>
      <c r="C63" s="100">
        <v>74983</v>
      </c>
      <c r="D63" s="100">
        <v>319125.94</v>
      </c>
      <c r="E63" s="439">
        <f t="shared" si="1"/>
        <v>394108.94</v>
      </c>
      <c r="F63" s="429"/>
      <c r="G63" s="430"/>
      <c r="H63" s="102"/>
      <c r="I63" s="103"/>
      <c r="J63" s="104"/>
      <c r="K63" s="104"/>
      <c r="L63" s="105"/>
      <c r="M63" s="105"/>
      <c r="N63" s="105"/>
      <c r="O63" s="49"/>
      <c r="P63" s="49"/>
    </row>
    <row r="64" spans="2:17" ht="15.75" thickBot="1">
      <c r="B64" s="442" t="s">
        <v>346</v>
      </c>
      <c r="C64" s="444">
        <v>235715.52</v>
      </c>
      <c r="D64" s="444">
        <v>531909.99</v>
      </c>
      <c r="E64" s="445">
        <f t="shared" ref="E64" si="2">+D64+C64</f>
        <v>767625.51</v>
      </c>
      <c r="F64" s="90"/>
      <c r="G64" s="106"/>
      <c r="H64" s="109"/>
      <c r="I64" s="110"/>
      <c r="J64" s="110"/>
      <c r="K64" s="110"/>
      <c r="L64" s="105"/>
      <c r="M64" s="107"/>
      <c r="N64" s="107"/>
    </row>
    <row r="65" spans="2:17" ht="15.75" thickBot="1">
      <c r="B65" s="443" t="s">
        <v>112</v>
      </c>
      <c r="C65" s="444">
        <v>230058.18</v>
      </c>
      <c r="D65" s="444">
        <v>482306.27</v>
      </c>
      <c r="E65" s="445">
        <f t="shared" si="1"/>
        <v>712364.45</v>
      </c>
      <c r="F65" s="90"/>
      <c r="G65" s="106"/>
      <c r="H65" s="109"/>
      <c r="I65" s="110"/>
      <c r="J65" s="110"/>
      <c r="K65" s="110"/>
      <c r="L65" s="105"/>
      <c r="M65" s="107"/>
      <c r="N65" s="107"/>
    </row>
    <row r="66" spans="2:17" ht="15.75" customHeight="1">
      <c r="B66" s="431"/>
      <c r="C66" s="111"/>
      <c r="D66" s="111"/>
      <c r="E66" s="112"/>
    </row>
    <row r="67" spans="2:17" ht="15.75" customHeight="1">
      <c r="B67" s="113"/>
      <c r="C67" s="425"/>
      <c r="D67" s="426"/>
      <c r="E67" s="426"/>
      <c r="F67" s="427"/>
      <c r="G67" s="428"/>
    </row>
    <row r="68" spans="2:17">
      <c r="C68" s="421"/>
      <c r="D68" s="422"/>
      <c r="E68" s="423"/>
    </row>
    <row r="69" spans="2:17" ht="18.75">
      <c r="B69" s="48" t="s">
        <v>113</v>
      </c>
      <c r="D69" s="115"/>
    </row>
    <row r="71" spans="2:17" ht="14.25" customHeight="1">
      <c r="B71" s="520" t="s">
        <v>114</v>
      </c>
      <c r="C71" s="520"/>
      <c r="D71" s="520"/>
    </row>
    <row r="72" spans="2:17">
      <c r="B72" s="116"/>
      <c r="C72" s="117" t="s">
        <v>115</v>
      </c>
      <c r="D72" s="118" t="s">
        <v>116</v>
      </c>
    </row>
    <row r="73" spans="2:17">
      <c r="B73" s="119" t="s">
        <v>117</v>
      </c>
      <c r="C73" s="120">
        <v>45</v>
      </c>
      <c r="D73" s="121">
        <v>45</v>
      </c>
    </row>
    <row r="74" spans="2:17">
      <c r="B74" s="122" t="s">
        <v>118</v>
      </c>
      <c r="C74" s="120">
        <v>45</v>
      </c>
      <c r="D74" s="121">
        <v>27</v>
      </c>
      <c r="H74" s="102"/>
      <c r="I74" s="102"/>
    </row>
    <row r="75" spans="2:17">
      <c r="B75" s="123" t="s">
        <v>119</v>
      </c>
      <c r="C75" s="124"/>
      <c r="D75" s="125"/>
      <c r="H75" s="102"/>
      <c r="I75" s="102"/>
    </row>
    <row r="76" spans="2:17">
      <c r="B76" s="126"/>
    </row>
    <row r="77" spans="2:17">
      <c r="L77" s="127"/>
    </row>
    <row r="78" spans="2:17" ht="18.75">
      <c r="B78" s="128" t="s">
        <v>120</v>
      </c>
      <c r="C78" s="129"/>
      <c r="D78" s="129"/>
      <c r="E78" s="129"/>
      <c r="F78" s="129"/>
      <c r="G78" s="129"/>
      <c r="H78" s="130" t="s">
        <v>121</v>
      </c>
      <c r="I78" s="129"/>
      <c r="J78" s="131"/>
      <c r="K78" s="131"/>
      <c r="L78" s="132"/>
      <c r="M78" s="133"/>
      <c r="N78" s="134"/>
      <c r="Q78" s="43"/>
    </row>
    <row r="79" spans="2:17" ht="18.75">
      <c r="B79" s="135"/>
      <c r="C79" s="136"/>
      <c r="D79" s="136"/>
      <c r="E79" s="136"/>
      <c r="F79" s="136"/>
      <c r="G79" s="136"/>
      <c r="H79" s="136"/>
      <c r="I79" s="136"/>
      <c r="J79" s="136"/>
      <c r="K79" s="137"/>
      <c r="L79" s="137"/>
      <c r="M79" s="136"/>
      <c r="N79" s="134"/>
      <c r="Q79" s="43"/>
    </row>
    <row r="80" spans="2:17" ht="18.75">
      <c r="B80" s="135" t="s">
        <v>122</v>
      </c>
      <c r="C80" s="136"/>
      <c r="D80" s="136"/>
      <c r="E80" s="136"/>
      <c r="F80" s="136"/>
      <c r="G80" s="136"/>
      <c r="H80" s="136"/>
      <c r="I80" s="136"/>
      <c r="J80" s="136"/>
      <c r="K80" s="137"/>
      <c r="L80" s="137"/>
      <c r="M80" s="136"/>
      <c r="N80" s="134"/>
      <c r="Q80" s="43"/>
    </row>
    <row r="81" spans="2:10">
      <c r="C81" s="138"/>
      <c r="D81" s="138"/>
      <c r="E81" s="138"/>
      <c r="F81" s="138"/>
      <c r="G81" s="138"/>
      <c r="I81" s="138"/>
    </row>
    <row r="82" spans="2:10" ht="45">
      <c r="B82" s="513"/>
      <c r="C82" s="513"/>
      <c r="D82" s="139" t="s">
        <v>123</v>
      </c>
      <c r="E82" s="140" t="s">
        <v>124</v>
      </c>
      <c r="F82" s="140" t="s">
        <v>125</v>
      </c>
      <c r="G82" s="140" t="s">
        <v>126</v>
      </c>
      <c r="H82" s="141" t="s">
        <v>102</v>
      </c>
      <c r="I82" s="142"/>
    </row>
    <row r="83" spans="2:10">
      <c r="B83" s="514" t="s">
        <v>127</v>
      </c>
      <c r="C83" s="514"/>
      <c r="D83" s="144">
        <v>0</v>
      </c>
      <c r="E83" s="145">
        <v>0</v>
      </c>
      <c r="F83" s="145">
        <v>0</v>
      </c>
      <c r="G83" s="145">
        <v>0</v>
      </c>
      <c r="H83" s="146">
        <f>SUM(E83:G83)</f>
        <v>0</v>
      </c>
      <c r="I83" s="147"/>
      <c r="J83" s="147"/>
    </row>
    <row r="84" spans="2:10">
      <c r="B84" s="515" t="s">
        <v>128</v>
      </c>
      <c r="C84" s="515"/>
      <c r="D84" s="149">
        <v>3</v>
      </c>
      <c r="E84" s="150">
        <v>3</v>
      </c>
      <c r="F84" s="150">
        <v>0</v>
      </c>
      <c r="G84" s="150">
        <v>0</v>
      </c>
      <c r="H84" s="151">
        <f>SUM(E84:G84)</f>
        <v>3</v>
      </c>
    </row>
    <row r="85" spans="2:10" ht="15.75">
      <c r="B85" s="152" t="s">
        <v>129</v>
      </c>
    </row>
    <row r="87" spans="2:10" ht="18.75">
      <c r="B87" s="135" t="s">
        <v>130</v>
      </c>
    </row>
    <row r="89" spans="2:10">
      <c r="B89" s="153"/>
      <c r="C89" s="154" t="s">
        <v>131</v>
      </c>
      <c r="D89" s="154" t="s">
        <v>132</v>
      </c>
      <c r="E89" s="155" t="s">
        <v>133</v>
      </c>
      <c r="I89" s="142"/>
    </row>
    <row r="90" spans="2:10">
      <c r="B90" s="148" t="s">
        <v>134</v>
      </c>
      <c r="C90" s="156">
        <v>3</v>
      </c>
      <c r="D90" s="156">
        <v>3</v>
      </c>
      <c r="E90" s="157">
        <f>+C90-D90</f>
        <v>0</v>
      </c>
      <c r="F90" s="30"/>
      <c r="G90" s="158"/>
      <c r="I90" s="147"/>
    </row>
    <row r="91" spans="2:10">
      <c r="B91" s="159"/>
    </row>
    <row r="92" spans="2:10" ht="18.75">
      <c r="B92" s="135" t="s">
        <v>135</v>
      </c>
    </row>
    <row r="94" spans="2:10" ht="30">
      <c r="B94" s="153"/>
      <c r="C94" s="154" t="s">
        <v>136</v>
      </c>
      <c r="D94" s="154" t="s">
        <v>137</v>
      </c>
      <c r="E94" s="154" t="s">
        <v>138</v>
      </c>
      <c r="F94" s="154" t="s">
        <v>139</v>
      </c>
      <c r="G94" s="160" t="s">
        <v>140</v>
      </c>
      <c r="H94" s="161"/>
      <c r="I94" s="142"/>
    </row>
    <row r="95" spans="2:10">
      <c r="B95" s="148" t="s">
        <v>141</v>
      </c>
      <c r="C95" s="156" t="s">
        <v>142</v>
      </c>
      <c r="D95" s="156" t="s">
        <v>142</v>
      </c>
      <c r="E95" s="156" t="s">
        <v>142</v>
      </c>
      <c r="F95" s="156" t="s">
        <v>142</v>
      </c>
      <c r="G95" s="162">
        <v>0</v>
      </c>
      <c r="H95" s="163"/>
      <c r="I95" s="80"/>
    </row>
    <row r="96" spans="2:10">
      <c r="B96" s="159"/>
    </row>
    <row r="97" spans="2:14" ht="18.75">
      <c r="B97" s="135" t="s">
        <v>143</v>
      </c>
    </row>
    <row r="99" spans="2:14">
      <c r="B99" s="153"/>
      <c r="C99" s="164" t="s">
        <v>144</v>
      </c>
      <c r="D99" s="164" t="s">
        <v>145</v>
      </c>
      <c r="E99" s="165" t="s">
        <v>146</v>
      </c>
    </row>
    <row r="100" spans="2:14">
      <c r="B100" s="143" t="s">
        <v>147</v>
      </c>
      <c r="C100" s="144">
        <v>0</v>
      </c>
      <c r="D100" s="166"/>
      <c r="E100" s="167">
        <f>C100-D100</f>
        <v>0</v>
      </c>
    </row>
    <row r="101" spans="2:14">
      <c r="B101" s="148" t="s">
        <v>148</v>
      </c>
      <c r="C101" s="168">
        <v>0</v>
      </c>
      <c r="D101" s="169"/>
      <c r="E101" s="167">
        <f>C101-D101</f>
        <v>0</v>
      </c>
    </row>
    <row r="102" spans="2:14">
      <c r="B102" s="170"/>
    </row>
    <row r="103" spans="2:14" ht="18.75">
      <c r="B103" s="135" t="s">
        <v>149</v>
      </c>
    </row>
    <row r="105" spans="2:14">
      <c r="B105" s="171"/>
      <c r="C105" s="172" t="s">
        <v>78</v>
      </c>
      <c r="D105" s="172" t="s">
        <v>61</v>
      </c>
      <c r="E105" s="172" t="s">
        <v>79</v>
      </c>
      <c r="F105" s="172" t="s">
        <v>80</v>
      </c>
      <c r="G105" s="172" t="s">
        <v>81</v>
      </c>
      <c r="H105" s="172" t="s">
        <v>82</v>
      </c>
      <c r="I105" s="172" t="s">
        <v>83</v>
      </c>
      <c r="J105" s="172" t="s">
        <v>84</v>
      </c>
      <c r="K105" s="172" t="s">
        <v>85</v>
      </c>
      <c r="L105" s="172" t="s">
        <v>86</v>
      </c>
      <c r="M105" s="172" t="s">
        <v>87</v>
      </c>
      <c r="N105" s="173" t="s">
        <v>88</v>
      </c>
    </row>
    <row r="106" spans="2:14" ht="15" customHeight="1">
      <c r="B106" s="174" t="s">
        <v>150</v>
      </c>
      <c r="C106" s="175">
        <v>0</v>
      </c>
      <c r="D106" s="175">
        <v>0</v>
      </c>
      <c r="E106" s="176">
        <v>0</v>
      </c>
      <c r="F106" s="176"/>
      <c r="G106" s="176"/>
      <c r="H106" s="176"/>
      <c r="I106" s="176"/>
      <c r="J106" s="176"/>
      <c r="K106" s="177"/>
      <c r="L106" s="177"/>
      <c r="M106" s="177"/>
      <c r="N106" s="177"/>
    </row>
    <row r="107" spans="2:14" ht="15" customHeight="1">
      <c r="B107" s="174" t="s">
        <v>151</v>
      </c>
      <c r="C107" s="175">
        <v>0</v>
      </c>
      <c r="D107" s="175">
        <v>0</v>
      </c>
      <c r="E107" s="176">
        <v>0</v>
      </c>
      <c r="F107" s="176"/>
      <c r="G107" s="176"/>
      <c r="H107" s="176"/>
      <c r="I107" s="176"/>
      <c r="J107" s="176"/>
      <c r="K107" s="177"/>
      <c r="L107" s="177"/>
      <c r="M107" s="177"/>
      <c r="N107" s="177"/>
    </row>
    <row r="108" spans="2:14" ht="15" customHeight="1">
      <c r="B108" s="174" t="s">
        <v>152</v>
      </c>
      <c r="C108" s="175">
        <v>0</v>
      </c>
      <c r="D108" s="175">
        <v>0</v>
      </c>
      <c r="E108" s="176">
        <v>0</v>
      </c>
      <c r="F108" s="176"/>
      <c r="G108" s="176"/>
      <c r="H108" s="176"/>
      <c r="I108" s="176"/>
      <c r="J108" s="176"/>
      <c r="K108" s="177"/>
      <c r="L108" s="177"/>
      <c r="M108" s="177"/>
      <c r="N108" s="177"/>
    </row>
    <row r="109" spans="2:14" ht="15" customHeight="1">
      <c r="B109" s="178" t="s">
        <v>153</v>
      </c>
      <c r="C109" s="179">
        <v>0</v>
      </c>
      <c r="D109" s="180">
        <f t="shared" ref="D109:F111" si="3">+C109+D106</f>
        <v>0</v>
      </c>
      <c r="E109" s="180">
        <f t="shared" si="3"/>
        <v>0</v>
      </c>
      <c r="F109" s="180">
        <f t="shared" si="3"/>
        <v>0</v>
      </c>
      <c r="G109" s="181"/>
      <c r="H109" s="181"/>
      <c r="I109" s="181"/>
      <c r="J109" s="181"/>
      <c r="K109" s="181"/>
      <c r="L109" s="181">
        <f t="shared" ref="L109:N111" si="4">+K109+L106</f>
        <v>0</v>
      </c>
      <c r="M109" s="182">
        <f t="shared" si="4"/>
        <v>0</v>
      </c>
      <c r="N109" s="182">
        <f t="shared" si="4"/>
        <v>0</v>
      </c>
    </row>
    <row r="110" spans="2:14" ht="15" customHeight="1">
      <c r="B110" s="178" t="s">
        <v>154</v>
      </c>
      <c r="C110" s="179">
        <f>C107</f>
        <v>0</v>
      </c>
      <c r="D110" s="180">
        <v>0</v>
      </c>
      <c r="E110" s="180">
        <f t="shared" si="3"/>
        <v>0</v>
      </c>
      <c r="F110" s="180">
        <f t="shared" si="3"/>
        <v>0</v>
      </c>
      <c r="G110" s="181"/>
      <c r="H110" s="181"/>
      <c r="I110" s="181"/>
      <c r="J110" s="181"/>
      <c r="K110" s="181"/>
      <c r="L110" s="181">
        <f t="shared" si="4"/>
        <v>0</v>
      </c>
      <c r="M110" s="182">
        <f t="shared" si="4"/>
        <v>0</v>
      </c>
      <c r="N110" s="182">
        <f t="shared" si="4"/>
        <v>0</v>
      </c>
    </row>
    <row r="111" spans="2:14">
      <c r="B111" s="183" t="s">
        <v>155</v>
      </c>
      <c r="C111" s="184">
        <f>+C108</f>
        <v>0</v>
      </c>
      <c r="D111" s="180">
        <f t="shared" si="3"/>
        <v>0</v>
      </c>
      <c r="E111" s="180">
        <f t="shared" si="3"/>
        <v>0</v>
      </c>
      <c r="F111" s="180">
        <f t="shared" si="3"/>
        <v>0</v>
      </c>
      <c r="G111" s="181"/>
      <c r="H111" s="181"/>
      <c r="I111" s="181"/>
      <c r="J111" s="181"/>
      <c r="K111" s="181"/>
      <c r="L111" s="181">
        <f t="shared" si="4"/>
        <v>0</v>
      </c>
      <c r="M111" s="182">
        <f t="shared" si="4"/>
        <v>0</v>
      </c>
      <c r="N111" s="182">
        <f t="shared" si="4"/>
        <v>0</v>
      </c>
    </row>
    <row r="112" spans="2:14">
      <c r="J112" s="185"/>
      <c r="K112" s="186"/>
      <c r="M112" s="187"/>
    </row>
    <row r="113" spans="2:14">
      <c r="B113" t="s">
        <v>156</v>
      </c>
      <c r="J113" s="185"/>
      <c r="K113" s="186"/>
      <c r="M113" s="187"/>
    </row>
    <row r="114" spans="2:14">
      <c r="J114" s="185"/>
      <c r="K114" s="187"/>
      <c r="M114" s="187"/>
    </row>
    <row r="116" spans="2:14" ht="18.75">
      <c r="B116" s="135" t="s">
        <v>157</v>
      </c>
    </row>
    <row r="118" spans="2:14" ht="70.5" customHeight="1">
      <c r="B118" s="188" t="s">
        <v>158</v>
      </c>
      <c r="C118" s="189" t="s">
        <v>159</v>
      </c>
      <c r="D118" s="189" t="s">
        <v>160</v>
      </c>
      <c r="E118" s="189" t="s">
        <v>161</v>
      </c>
      <c r="F118" s="189" t="s">
        <v>162</v>
      </c>
      <c r="G118" s="189" t="s">
        <v>163</v>
      </c>
      <c r="H118" s="189" t="s">
        <v>164</v>
      </c>
      <c r="I118" s="189" t="s">
        <v>165</v>
      </c>
      <c r="J118" s="189" t="s">
        <v>166</v>
      </c>
      <c r="K118" s="190" t="s">
        <v>167</v>
      </c>
    </row>
    <row r="119" spans="2:14">
      <c r="B119" s="516" t="s">
        <v>49</v>
      </c>
      <c r="C119" s="191" t="s">
        <v>168</v>
      </c>
      <c r="D119" s="192">
        <v>0</v>
      </c>
      <c r="E119" s="193">
        <f t="shared" ref="E119:E124" si="5">IF(ISBLANK(D119),"",D119*30)</f>
        <v>0</v>
      </c>
      <c r="F119" s="194">
        <v>0</v>
      </c>
      <c r="G119" s="195" t="str">
        <f t="shared" ref="G119:G124" si="6">IF(AND(E119&gt;0,F119&gt;0),(F119*E119),"")</f>
        <v/>
      </c>
      <c r="H119" s="196">
        <v>0</v>
      </c>
      <c r="I119" s="197" t="str">
        <f t="shared" ref="I119:I124" si="7">IF(AND(G119&gt;0,H119&gt;0),H119/G119,"")</f>
        <v/>
      </c>
      <c r="J119" s="192">
        <v>0</v>
      </c>
      <c r="K119" s="198" t="str">
        <f t="shared" ref="K119:K124" si="8">IF(AND(I119&gt;0,J119&gt;0),I119-J119,"")</f>
        <v/>
      </c>
    </row>
    <row r="120" spans="2:14">
      <c r="B120" s="516"/>
      <c r="C120" s="191" t="s">
        <v>169</v>
      </c>
      <c r="D120" s="192">
        <v>0</v>
      </c>
      <c r="E120" s="193">
        <f t="shared" si="5"/>
        <v>0</v>
      </c>
      <c r="F120" s="194">
        <v>0</v>
      </c>
      <c r="G120" s="195" t="str">
        <f t="shared" si="6"/>
        <v/>
      </c>
      <c r="H120" s="196">
        <v>0</v>
      </c>
      <c r="I120" s="197" t="str">
        <f t="shared" si="7"/>
        <v/>
      </c>
      <c r="J120" s="192">
        <v>0</v>
      </c>
      <c r="K120" s="198" t="str">
        <f t="shared" si="8"/>
        <v/>
      </c>
    </row>
    <row r="121" spans="2:14">
      <c r="B121" s="516"/>
      <c r="C121" s="191" t="s">
        <v>170</v>
      </c>
      <c r="D121" s="192">
        <v>0</v>
      </c>
      <c r="E121" s="193">
        <f t="shared" si="5"/>
        <v>0</v>
      </c>
      <c r="F121" s="194">
        <v>0</v>
      </c>
      <c r="G121" s="195" t="str">
        <f t="shared" si="6"/>
        <v/>
      </c>
      <c r="H121" s="196">
        <v>0</v>
      </c>
      <c r="I121" s="197" t="str">
        <f t="shared" si="7"/>
        <v/>
      </c>
      <c r="J121" s="192">
        <v>0</v>
      </c>
      <c r="K121" s="198" t="str">
        <f t="shared" si="8"/>
        <v/>
      </c>
    </row>
    <row r="122" spans="2:14">
      <c r="B122" s="516"/>
      <c r="C122" s="199" t="s">
        <v>171</v>
      </c>
      <c r="D122" s="200">
        <v>0</v>
      </c>
      <c r="E122" s="193">
        <f t="shared" si="5"/>
        <v>0</v>
      </c>
      <c r="F122" s="194">
        <v>0</v>
      </c>
      <c r="G122" s="195" t="str">
        <f t="shared" si="6"/>
        <v/>
      </c>
      <c r="H122" s="201">
        <v>0</v>
      </c>
      <c r="I122" s="197" t="str">
        <f t="shared" si="7"/>
        <v/>
      </c>
      <c r="J122" s="200">
        <v>0</v>
      </c>
      <c r="K122" s="198" t="str">
        <f t="shared" si="8"/>
        <v/>
      </c>
    </row>
    <row r="123" spans="2:14">
      <c r="B123" s="516"/>
      <c r="C123" s="202" t="s">
        <v>172</v>
      </c>
      <c r="D123" s="203">
        <v>0</v>
      </c>
      <c r="E123" s="193">
        <f t="shared" si="5"/>
        <v>0</v>
      </c>
      <c r="F123" s="194">
        <v>0</v>
      </c>
      <c r="G123" s="195" t="str">
        <f t="shared" si="6"/>
        <v/>
      </c>
      <c r="H123" s="204">
        <v>0</v>
      </c>
      <c r="I123" s="197" t="str">
        <f t="shared" si="7"/>
        <v/>
      </c>
      <c r="J123" s="200">
        <v>0</v>
      </c>
      <c r="K123" s="198" t="str">
        <f t="shared" si="8"/>
        <v/>
      </c>
    </row>
    <row r="124" spans="2:14">
      <c r="B124" s="516"/>
      <c r="C124" s="205"/>
      <c r="D124" s="206"/>
      <c r="E124" s="207" t="str">
        <f t="shared" si="5"/>
        <v/>
      </c>
      <c r="F124" s="208"/>
      <c r="G124" s="209" t="str">
        <f t="shared" si="6"/>
        <v/>
      </c>
      <c r="H124" s="210"/>
      <c r="I124" s="211" t="str">
        <f t="shared" si="7"/>
        <v/>
      </c>
      <c r="J124" s="212"/>
      <c r="K124" s="213" t="str">
        <f t="shared" si="8"/>
        <v/>
      </c>
    </row>
    <row r="125" spans="2:14">
      <c r="B125" s="214"/>
    </row>
    <row r="126" spans="2:14">
      <c r="J126" s="136"/>
      <c r="K126" s="136"/>
    </row>
    <row r="127" spans="2:14" ht="18.75">
      <c r="B127" s="215" t="s">
        <v>173</v>
      </c>
      <c r="C127" s="216"/>
      <c r="D127" s="216"/>
      <c r="E127" s="217"/>
      <c r="F127" s="217"/>
      <c r="G127" s="217"/>
      <c r="H127" s="218"/>
      <c r="I127" s="219"/>
      <c r="J127" s="220"/>
      <c r="K127" s="221" t="s">
        <v>174</v>
      </c>
      <c r="L127" s="217"/>
      <c r="M127" s="220"/>
      <c r="N127" s="220"/>
    </row>
    <row r="129" spans="1:17" ht="25.5">
      <c r="B129" s="521" t="s">
        <v>175</v>
      </c>
      <c r="C129" s="521"/>
      <c r="D129" s="521"/>
      <c r="E129" s="222" t="s">
        <v>176</v>
      </c>
      <c r="F129" s="223" t="s">
        <v>177</v>
      </c>
      <c r="G129" s="224"/>
      <c r="H129" s="225">
        <v>2019</v>
      </c>
      <c r="I129" s="225">
        <v>2020</v>
      </c>
      <c r="J129" s="225">
        <v>2021</v>
      </c>
      <c r="K129" s="225">
        <v>2022</v>
      </c>
      <c r="L129" s="225">
        <v>2023</v>
      </c>
      <c r="M129" s="225">
        <v>2024</v>
      </c>
      <c r="N129" s="225">
        <v>2025</v>
      </c>
      <c r="O129" s="225"/>
      <c r="P129" s="225"/>
      <c r="Q129" s="225"/>
    </row>
    <row r="130" spans="1:17">
      <c r="B130" s="226"/>
      <c r="C130" s="227"/>
      <c r="D130" s="227"/>
      <c r="E130" s="228"/>
      <c r="F130" s="229"/>
      <c r="G130" s="230"/>
      <c r="H130" s="231"/>
      <c r="I130" s="231"/>
      <c r="J130" s="231"/>
      <c r="K130" s="231"/>
      <c r="L130" s="231"/>
      <c r="M130" s="231"/>
      <c r="N130" s="231"/>
      <c r="O130" s="231"/>
      <c r="P130" s="231"/>
      <c r="Q130" s="232"/>
    </row>
    <row r="131" spans="1:17" ht="15" customHeight="1">
      <c r="A131" s="522" t="s">
        <v>178</v>
      </c>
      <c r="B131" s="523" t="s">
        <v>356</v>
      </c>
      <c r="C131" s="524"/>
      <c r="D131" s="525"/>
      <c r="E131" s="529" t="s">
        <v>142</v>
      </c>
      <c r="F131" s="537" t="s">
        <v>179</v>
      </c>
      <c r="G131" s="233" t="s">
        <v>180</v>
      </c>
      <c r="H131" s="419">
        <v>0.55000000000000004</v>
      </c>
      <c r="I131" s="458">
        <v>0.64993000000000001</v>
      </c>
      <c r="J131" s="234"/>
      <c r="K131" s="235"/>
      <c r="L131" s="236"/>
      <c r="M131" s="237"/>
      <c r="N131" s="238"/>
      <c r="O131" s="238"/>
      <c r="P131" s="239"/>
      <c r="Q131" s="239"/>
    </row>
    <row r="132" spans="1:17">
      <c r="A132" s="522"/>
      <c r="B132" s="526"/>
      <c r="C132" s="527"/>
      <c r="D132" s="528"/>
      <c r="E132" s="530"/>
      <c r="F132" s="538"/>
      <c r="G132" s="233" t="s">
        <v>181</v>
      </c>
      <c r="H132" s="419">
        <v>0.80989999999999995</v>
      </c>
      <c r="I132" s="458">
        <v>0.786582</v>
      </c>
      <c r="J132" s="234"/>
      <c r="K132" s="235"/>
      <c r="L132" s="234"/>
      <c r="M132" s="237"/>
      <c r="N132" s="238"/>
      <c r="O132" s="238"/>
      <c r="P132" s="239"/>
      <c r="Q132" s="239"/>
    </row>
    <row r="133" spans="1:17" ht="15" customHeight="1">
      <c r="A133" s="522"/>
      <c r="B133" s="523" t="s">
        <v>357</v>
      </c>
      <c r="C133" s="524"/>
      <c r="D133" s="525"/>
      <c r="E133" s="529" t="s">
        <v>142</v>
      </c>
      <c r="F133" s="537" t="s">
        <v>179</v>
      </c>
      <c r="G133" s="240" t="s">
        <v>180</v>
      </c>
      <c r="H133" s="243">
        <v>27</v>
      </c>
      <c r="I133" s="243">
        <v>35</v>
      </c>
      <c r="J133" s="418"/>
      <c r="K133" s="235"/>
      <c r="L133" s="234"/>
      <c r="M133" s="237"/>
      <c r="N133" s="237"/>
      <c r="O133" s="237"/>
      <c r="P133" s="241"/>
      <c r="Q133" s="241"/>
    </row>
    <row r="134" spans="1:17">
      <c r="A134" s="522"/>
      <c r="B134" s="526"/>
      <c r="C134" s="527"/>
      <c r="D134" s="528"/>
      <c r="E134" s="530"/>
      <c r="F134" s="538"/>
      <c r="G134" s="240" t="s">
        <v>181</v>
      </c>
      <c r="H134" s="243">
        <v>21</v>
      </c>
      <c r="I134" s="243">
        <v>37</v>
      </c>
      <c r="J134" s="419"/>
      <c r="K134" s="235"/>
      <c r="L134" s="234"/>
      <c r="M134" s="237"/>
      <c r="N134" s="237"/>
      <c r="O134" s="237"/>
      <c r="P134" s="241"/>
      <c r="Q134" s="241"/>
    </row>
    <row r="135" spans="1:17" ht="15" customHeight="1">
      <c r="A135" s="522"/>
      <c r="B135" s="531" t="s">
        <v>358</v>
      </c>
      <c r="C135" s="532"/>
      <c r="D135" s="533"/>
      <c r="E135" s="529" t="s">
        <v>142</v>
      </c>
      <c r="F135" s="537" t="s">
        <v>179</v>
      </c>
      <c r="G135" s="233" t="s">
        <v>180</v>
      </c>
      <c r="H135" s="459">
        <v>2153</v>
      </c>
      <c r="I135" s="459">
        <v>1035</v>
      </c>
      <c r="J135" s="420"/>
      <c r="K135" s="235"/>
      <c r="L135" s="234"/>
      <c r="M135" s="237"/>
      <c r="N135" s="238"/>
      <c r="O135" s="238"/>
      <c r="P135" s="239"/>
      <c r="Q135" s="239"/>
    </row>
    <row r="136" spans="1:17">
      <c r="A136" s="522"/>
      <c r="B136" s="534"/>
      <c r="C136" s="535"/>
      <c r="D136" s="536"/>
      <c r="E136" s="530"/>
      <c r="F136" s="538"/>
      <c r="G136" s="233" t="s">
        <v>181</v>
      </c>
      <c r="H136" s="459">
        <v>1328</v>
      </c>
      <c r="I136" s="459">
        <v>983</v>
      </c>
      <c r="J136" s="419"/>
      <c r="K136" s="235"/>
      <c r="L136" s="234"/>
      <c r="M136" s="242"/>
      <c r="N136" s="238"/>
      <c r="O136" s="238"/>
      <c r="P136" s="239"/>
      <c r="Q136" s="239"/>
    </row>
    <row r="137" spans="1:17" ht="15" customHeight="1">
      <c r="B137" s="539" t="s">
        <v>359</v>
      </c>
      <c r="C137" s="540"/>
      <c r="D137" s="541"/>
      <c r="E137" s="529" t="s">
        <v>142</v>
      </c>
      <c r="F137" s="537" t="s">
        <v>179</v>
      </c>
      <c r="G137" s="240" t="s">
        <v>180</v>
      </c>
      <c r="H137" s="417">
        <v>0.95</v>
      </c>
      <c r="I137" s="458">
        <v>0.94997299999999996</v>
      </c>
      <c r="J137" s="234"/>
      <c r="K137" s="235"/>
      <c r="L137" s="234"/>
      <c r="M137" s="237"/>
      <c r="N137" s="238"/>
      <c r="O137" s="238"/>
      <c r="P137" s="241"/>
      <c r="Q137" s="241"/>
    </row>
    <row r="138" spans="1:17">
      <c r="B138" s="542"/>
      <c r="C138" s="543"/>
      <c r="D138" s="544"/>
      <c r="E138" s="530"/>
      <c r="F138" s="538"/>
      <c r="G138" s="240" t="s">
        <v>181</v>
      </c>
      <c r="H138" s="417">
        <v>0.9375</v>
      </c>
      <c r="I138" s="460">
        <v>0.94503000000000004</v>
      </c>
      <c r="J138" s="234"/>
      <c r="K138" s="235"/>
      <c r="L138" s="234"/>
      <c r="M138" s="242"/>
      <c r="N138" s="238"/>
      <c r="O138" s="238"/>
      <c r="P138" s="241"/>
      <c r="Q138" s="241"/>
    </row>
    <row r="139" spans="1:17" ht="15" customHeight="1">
      <c r="B139" s="545"/>
      <c r="C139" s="545"/>
      <c r="D139" s="545"/>
      <c r="E139" s="546">
        <v>1.4</v>
      </c>
      <c r="F139" s="547" t="s">
        <v>179</v>
      </c>
      <c r="G139" s="240" t="s">
        <v>180</v>
      </c>
      <c r="H139" s="244"/>
      <c r="I139" s="234"/>
      <c r="J139" s="234"/>
      <c r="K139" s="235"/>
      <c r="L139" s="234"/>
      <c r="M139" s="237"/>
      <c r="N139" s="237"/>
      <c r="O139" s="237"/>
      <c r="P139" s="245"/>
      <c r="Q139" s="245"/>
    </row>
    <row r="140" spans="1:17">
      <c r="B140" s="545"/>
      <c r="C140" s="545"/>
      <c r="D140" s="545"/>
      <c r="E140" s="546"/>
      <c r="F140" s="547"/>
      <c r="G140" s="240" t="s">
        <v>181</v>
      </c>
      <c r="H140" s="246"/>
      <c r="I140" s="234"/>
      <c r="J140" s="234"/>
      <c r="K140" s="235"/>
      <c r="L140" s="234"/>
      <c r="M140" s="237"/>
      <c r="N140" s="237"/>
      <c r="O140" s="237"/>
      <c r="P140" s="245"/>
      <c r="Q140" s="245"/>
    </row>
    <row r="141" spans="1:17" ht="15" customHeight="1">
      <c r="B141" s="548"/>
      <c r="C141" s="548"/>
      <c r="D141" s="548"/>
      <c r="E141" s="546">
        <v>1.3</v>
      </c>
      <c r="F141" s="547" t="s">
        <v>179</v>
      </c>
      <c r="G141" s="233" t="s">
        <v>180</v>
      </c>
      <c r="H141" s="247"/>
      <c r="I141" s="234"/>
      <c r="J141" s="234"/>
      <c r="K141" s="235"/>
      <c r="L141" s="234"/>
      <c r="M141" s="237"/>
      <c r="N141" s="238"/>
      <c r="O141" s="238"/>
      <c r="P141" s="239"/>
      <c r="Q141" s="239"/>
    </row>
    <row r="142" spans="1:17">
      <c r="B142" s="548"/>
      <c r="C142" s="548"/>
      <c r="D142" s="548"/>
      <c r="E142" s="546"/>
      <c r="F142" s="547"/>
      <c r="G142" s="233" t="s">
        <v>181</v>
      </c>
      <c r="H142" s="248"/>
      <c r="I142" s="234"/>
      <c r="J142" s="234"/>
      <c r="K142" s="235"/>
      <c r="L142" s="234"/>
      <c r="M142" s="242"/>
      <c r="N142" s="238"/>
      <c r="O142" s="238"/>
      <c r="P142" s="239"/>
      <c r="Q142" s="239"/>
    </row>
    <row r="143" spans="1:17" ht="14.25" customHeight="1">
      <c r="B143" s="548"/>
      <c r="C143" s="548"/>
      <c r="D143" s="548"/>
      <c r="E143" s="546">
        <v>1.5</v>
      </c>
      <c r="F143" s="547" t="s">
        <v>179</v>
      </c>
      <c r="G143" s="233" t="s">
        <v>180</v>
      </c>
      <c r="H143" s="234"/>
      <c r="I143" s="234"/>
      <c r="J143" s="234"/>
      <c r="K143" s="235"/>
      <c r="L143" s="234"/>
      <c r="M143" s="237"/>
      <c r="N143" s="237"/>
      <c r="O143" s="237"/>
      <c r="P143" s="239"/>
      <c r="Q143" s="239"/>
    </row>
    <row r="144" spans="1:17">
      <c r="B144" s="548"/>
      <c r="C144" s="548"/>
      <c r="D144" s="548"/>
      <c r="E144" s="546"/>
      <c r="F144" s="547"/>
      <c r="G144" s="233" t="s">
        <v>181</v>
      </c>
      <c r="H144" s="234"/>
      <c r="I144" s="234"/>
      <c r="J144" s="234"/>
      <c r="K144" s="235"/>
      <c r="L144" s="234"/>
      <c r="M144" s="237"/>
      <c r="N144" s="237"/>
      <c r="O144" s="237"/>
      <c r="P144" s="239"/>
      <c r="Q144" s="239"/>
    </row>
    <row r="145" spans="2:17" ht="14.25" customHeight="1">
      <c r="B145" s="545"/>
      <c r="C145" s="545"/>
      <c r="D145" s="545"/>
      <c r="E145" s="546">
        <v>1.6</v>
      </c>
      <c r="F145" s="547" t="s">
        <v>179</v>
      </c>
      <c r="G145" s="240" t="s">
        <v>180</v>
      </c>
      <c r="H145" s="234"/>
      <c r="I145" s="234"/>
      <c r="J145" s="234"/>
      <c r="K145" s="235"/>
      <c r="L145" s="234"/>
      <c r="M145" s="237"/>
      <c r="N145" s="238"/>
      <c r="O145" s="238"/>
      <c r="P145" s="245"/>
      <c r="Q145" s="245"/>
    </row>
    <row r="146" spans="2:17">
      <c r="B146" s="545"/>
      <c r="C146" s="545"/>
      <c r="D146" s="545"/>
      <c r="E146" s="546"/>
      <c r="F146" s="547"/>
      <c r="G146" s="240" t="s">
        <v>181</v>
      </c>
      <c r="H146" s="234"/>
      <c r="I146" s="234"/>
      <c r="J146" s="234"/>
      <c r="K146" s="235"/>
      <c r="L146" s="234"/>
      <c r="M146" s="242"/>
      <c r="N146" s="238"/>
      <c r="O146" s="238"/>
      <c r="P146" s="245"/>
      <c r="Q146" s="245"/>
    </row>
    <row r="147" spans="2:17">
      <c r="B147" s="214"/>
    </row>
    <row r="148" spans="2:17">
      <c r="B148" s="214"/>
    </row>
    <row r="149" spans="2:17" ht="25.5">
      <c r="B149" s="64" t="s">
        <v>182</v>
      </c>
      <c r="E149" s="249" t="s">
        <v>176</v>
      </c>
      <c r="F149" s="250" t="s">
        <v>177</v>
      </c>
      <c r="G149" s="224"/>
      <c r="H149" s="225" t="str">
        <f t="shared" ref="H149:N149" si="9">C30</f>
        <v>P1</v>
      </c>
      <c r="I149" s="225" t="str">
        <f t="shared" si="9"/>
        <v>P2</v>
      </c>
      <c r="J149" s="225" t="str">
        <f t="shared" si="9"/>
        <v>P3</v>
      </c>
      <c r="K149" s="225" t="str">
        <f t="shared" si="9"/>
        <v>P4</v>
      </c>
      <c r="L149" s="225" t="str">
        <f t="shared" si="9"/>
        <v>P5</v>
      </c>
      <c r="M149" s="225" t="str">
        <f t="shared" si="9"/>
        <v>P6</v>
      </c>
      <c r="N149" s="225" t="str">
        <f t="shared" si="9"/>
        <v>P7</v>
      </c>
      <c r="O149" s="225" t="str">
        <f>L30</f>
        <v>P10</v>
      </c>
      <c r="P149" s="225" t="str">
        <f>M30</f>
        <v>P11</v>
      </c>
      <c r="Q149" s="225" t="str">
        <f>N30</f>
        <v>P12</v>
      </c>
    </row>
    <row r="150" spans="2:17" ht="14.25" customHeight="1" thickBot="1">
      <c r="B150" s="552" t="str">
        <f>IF(ISBLANK(B131),"",(B131))</f>
        <v>MDR TB-6: Porcentaje de casos de TB con resultados de PSD por lo menos para Rifampicina, entre el número total de casos notificados (nuevos y previamente tratados) en el mismo año</v>
      </c>
      <c r="C150" s="552"/>
      <c r="D150" s="552"/>
      <c r="E150" s="550" t="str">
        <f>IF(ISBLANK(E131),"",(E131))</f>
        <v>N/A</v>
      </c>
      <c r="F150" s="551" t="str">
        <f>IF(ISBLANK(F131),"",(F131))</f>
        <v>Yes</v>
      </c>
      <c r="G150" s="251" t="s">
        <v>180</v>
      </c>
      <c r="H150" s="252">
        <f t="shared" ref="H150:H155" si="10">H131</f>
        <v>0.55000000000000004</v>
      </c>
      <c r="I150" s="252">
        <f t="shared" ref="I150:J155" si="11">+I131</f>
        <v>0.64993000000000001</v>
      </c>
      <c r="J150" s="252">
        <f t="shared" si="11"/>
        <v>0</v>
      </c>
      <c r="K150" s="252">
        <f t="shared" ref="K150:K155" si="12">+K131</f>
        <v>0</v>
      </c>
      <c r="L150" s="252">
        <f>L137</f>
        <v>0</v>
      </c>
      <c r="M150" s="252">
        <f t="shared" ref="M150:M155" si="13">+M131</f>
        <v>0</v>
      </c>
      <c r="N150" s="253">
        <f t="shared" ref="N150:N155" si="14">N131</f>
        <v>0</v>
      </c>
      <c r="O150" s="253">
        <f t="shared" ref="O150:O155" si="15">O131</f>
        <v>0</v>
      </c>
      <c r="P150" s="253">
        <f t="shared" ref="P150:P155" si="16">P131</f>
        <v>0</v>
      </c>
      <c r="Q150" s="253">
        <f t="shared" ref="Q150:Q155" si="17">Q131</f>
        <v>0</v>
      </c>
    </row>
    <row r="151" spans="2:17" ht="15.75" thickBot="1">
      <c r="B151" s="552"/>
      <c r="C151" s="552"/>
      <c r="D151" s="552"/>
      <c r="E151" s="550"/>
      <c r="F151" s="551"/>
      <c r="G151" s="254" t="s">
        <v>181</v>
      </c>
      <c r="H151" s="252">
        <f t="shared" si="10"/>
        <v>0.80989999999999995</v>
      </c>
      <c r="I151" s="252">
        <f t="shared" si="11"/>
        <v>0.786582</v>
      </c>
      <c r="J151" s="252">
        <f t="shared" si="11"/>
        <v>0</v>
      </c>
      <c r="K151" s="252">
        <f t="shared" si="12"/>
        <v>0</v>
      </c>
      <c r="L151" s="252">
        <f>L138</f>
        <v>0</v>
      </c>
      <c r="M151" s="252">
        <f t="shared" si="13"/>
        <v>0</v>
      </c>
      <c r="N151" s="253">
        <f t="shared" si="14"/>
        <v>0</v>
      </c>
      <c r="O151" s="253">
        <f t="shared" si="15"/>
        <v>0</v>
      </c>
      <c r="P151" s="253">
        <f t="shared" si="16"/>
        <v>0</v>
      </c>
      <c r="Q151" s="253">
        <f t="shared" si="17"/>
        <v>0</v>
      </c>
    </row>
    <row r="152" spans="2:17" ht="15.75" thickBot="1">
      <c r="B152" s="553" t="str">
        <f>IF(ISBLANK(B133),"",(B133))</f>
        <v>MDR TB-3(M): Número de casos TB-RR y/o TB-MDR que iniciaron tratamiento con drogas de segunda línea</v>
      </c>
      <c r="C152" s="553"/>
      <c r="D152" s="553"/>
      <c r="E152" s="554" t="str">
        <f>IF(ISBLANK(E133),"",(E133))</f>
        <v>N/A</v>
      </c>
      <c r="F152" s="555" t="str">
        <f>IF(ISBLANK(F133),"",(F133))</f>
        <v>Yes</v>
      </c>
      <c r="G152" s="255" t="s">
        <v>180</v>
      </c>
      <c r="H152" s="252">
        <f t="shared" si="10"/>
        <v>27</v>
      </c>
      <c r="I152" s="252">
        <f t="shared" si="11"/>
        <v>35</v>
      </c>
      <c r="J152" s="252">
        <f t="shared" si="11"/>
        <v>0</v>
      </c>
      <c r="K152" s="252">
        <f t="shared" si="12"/>
        <v>0</v>
      </c>
      <c r="L152" s="256">
        <f>L141</f>
        <v>0</v>
      </c>
      <c r="M152" s="252">
        <f t="shared" si="13"/>
        <v>0</v>
      </c>
      <c r="N152" s="257">
        <f t="shared" si="14"/>
        <v>0</v>
      </c>
      <c r="O152" s="257">
        <f t="shared" si="15"/>
        <v>0</v>
      </c>
      <c r="P152" s="257">
        <f t="shared" si="16"/>
        <v>0</v>
      </c>
      <c r="Q152" s="257">
        <f t="shared" si="17"/>
        <v>0</v>
      </c>
    </row>
    <row r="153" spans="2:17" ht="14.25" customHeight="1" thickBot="1">
      <c r="B153" s="553"/>
      <c r="C153" s="553"/>
      <c r="D153" s="553"/>
      <c r="E153" s="554"/>
      <c r="F153" s="555"/>
      <c r="G153" s="255" t="s">
        <v>181</v>
      </c>
      <c r="H153" s="252">
        <f t="shared" si="10"/>
        <v>21</v>
      </c>
      <c r="I153" s="252">
        <f t="shared" si="11"/>
        <v>37</v>
      </c>
      <c r="J153" s="252">
        <f t="shared" si="11"/>
        <v>0</v>
      </c>
      <c r="K153" s="252">
        <f t="shared" si="12"/>
        <v>0</v>
      </c>
      <c r="L153" s="256">
        <f>L142</f>
        <v>0</v>
      </c>
      <c r="M153" s="252">
        <f t="shared" si="13"/>
        <v>0</v>
      </c>
      <c r="N153" s="257">
        <f t="shared" si="14"/>
        <v>0</v>
      </c>
      <c r="O153" s="257">
        <f t="shared" si="15"/>
        <v>0</v>
      </c>
      <c r="P153" s="257">
        <f t="shared" si="16"/>
        <v>0</v>
      </c>
      <c r="Q153" s="257">
        <f t="shared" si="17"/>
        <v>0</v>
      </c>
    </row>
    <row r="154" spans="2:17" ht="14.25" customHeight="1" thickBot="1">
      <c r="B154" s="549" t="str">
        <f>IF(ISBLANK(B135),"",(B135))</f>
        <v>TCP-6a: Número de casos de TB (todas las formas) notificados entre los privados de libertad</v>
      </c>
      <c r="C154" s="549"/>
      <c r="D154" s="549"/>
      <c r="E154" s="550" t="str">
        <f>IF(ISBLANK(E135),"",(E135))</f>
        <v>N/A</v>
      </c>
      <c r="F154" s="551" t="str">
        <f>IF(ISBLANK(F135),"",(F135))</f>
        <v>Yes</v>
      </c>
      <c r="G154" s="254" t="s">
        <v>180</v>
      </c>
      <c r="H154" s="252">
        <f t="shared" si="10"/>
        <v>2153</v>
      </c>
      <c r="I154" s="252">
        <f t="shared" si="11"/>
        <v>1035</v>
      </c>
      <c r="J154" s="252">
        <f t="shared" si="11"/>
        <v>0</v>
      </c>
      <c r="K154" s="252">
        <f t="shared" si="12"/>
        <v>0</v>
      </c>
      <c r="L154" s="252">
        <f>L139</f>
        <v>0</v>
      </c>
      <c r="M154" s="252">
        <f t="shared" si="13"/>
        <v>0</v>
      </c>
      <c r="N154" s="253">
        <f t="shared" si="14"/>
        <v>0</v>
      </c>
      <c r="O154" s="253">
        <f t="shared" si="15"/>
        <v>0</v>
      </c>
      <c r="P154" s="253">
        <f t="shared" si="16"/>
        <v>0</v>
      </c>
      <c r="Q154" s="253">
        <f t="shared" si="17"/>
        <v>0</v>
      </c>
    </row>
    <row r="155" spans="2:17" ht="15" customHeight="1" thickBot="1">
      <c r="B155" s="549"/>
      <c r="C155" s="549"/>
      <c r="D155" s="549"/>
      <c r="E155" s="550"/>
      <c r="F155" s="551"/>
      <c r="G155" s="258" t="s">
        <v>181</v>
      </c>
      <c r="H155" s="259">
        <f t="shared" si="10"/>
        <v>1328</v>
      </c>
      <c r="I155" s="252">
        <f t="shared" si="11"/>
        <v>983</v>
      </c>
      <c r="J155" s="252">
        <f t="shared" si="11"/>
        <v>0</v>
      </c>
      <c r="K155" s="252">
        <f t="shared" si="12"/>
        <v>0</v>
      </c>
      <c r="L155" s="259">
        <f>L140</f>
        <v>0</v>
      </c>
      <c r="M155" s="252">
        <f t="shared" si="13"/>
        <v>0</v>
      </c>
      <c r="N155" s="253">
        <f t="shared" si="14"/>
        <v>0</v>
      </c>
      <c r="O155" s="253">
        <f t="shared" si="15"/>
        <v>0</v>
      </c>
      <c r="P155" s="253">
        <f t="shared" si="16"/>
        <v>0</v>
      </c>
      <c r="Q155" s="253">
        <f t="shared" si="17"/>
        <v>0</v>
      </c>
    </row>
  </sheetData>
  <sheetProtection selectLockedCells="1" selectUnlockedCells="1"/>
  <mergeCells count="66">
    <mergeCell ref="B154:D155"/>
    <mergeCell ref="E154:E155"/>
    <mergeCell ref="F154:F155"/>
    <mergeCell ref="B150:D151"/>
    <mergeCell ref="E150:E151"/>
    <mergeCell ref="F150:F151"/>
    <mergeCell ref="B152:D153"/>
    <mergeCell ref="E152:E153"/>
    <mergeCell ref="F152:F153"/>
    <mergeCell ref="B143:D144"/>
    <mergeCell ref="E143:E144"/>
    <mergeCell ref="F143:F144"/>
    <mergeCell ref="B145:D146"/>
    <mergeCell ref="E145:E146"/>
    <mergeCell ref="F145:F146"/>
    <mergeCell ref="B139:D140"/>
    <mergeCell ref="E139:E140"/>
    <mergeCell ref="F139:F140"/>
    <mergeCell ref="B141:D142"/>
    <mergeCell ref="E141:E142"/>
    <mergeCell ref="F141:F142"/>
    <mergeCell ref="F135:F136"/>
    <mergeCell ref="B137:D138"/>
    <mergeCell ref="E137:E138"/>
    <mergeCell ref="F137:F138"/>
    <mergeCell ref="F131:F132"/>
    <mergeCell ref="B133:D134"/>
    <mergeCell ref="E133:E134"/>
    <mergeCell ref="F133:F134"/>
    <mergeCell ref="B129:D129"/>
    <mergeCell ref="A131:A136"/>
    <mergeCell ref="B131:D132"/>
    <mergeCell ref="E131:E132"/>
    <mergeCell ref="B135:D136"/>
    <mergeCell ref="E135:E136"/>
    <mergeCell ref="B82:C82"/>
    <mergeCell ref="B83:C83"/>
    <mergeCell ref="B84:C84"/>
    <mergeCell ref="B119:B124"/>
    <mergeCell ref="B26:C26"/>
    <mergeCell ref="B29:N29"/>
    <mergeCell ref="F49:I49"/>
    <mergeCell ref="B71:D71"/>
    <mergeCell ref="C12:D12"/>
    <mergeCell ref="E12:F12"/>
    <mergeCell ref="G12:J12"/>
    <mergeCell ref="B21:J21"/>
    <mergeCell ref="D24:E24"/>
    <mergeCell ref="G24:H24"/>
    <mergeCell ref="I24:J24"/>
    <mergeCell ref="B14:J14"/>
    <mergeCell ref="H16:I16"/>
    <mergeCell ref="B18:C18"/>
    <mergeCell ref="D18:F18"/>
    <mergeCell ref="B2:J2"/>
    <mergeCell ref="C4:D4"/>
    <mergeCell ref="E4:F4"/>
    <mergeCell ref="G4:J4"/>
    <mergeCell ref="C10:D10"/>
    <mergeCell ref="E10:F10"/>
    <mergeCell ref="G10:J10"/>
    <mergeCell ref="C6:D6"/>
    <mergeCell ref="E6:F6"/>
    <mergeCell ref="I6:J6"/>
    <mergeCell ref="C8:D8"/>
    <mergeCell ref="I8:J8"/>
  </mergeCells>
  <phoneticPr fontId="68" type="noConversion"/>
  <conditionalFormatting sqref="C30:N30 C105:N105">
    <cfRule type="cellIs" dxfId="38" priority="3" stopIfTrue="1" operator="equal">
      <formula>$C$16</formula>
    </cfRule>
  </conditionalFormatting>
  <conditionalFormatting sqref="C12:D12">
    <cfRule type="cellIs" dxfId="37" priority="4" stopIfTrue="1" operator="equal">
      <formula>"C"</formula>
    </cfRule>
    <cfRule type="cellIs" dxfId="36" priority="5" stopIfTrue="1" operator="equal">
      <formula>"B2"</formula>
    </cfRule>
    <cfRule type="cellIs" dxfId="35" priority="6" stopIfTrue="1" operator="equal">
      <formula>"B1"</formula>
    </cfRule>
  </conditionalFormatting>
  <conditionalFormatting sqref="H149:Q149 H130:Q130">
    <cfRule type="cellIs" dxfId="34" priority="7" stopIfTrue="1" operator="equal">
      <formula>$C$16</formula>
    </cfRule>
  </conditionalFormatting>
  <conditionalFormatting sqref="F49:I49">
    <cfRule type="expression" dxfId="33" priority="8" stopIfTrue="1">
      <formula>LEFT($F$49,2)="OK"</formula>
    </cfRule>
  </conditionalFormatting>
  <conditionalFormatting sqref="H129:N129">
    <cfRule type="cellIs" dxfId="32" priority="2" stopIfTrue="1" operator="equal">
      <formula>$C$16</formula>
    </cfRule>
  </conditionalFormatting>
  <conditionalFormatting sqref="O129:Q129">
    <cfRule type="cellIs" dxfId="31" priority="1" stopIfTrue="1" operator="equal">
      <formula>$C$16</formula>
    </cfRule>
  </conditionalFormatting>
  <dataValidations count="9">
    <dataValidation type="list" allowBlank="1" showErrorMessage="1" sqref="G6 B119" xr:uid="{00000000-0002-0000-0200-000000000000}">
      <formula1>Component</formula1>
      <formula2>0</formula2>
    </dataValidation>
    <dataValidation type="list" allowBlank="1" showErrorMessage="1" sqref="C16" xr:uid="{00000000-0002-0000-0200-000001000000}">
      <formula1>PERIOD</formula1>
      <formula2>0</formula2>
    </dataValidation>
    <dataValidation type="list" allowBlank="1" showErrorMessage="1" sqref="G10:J10" xr:uid="{00000000-0002-0000-0200-000002000000}">
      <formula1>LFA</formula1>
      <formula2>0</formula2>
    </dataValidation>
    <dataValidation type="list" allowBlank="1" showErrorMessage="1" sqref="C12:D12" xr:uid="{00000000-0002-0000-0200-000003000000}">
      <formula1>Rating</formula1>
      <formula2>0</formula2>
    </dataValidation>
    <dataValidation type="list" allowBlank="1" showErrorMessage="1" sqref="I8:J8" xr:uid="{00000000-0002-0000-0200-000004000000}">
      <formula1>Phase</formula1>
      <formula2>0</formula2>
    </dataValidation>
    <dataValidation type="list" allowBlank="1" showErrorMessage="1" sqref="G8" xr:uid="{00000000-0002-0000-0200-000005000000}">
      <formula1>Round</formula1>
      <formula2>0</formula2>
    </dataValidation>
    <dataValidation type="list" allowBlank="1" showErrorMessage="1" sqref="D26" xr:uid="{00000000-0002-0000-0200-000006000000}">
      <formula1>Currency</formula1>
      <formula2>0</formula2>
    </dataValidation>
    <dataValidation type="list" allowBlank="1" showErrorMessage="1" sqref="C4:D4" xr:uid="{00000000-0002-0000-0200-000007000000}">
      <formula1>Ciudades</formula1>
      <formula2>0</formula2>
    </dataValidation>
    <dataValidation type="list" allowBlank="1" showErrorMessage="1" sqref="C119:C124" xr:uid="{00000000-0002-0000-0200-000008000000}">
      <formula1>Medicaments</formula1>
      <formula2>0</formula2>
    </dataValidation>
  </dataValidations>
  <pageMargins left="0.70833333333333337" right="0.70833333333333337" top="0.74791666666666667" bottom="0.74861111111111112" header="0.51180555555555551" footer="0.31527777777777777"/>
  <pageSetup paperSize="9" scale="36" firstPageNumber="0" fitToHeight="8" orientation="landscape" horizontalDpi="300" verticalDpi="300" r:id="rId1"/>
  <headerFooter alignWithMargins="0">
    <oddFooter>&amp;L&amp;F&amp;C&amp;A&amp;R&amp;D</oddFooter>
  </headerFooter>
  <rowBreaks count="1" manualBreakCount="1">
    <brk id="50"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1"/>
    <pageSetUpPr fitToPage="1"/>
  </sheetPr>
  <dimension ref="A1:X13"/>
  <sheetViews>
    <sheetView showGridLines="0" zoomScale="70" zoomScaleNormal="70" zoomScaleSheetLayoutView="100" workbookViewId="0">
      <selection activeCell="D16" sqref="D16"/>
    </sheetView>
  </sheetViews>
  <sheetFormatPr baseColWidth="10" defaultRowHeight="15"/>
  <cols>
    <col min="1" max="1" width="21.140625" customWidth="1"/>
    <col min="2" max="2" width="12.42578125" customWidth="1"/>
    <col min="3" max="3" width="20.42578125" customWidth="1"/>
    <col min="4" max="4" width="24" customWidth="1"/>
    <col min="5" max="5" width="11.5703125" customWidth="1"/>
    <col min="6" max="6" width="18.5703125" customWidth="1"/>
    <col min="7" max="7" width="17" customWidth="1"/>
    <col min="8" max="8" width="18.42578125" customWidth="1"/>
    <col min="9" max="9" width="9.42578125" customWidth="1"/>
    <col min="10" max="10" width="13" customWidth="1"/>
    <col min="11" max="11" width="11.42578125" customWidth="1"/>
    <col min="12" max="12" width="8.140625" customWidth="1"/>
    <col min="13" max="13" width="9.5703125" customWidth="1"/>
    <col min="14" max="14" width="8.42578125" customWidth="1"/>
    <col min="15" max="15" width="7.140625" customWidth="1"/>
  </cols>
  <sheetData>
    <row r="1" spans="1:24" ht="21" customHeight="1">
      <c r="G1" s="31"/>
    </row>
    <row r="2" spans="1:24" ht="25.5" customHeight="1"/>
    <row r="3" spans="1:24" ht="36">
      <c r="B3" s="559" t="str">
        <f>+"Tablero de mando: "&amp;" "&amp;+'Introducción de datos'!C4&amp;" - "&amp;+'Introducción de datos'!G6</f>
        <v>Tablero de mando:  El Salvador - TB</v>
      </c>
      <c r="C3" s="559"/>
      <c r="D3" s="559"/>
      <c r="E3" s="559"/>
      <c r="F3" s="559"/>
      <c r="G3" s="559"/>
      <c r="H3" s="559"/>
      <c r="I3" s="559"/>
      <c r="J3" s="559"/>
      <c r="K3" s="260"/>
      <c r="L3" s="260"/>
      <c r="M3" s="260"/>
      <c r="N3" s="261"/>
      <c r="O3" s="261"/>
      <c r="P3" s="261"/>
      <c r="Q3" s="261"/>
      <c r="R3" s="261"/>
      <c r="S3" s="261"/>
      <c r="T3" s="261"/>
    </row>
    <row r="4" spans="1:24" ht="15" customHeight="1">
      <c r="L4" s="261"/>
      <c r="M4" s="261"/>
      <c r="N4" s="261"/>
      <c r="O4" s="261"/>
      <c r="P4" s="261"/>
      <c r="Q4" s="261"/>
      <c r="R4" s="261"/>
      <c r="S4" s="261"/>
      <c r="T4" s="261"/>
    </row>
    <row r="5" spans="1:24">
      <c r="L5" s="261"/>
      <c r="M5" s="261"/>
      <c r="N5" s="261"/>
      <c r="O5" s="261"/>
      <c r="P5" s="261"/>
      <c r="Q5" s="261"/>
      <c r="R5" s="261"/>
      <c r="S5" s="261"/>
      <c r="T5" s="261"/>
    </row>
    <row r="6" spans="1:24" ht="32.25" customHeight="1">
      <c r="A6" s="262" t="s">
        <v>43</v>
      </c>
      <c r="B6" s="560" t="str">
        <f>+'Introducción de datos'!C4</f>
        <v>El Salvador</v>
      </c>
      <c r="C6" s="560"/>
      <c r="D6" s="561" t="s">
        <v>45</v>
      </c>
      <c r="E6" s="561"/>
      <c r="F6" s="562" t="str">
        <f>+'Introducción de datos'!G4</f>
        <v>Financiamiento al PENM TB 2017 - 2021</v>
      </c>
      <c r="G6" s="562"/>
      <c r="H6" s="562"/>
      <c r="I6" s="562"/>
      <c r="J6" s="562"/>
      <c r="K6" s="263"/>
      <c r="L6" s="264"/>
      <c r="M6" s="263"/>
      <c r="N6" s="263"/>
      <c r="O6" s="263"/>
      <c r="P6" s="265"/>
      <c r="Q6" s="266"/>
      <c r="R6" s="266"/>
      <c r="S6" s="266"/>
      <c r="T6" s="266"/>
      <c r="U6" s="266"/>
    </row>
    <row r="7" spans="1:24" ht="8.25" customHeight="1">
      <c r="B7" s="267"/>
      <c r="C7" s="268"/>
      <c r="D7" s="268"/>
      <c r="E7" s="269"/>
      <c r="F7" s="269"/>
      <c r="G7" s="268"/>
      <c r="H7" s="268"/>
      <c r="K7" s="263"/>
      <c r="L7" s="263"/>
      <c r="M7" s="263"/>
      <c r="N7" s="263"/>
      <c r="O7" s="263"/>
      <c r="P7" s="265"/>
      <c r="Q7" s="266"/>
      <c r="R7" s="266"/>
      <c r="S7" s="266"/>
      <c r="T7" s="266"/>
      <c r="U7" s="266"/>
    </row>
    <row r="8" spans="1:24" ht="3.75" customHeight="1">
      <c r="C8" s="270"/>
      <c r="D8" s="270"/>
      <c r="E8" s="270"/>
      <c r="F8" s="270"/>
      <c r="G8" s="270"/>
      <c r="H8" s="270"/>
      <c r="I8" s="270"/>
      <c r="J8" s="270"/>
      <c r="K8" s="263"/>
      <c r="L8" s="263"/>
      <c r="M8" s="263"/>
      <c r="N8" s="263"/>
      <c r="O8" s="271"/>
      <c r="P8" s="265"/>
      <c r="Q8" s="271"/>
      <c r="R8" s="272"/>
      <c r="S8" s="266"/>
      <c r="T8" s="266"/>
      <c r="U8" s="266"/>
    </row>
    <row r="9" spans="1:24" ht="25.5" customHeight="1">
      <c r="A9" s="273" t="s">
        <v>48</v>
      </c>
      <c r="B9" s="274" t="str">
        <f>+'Introducción de datos'!G6</f>
        <v>TB</v>
      </c>
      <c r="C9" s="275" t="s">
        <v>46</v>
      </c>
      <c r="D9" s="276" t="str">
        <f>+'Introducción de datos'!C6</f>
        <v xml:space="preserve">SLV-T-MOH </v>
      </c>
      <c r="E9" s="556" t="s">
        <v>183</v>
      </c>
      <c r="F9" s="556"/>
      <c r="G9" s="277">
        <f>+'Introducción de datos'!C10</f>
        <v>43466</v>
      </c>
      <c r="H9" s="273" t="s">
        <v>184</v>
      </c>
      <c r="I9" s="557">
        <f>+'Introducción de datos'!I6</f>
        <v>4242741</v>
      </c>
      <c r="J9" s="557"/>
      <c r="K9" s="263"/>
      <c r="L9" s="263"/>
      <c r="M9" s="263"/>
      <c r="N9" s="263"/>
      <c r="O9" s="271"/>
      <c r="P9" s="265"/>
      <c r="Q9" s="271"/>
      <c r="R9" s="272"/>
      <c r="S9" s="266"/>
      <c r="T9" s="278"/>
      <c r="U9" s="278"/>
      <c r="V9" s="270"/>
      <c r="W9" s="270"/>
      <c r="X9" s="270"/>
    </row>
    <row r="10" spans="1:24" ht="25.5" customHeight="1">
      <c r="A10" s="273" t="s">
        <v>185</v>
      </c>
      <c r="B10" s="279" t="str">
        <f>IF(ISBLANK('Introducción de datos'!G8),"",'Introducción de datos'!G8)</f>
        <v/>
      </c>
      <c r="C10" s="275" t="s">
        <v>186</v>
      </c>
      <c r="D10" s="280">
        <f>+'Introducción de datos'!I8</f>
        <v>0</v>
      </c>
      <c r="E10" s="556" t="s">
        <v>187</v>
      </c>
      <c r="F10" s="556"/>
      <c r="G10" s="558" t="str">
        <f>+'Introducción de datos'!C8</f>
        <v xml:space="preserve">Ministerio de Salud </v>
      </c>
      <c r="H10" s="558"/>
      <c r="I10" s="558"/>
      <c r="J10" s="558"/>
      <c r="K10" s="266"/>
      <c r="L10" s="266"/>
      <c r="M10" s="263"/>
      <c r="N10" s="266"/>
      <c r="O10" s="271"/>
      <c r="P10" s="265"/>
      <c r="Q10" s="278"/>
      <c r="R10" s="272"/>
      <c r="S10" s="266"/>
      <c r="T10" s="278"/>
      <c r="U10" s="278"/>
    </row>
    <row r="11" spans="1:24" ht="25.5" customHeight="1">
      <c r="A11" s="273" t="s">
        <v>188</v>
      </c>
      <c r="B11" s="281" t="str">
        <f>+'Introducción de datos'!C16</f>
        <v>P2</v>
      </c>
      <c r="C11" s="275" t="s">
        <v>189</v>
      </c>
      <c r="D11" s="282">
        <f>+'Introducción de datos'!E16</f>
        <v>43831</v>
      </c>
      <c r="E11" s="556" t="s">
        <v>190</v>
      </c>
      <c r="F11" s="556"/>
      <c r="G11" s="282">
        <f>+'Introducción de datos'!G16</f>
        <v>44196</v>
      </c>
      <c r="H11" s="273" t="s">
        <v>191</v>
      </c>
      <c r="I11" s="564" t="str">
        <f>+'Introducción de datos'!C12</f>
        <v>A2</v>
      </c>
      <c r="J11" s="564"/>
      <c r="K11" s="283"/>
      <c r="L11" s="266"/>
      <c r="M11" s="263"/>
      <c r="N11" s="266"/>
      <c r="O11" s="266"/>
      <c r="P11" s="265"/>
      <c r="Q11" s="278"/>
      <c r="R11" s="272"/>
      <c r="S11" s="266"/>
      <c r="T11" s="284"/>
      <c r="U11" s="278"/>
    </row>
    <row r="12" spans="1:24" ht="25.5" customHeight="1">
      <c r="A12" s="273" t="s">
        <v>54</v>
      </c>
      <c r="B12" s="558" t="str">
        <f>+'Introducción de datos'!G10</f>
        <v>Grupo Jacobs</v>
      </c>
      <c r="C12" s="558"/>
      <c r="D12" s="558"/>
      <c r="E12" s="556" t="s">
        <v>58</v>
      </c>
      <c r="F12" s="556"/>
      <c r="G12" s="558" t="str">
        <f>+'Introducción de datos'!G12</f>
        <v>Delphine De Quina</v>
      </c>
      <c r="H12" s="558"/>
      <c r="I12" s="558"/>
      <c r="J12" s="558"/>
      <c r="K12" s="266"/>
      <c r="L12" s="266"/>
      <c r="M12" s="263"/>
      <c r="N12" s="266"/>
      <c r="O12" s="266"/>
      <c r="P12" s="265"/>
      <c r="Q12" s="278"/>
      <c r="R12" s="272"/>
      <c r="S12" s="266"/>
      <c r="T12" s="278"/>
      <c r="U12" s="285"/>
      <c r="V12" s="278"/>
      <c r="W12" s="284"/>
      <c r="X12" s="278"/>
    </row>
    <row r="13" spans="1:24" ht="25.5" customHeight="1">
      <c r="A13" s="273" t="s">
        <v>65</v>
      </c>
      <c r="B13" s="558" t="str">
        <f>+'Introducción de datos'!D18</f>
        <v>UAFM/UFE/MINSAL.</v>
      </c>
      <c r="C13" s="558"/>
      <c r="D13" s="558"/>
      <c r="E13" s="556" t="s">
        <v>192</v>
      </c>
      <c r="F13" s="556"/>
      <c r="G13" s="563">
        <f>+'Introducción de datos'!J16</f>
        <v>44302</v>
      </c>
      <c r="H13" s="563"/>
      <c r="I13" s="563"/>
      <c r="J13" s="563"/>
      <c r="K13" s="266"/>
      <c r="L13" s="286"/>
      <c r="M13" s="286"/>
      <c r="N13" s="286"/>
      <c r="O13" s="266"/>
      <c r="P13" s="286"/>
      <c r="Q13" s="286"/>
      <c r="R13" s="272"/>
      <c r="S13" s="266"/>
      <c r="T13" s="286"/>
      <c r="U13" s="287"/>
    </row>
  </sheetData>
  <sheetProtection selectLockedCells="1" selectUnlockedCells="1"/>
  <mergeCells count="16">
    <mergeCell ref="B13:D13"/>
    <mergeCell ref="E13:F13"/>
    <mergeCell ref="G13:J13"/>
    <mergeCell ref="E11:F11"/>
    <mergeCell ref="I11:J11"/>
    <mergeCell ref="B12:D12"/>
    <mergeCell ref="E12:F12"/>
    <mergeCell ref="G12:J12"/>
    <mergeCell ref="E9:F9"/>
    <mergeCell ref="I9:J9"/>
    <mergeCell ref="E10:F10"/>
    <mergeCell ref="G10:J10"/>
    <mergeCell ref="B3:J3"/>
    <mergeCell ref="B6:C6"/>
    <mergeCell ref="D6:E6"/>
    <mergeCell ref="F6:J6"/>
  </mergeCells>
  <phoneticPr fontId="68" type="noConversion"/>
  <conditionalFormatting sqref="I11:J11">
    <cfRule type="cellIs" dxfId="30" priority="1" stopIfTrue="1" operator="equal">
      <formula>"C"</formula>
    </cfRule>
    <cfRule type="cellIs" dxfId="29" priority="2" stopIfTrue="1" operator="equal">
      <formula>"B2"</formula>
    </cfRule>
    <cfRule type="cellIs" dxfId="28" priority="3" stopIfTrue="1" operator="equal">
      <formula>"B1"</formula>
    </cfRule>
  </conditionalFormatting>
  <dataValidations count="1">
    <dataValidation type="list" allowBlank="1" showErrorMessage="1" sqref="G7" xr:uid="{00000000-0002-0000-0300-000000000000}">
      <formula1>$K$8:$K$9</formula1>
      <formula2>0</formula2>
    </dataValidation>
  </dataValidations>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7"/>
  </sheetPr>
  <dimension ref="B1:T33"/>
  <sheetViews>
    <sheetView showGridLines="0" tabSelected="1" topLeftCell="B13" zoomScaleNormal="100" workbookViewId="0">
      <selection activeCell="O9" sqref="O9:T9"/>
    </sheetView>
  </sheetViews>
  <sheetFormatPr baseColWidth="10" defaultColWidth="10.7109375" defaultRowHeight="15"/>
  <cols>
    <col min="1" max="1" width="3.42578125" customWidth="1"/>
    <col min="2" max="2" width="11.42578125" customWidth="1"/>
    <col min="3" max="3" width="5.140625" customWidth="1"/>
    <col min="4" max="4" width="12.42578125" customWidth="1"/>
    <col min="5" max="5" width="11.42578125" customWidth="1"/>
    <col min="6" max="6" width="30.85546875" customWidth="1"/>
    <col min="7" max="7" width="3.85546875" customWidth="1"/>
    <col min="8" max="8" width="14" customWidth="1"/>
    <col min="9" max="9" width="15.85546875" customWidth="1"/>
    <col min="10" max="10" width="13.85546875" customWidth="1"/>
    <col min="11" max="11" width="17" customWidth="1"/>
    <col min="12" max="12" width="3.5703125" customWidth="1"/>
  </cols>
  <sheetData>
    <row r="1" spans="2:20" ht="30.75" customHeight="1"/>
    <row r="2" spans="2:20" ht="27.75" customHeight="1">
      <c r="B2" s="498" t="str">
        <f>+"Cuadro de mando:  "&amp;"  "&amp;+'Introducción de datos'!C4&amp;" - "&amp;'Introducción de datos'!G6</f>
        <v>Cuadro de mando:    El Salvador - TB</v>
      </c>
      <c r="C2" s="498"/>
      <c r="D2" s="498"/>
      <c r="E2" s="498"/>
      <c r="F2" s="498"/>
      <c r="G2" s="498"/>
      <c r="H2" s="498"/>
      <c r="I2" s="498"/>
      <c r="J2" s="498"/>
      <c r="K2" s="498"/>
      <c r="L2" s="288"/>
      <c r="M2" s="288"/>
      <c r="N2" s="288"/>
      <c r="O2" s="288"/>
    </row>
    <row r="3" spans="2:20">
      <c r="B3" s="289">
        <f>+'Introducción de datos'!G8</f>
        <v>0</v>
      </c>
      <c r="C3" s="565">
        <f>+'Introducción de datos'!I8</f>
        <v>0</v>
      </c>
      <c r="D3" s="565"/>
      <c r="E3" s="566"/>
      <c r="F3" s="566"/>
      <c r="G3" s="566"/>
      <c r="H3" s="566"/>
      <c r="I3" s="567" t="str">
        <f>+'Introducción de datos'!B16</f>
        <v>Periodo:</v>
      </c>
      <c r="J3" s="567"/>
      <c r="K3" s="290" t="str">
        <f>+'Introducción de datos'!C16</f>
        <v>P2</v>
      </c>
      <c r="L3" s="283"/>
    </row>
    <row r="4" spans="2:20">
      <c r="B4" s="289" t="str">
        <f>+'Introducción de datos'!B12</f>
        <v>Ultima calificación:</v>
      </c>
      <c r="C4" s="570" t="str">
        <f>+'Introducción de datos'!C12</f>
        <v>A2</v>
      </c>
      <c r="D4" s="570"/>
      <c r="E4" s="566" t="str">
        <f>+'Introducción de datos'!C8</f>
        <v xml:space="preserve">Ministerio de Salud </v>
      </c>
      <c r="F4" s="566"/>
      <c r="G4" s="566"/>
      <c r="H4" s="566"/>
      <c r="I4" s="567" t="str">
        <f>+'Introducción de datos'!D16</f>
        <v>Desde:</v>
      </c>
      <c r="J4" s="567"/>
      <c r="K4" s="291">
        <f>+'Introducción de datos'!E16</f>
        <v>43831</v>
      </c>
    </row>
    <row r="5" spans="2:20" ht="18.75" customHeight="1">
      <c r="B5" s="289"/>
      <c r="C5" s="289"/>
      <c r="D5" s="571" t="str">
        <f>+'Introducción de datos'!G4</f>
        <v>Financiamiento al PENM TB 2017 - 2021</v>
      </c>
      <c r="E5" s="571"/>
      <c r="F5" s="571"/>
      <c r="G5" s="571"/>
      <c r="H5" s="571"/>
      <c r="I5" s="571"/>
      <c r="J5" s="289" t="str">
        <f>+'Introducción de datos'!F16</f>
        <v>Hasta:</v>
      </c>
      <c r="K5" s="291">
        <f>+'Introducción de datos'!G16</f>
        <v>44196</v>
      </c>
    </row>
    <row r="6" spans="2:20" ht="18.75">
      <c r="B6" s="67"/>
      <c r="C6" s="289"/>
      <c r="D6" s="292"/>
      <c r="E6" s="568" t="s">
        <v>193</v>
      </c>
      <c r="F6" s="568"/>
      <c r="G6" s="568"/>
      <c r="H6" s="568"/>
    </row>
    <row r="7" spans="2:20" ht="10.5" customHeight="1">
      <c r="B7" s="67"/>
      <c r="C7" s="289"/>
      <c r="D7" s="292"/>
      <c r="E7" s="293"/>
      <c r="F7" s="293"/>
      <c r="G7" s="293"/>
      <c r="H7" s="293"/>
      <c r="I7" s="294"/>
      <c r="J7" s="294"/>
      <c r="K7" s="295"/>
    </row>
    <row r="8" spans="2:20">
      <c r="B8" s="296" t="str">
        <f>+'Introducción de datos'!B27&amp;" - en ("&amp;'Introducción de datos'!D26&amp;")         "&amp;+I3&amp;" "&amp;+K3</f>
        <v>F1: Presupuesto y desembolsos del Fondo Mundial - en ($)         Periodo: P2</v>
      </c>
      <c r="C8" s="297"/>
      <c r="H8" s="296" t="str">
        <f>+'Introducción de datos'!B51&amp;" - en ("&amp;'Introducción de datos'!D26&amp;")         "&amp;+I3&amp;" "&amp;+K3</f>
        <v>F3: Desembolsos y gastos - en ($)         Periodo: P2</v>
      </c>
      <c r="N8" s="296" t="str">
        <f>+'Introducción de datos'!B59&amp;" - en ("&amp;'Introducción de datos'!D26&amp;")         "&amp;+I3&amp;" "&amp;+K3</f>
        <v>F3a: Detalles Desembolsos y gastos - en ($)         Periodo: P2</v>
      </c>
    </row>
    <row r="9" spans="2:20" ht="81" customHeight="1">
      <c r="B9" s="298" t="s">
        <v>194</v>
      </c>
      <c r="C9" s="569" t="s">
        <v>354</v>
      </c>
      <c r="D9" s="569"/>
      <c r="E9" s="569"/>
      <c r="F9" s="569"/>
      <c r="H9" s="299" t="s">
        <v>194</v>
      </c>
      <c r="I9" s="659" t="s">
        <v>352</v>
      </c>
      <c r="J9" s="659"/>
      <c r="K9" s="659"/>
      <c r="L9" s="659"/>
      <c r="M9" s="659"/>
      <c r="N9" s="300" t="s">
        <v>194</v>
      </c>
      <c r="O9" s="660" t="s">
        <v>353</v>
      </c>
      <c r="P9" s="660"/>
      <c r="Q9" s="660"/>
      <c r="R9" s="660"/>
      <c r="S9" s="660"/>
      <c r="T9" s="660"/>
    </row>
    <row r="15" spans="2:20">
      <c r="M15" s="266" t="s">
        <v>195</v>
      </c>
    </row>
    <row r="16" spans="2:20">
      <c r="M16" s="266" t="s">
        <v>196</v>
      </c>
    </row>
    <row r="21" spans="2:20" ht="24" customHeight="1"/>
    <row r="22" spans="2:20" ht="23.25" customHeight="1">
      <c r="B22" s="301" t="str">
        <f>+'Introducción de datos'!B36&amp;" - en ("&amp;'Introducción de datos'!D26&amp;")  "&amp;+I3&amp;" "&amp;+K3</f>
        <v>F2: Presupuesto y gastos reales por estrategias de la subvención anual - en ($)  Periodo: P2</v>
      </c>
    </row>
    <row r="23" spans="2:20" ht="93" customHeight="1">
      <c r="B23" s="299" t="s">
        <v>197</v>
      </c>
      <c r="C23" s="569" t="s">
        <v>355</v>
      </c>
      <c r="D23" s="569"/>
      <c r="E23" s="569"/>
      <c r="F23" s="569"/>
      <c r="G23" s="302"/>
    </row>
    <row r="24" spans="2:20" ht="15.75" customHeight="1">
      <c r="B24" s="303"/>
      <c r="C24" s="303"/>
      <c r="D24" s="303"/>
      <c r="E24" s="303"/>
      <c r="F24" s="303"/>
      <c r="G24" s="303"/>
      <c r="H24" s="303"/>
      <c r="I24" s="303"/>
      <c r="J24" s="303"/>
      <c r="K24" s="303"/>
      <c r="O24" s="301" t="str">
        <f>+'Introducción de datos'!B69&amp;"   "&amp;+I3&amp;" "&amp;+K3</f>
        <v>F4: Último ciclo de información y desembolso del RP   Periodo: P2</v>
      </c>
    </row>
    <row r="25" spans="2:20" ht="29.25" customHeight="1">
      <c r="G25" s="304"/>
      <c r="O25" s="299" t="s">
        <v>194</v>
      </c>
      <c r="P25" s="652" t="s">
        <v>198</v>
      </c>
      <c r="Q25" s="653"/>
      <c r="R25" s="653"/>
      <c r="S25" s="653"/>
      <c r="T25" s="653"/>
    </row>
    <row r="26" spans="2:20" ht="15.75" thickBot="1"/>
    <row r="27" spans="2:20" ht="29.25" customHeight="1" thickBot="1">
      <c r="G27" s="307"/>
      <c r="O27" s="656" t="s">
        <v>199</v>
      </c>
      <c r="P27" s="657"/>
      <c r="Q27" s="657"/>
      <c r="R27" s="658"/>
    </row>
    <row r="28" spans="2:20" ht="21" customHeight="1">
      <c r="G28" s="307"/>
      <c r="O28" s="654"/>
      <c r="P28" s="655"/>
      <c r="Q28" s="305" t="s">
        <v>115</v>
      </c>
      <c r="R28" s="306" t="s">
        <v>116</v>
      </c>
    </row>
    <row r="29" spans="2:20" ht="21" customHeight="1" thickBot="1">
      <c r="G29" s="307"/>
      <c r="O29" s="572" t="str">
        <f>'Introducción de datos'!B73</f>
        <v>Días tardados en presentar el informe de progreso actualizado y solicitud de desembolso al ALF</v>
      </c>
      <c r="P29" s="572"/>
      <c r="Q29" s="308">
        <f>+'Introducción de datos'!C73</f>
        <v>45</v>
      </c>
      <c r="R29" s="309">
        <f>+'Introducción de datos'!D73</f>
        <v>45</v>
      </c>
    </row>
    <row r="30" spans="2:20" ht="15.75" thickBot="1">
      <c r="O30" s="572" t="str">
        <f>'Introducción de datos'!B74</f>
        <v>Días que el desembolso ha tardado en llegar al RP</v>
      </c>
      <c r="P30" s="572"/>
      <c r="Q30" s="308">
        <f>+'Introducción de datos'!C74</f>
        <v>45</v>
      </c>
      <c r="R30" s="310">
        <f>+'Introducción de datos'!D74</f>
        <v>27</v>
      </c>
    </row>
    <row r="31" spans="2:20" ht="15.75" thickBot="1">
      <c r="D31" s="297"/>
      <c r="O31" s="573" t="str">
        <f>'Introducción de datos'!B75</f>
        <v>Días que el desembolso ha tardado en llegar a los agentes de compra</v>
      </c>
      <c r="P31" s="573"/>
      <c r="Q31" s="311">
        <f>+'Introducción de datos'!C75</f>
        <v>0</v>
      </c>
      <c r="R31" s="310">
        <f>+'Introducción de datos'!D75</f>
        <v>0</v>
      </c>
    </row>
    <row r="32" spans="2:20">
      <c r="C32" s="266" t="s">
        <v>89</v>
      </c>
      <c r="D32" s="297"/>
    </row>
    <row r="33" spans="3:3">
      <c r="C33" s="266" t="s">
        <v>155</v>
      </c>
    </row>
  </sheetData>
  <sheetProtection selectLockedCells="1" selectUnlockedCells="1"/>
  <mergeCells count="19">
    <mergeCell ref="P25:T25"/>
    <mergeCell ref="O29:P29"/>
    <mergeCell ref="O30:P30"/>
    <mergeCell ref="O31:P31"/>
    <mergeCell ref="C23:F23"/>
    <mergeCell ref="O27:R27"/>
    <mergeCell ref="O28:P28"/>
    <mergeCell ref="C9:F9"/>
    <mergeCell ref="I9:M9"/>
    <mergeCell ref="O9:T9"/>
    <mergeCell ref="C4:D4"/>
    <mergeCell ref="E4:H4"/>
    <mergeCell ref="I4:J4"/>
    <mergeCell ref="D5:I5"/>
    <mergeCell ref="B2:K2"/>
    <mergeCell ref="C3:D3"/>
    <mergeCell ref="E3:H3"/>
    <mergeCell ref="I3:J3"/>
    <mergeCell ref="E6:H6"/>
  </mergeCells>
  <phoneticPr fontId="68" type="noConversion"/>
  <conditionalFormatting sqref="R29:R31">
    <cfRule type="cellIs" dxfId="27" priority="1" stopIfTrue="1" operator="equal">
      <formula>0</formula>
    </cfRule>
  </conditionalFormatting>
  <conditionalFormatting sqref="C4:D4">
    <cfRule type="cellIs" dxfId="26" priority="2" stopIfTrue="1" operator="equal">
      <formula>"C"</formula>
    </cfRule>
    <cfRule type="cellIs" dxfId="25" priority="3" stopIfTrue="1" operator="equal">
      <formula>"B2"</formula>
    </cfRule>
    <cfRule type="cellIs" dxfId="24" priority="4" stopIfTrue="1" operator="equal">
      <formula>"B1"</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r:id="rId1"/>
  <headerFooter alignWithMargins="0">
    <oddFooter>&amp;L&amp;F&amp;C&amp;A&amp;R&amp;D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7"/>
  </sheetPr>
  <dimension ref="A1:P34"/>
  <sheetViews>
    <sheetView showGridLines="0" workbookViewId="0">
      <selection activeCell="C4" sqref="C4:D4"/>
    </sheetView>
  </sheetViews>
  <sheetFormatPr baseColWidth="10" defaultColWidth="10.7109375" defaultRowHeight="15"/>
  <cols>
    <col min="1" max="1" width="3.42578125" customWidth="1"/>
    <col min="2" max="2" width="14.42578125" customWidth="1"/>
    <col min="3" max="3" width="12.42578125" customWidth="1"/>
    <col min="4" max="4" width="13.140625" customWidth="1"/>
    <col min="5" max="5" width="11.42578125" customWidth="1"/>
    <col min="6" max="6" width="11.85546875" customWidth="1"/>
    <col min="7" max="7" width="18.5703125" customWidth="1"/>
    <col min="8" max="8" width="11.42578125" customWidth="1"/>
    <col min="9" max="9" width="14.42578125" customWidth="1"/>
    <col min="10" max="10" width="15.140625" customWidth="1"/>
    <col min="11" max="11" width="15.42578125" customWidth="1"/>
    <col min="12" max="12" width="15.5703125" customWidth="1"/>
  </cols>
  <sheetData>
    <row r="1" spans="1:16" ht="28.5" customHeight="1">
      <c r="C1" s="187"/>
      <c r="E1" s="187"/>
    </row>
    <row r="2" spans="1:16" ht="27.75" customHeight="1">
      <c r="B2" s="574" t="str">
        <f>+"Cuadro de mando:  "&amp;"  "&amp;+'Introducción de datos'!C4&amp;" - "&amp;'Introducción de datos'!G6</f>
        <v>Cuadro de mando:    El Salvador - TB</v>
      </c>
      <c r="C2" s="574"/>
      <c r="D2" s="574"/>
      <c r="E2" s="574"/>
      <c r="F2" s="574"/>
      <c r="G2" s="574"/>
      <c r="H2" s="574"/>
      <c r="I2" s="574"/>
      <c r="J2" s="574"/>
      <c r="K2" s="574"/>
      <c r="L2" s="574"/>
      <c r="M2" s="312"/>
      <c r="N2" s="312"/>
      <c r="O2" s="312"/>
      <c r="P2" s="312"/>
    </row>
    <row r="3" spans="1:16">
      <c r="B3" s="289">
        <f>+'Introducción de datos'!G8</f>
        <v>0</v>
      </c>
      <c r="C3" s="565">
        <f>+'Introducción de datos'!I8</f>
        <v>0</v>
      </c>
      <c r="D3" s="565"/>
      <c r="E3" s="566"/>
      <c r="F3" s="566"/>
      <c r="G3" s="566"/>
      <c r="H3" s="566"/>
      <c r="I3" s="566"/>
      <c r="J3" s="567" t="str">
        <f>+'Introducción de datos'!B16</f>
        <v>Periodo:</v>
      </c>
      <c r="K3" s="567"/>
      <c r="L3" s="290" t="str">
        <f>+'Introducción de datos'!C16</f>
        <v>P2</v>
      </c>
    </row>
    <row r="4" spans="1:16">
      <c r="B4" s="289" t="str">
        <f>+'Introducción de datos'!B12</f>
        <v>Ultima calificación:</v>
      </c>
      <c r="C4" s="570" t="str">
        <f>+'Introducción de datos'!C12</f>
        <v>A2</v>
      </c>
      <c r="D4" s="570"/>
      <c r="E4" s="566" t="str">
        <f>+'Introducción de datos'!C8</f>
        <v xml:space="preserve">Ministerio de Salud </v>
      </c>
      <c r="F4" s="566"/>
      <c r="G4" s="566"/>
      <c r="H4" s="566"/>
      <c r="I4" s="566"/>
      <c r="J4" s="567" t="str">
        <f>+'Introducción de datos'!D16</f>
        <v>Desde:</v>
      </c>
      <c r="K4" s="567"/>
      <c r="L4" s="291">
        <f>+'Introducción de datos'!E16</f>
        <v>43831</v>
      </c>
    </row>
    <row r="5" spans="1:16" ht="18.75" customHeight="1">
      <c r="B5" s="289"/>
      <c r="C5" s="289"/>
      <c r="D5" s="566" t="str">
        <f>+'Introducción de datos'!G4</f>
        <v>Financiamiento al PENM TB 2017 - 2021</v>
      </c>
      <c r="E5" s="566"/>
      <c r="F5" s="566"/>
      <c r="G5" s="566"/>
      <c r="H5" s="566"/>
      <c r="I5" s="566"/>
      <c r="J5" s="566"/>
      <c r="K5" s="289" t="str">
        <f>+'Introducción de datos'!F16</f>
        <v>Hasta:</v>
      </c>
      <c r="L5" s="291">
        <f>+'Introducción de datos'!G16</f>
        <v>44196</v>
      </c>
    </row>
    <row r="6" spans="1:16" ht="18.75">
      <c r="B6" s="67"/>
      <c r="C6" s="289"/>
      <c r="D6" s="292"/>
      <c r="E6" s="568" t="s">
        <v>16</v>
      </c>
      <c r="F6" s="568"/>
      <c r="G6" s="568"/>
      <c r="H6" s="568"/>
      <c r="I6" s="568"/>
    </row>
    <row r="7" spans="1:16">
      <c r="B7" s="301" t="str">
        <f>+'Introducción de datos'!B80&amp;"     "&amp;+J3&amp;" "&amp;+L3</f>
        <v>M1: Estado de las condiciones precedentes y acciones con fecha límite     Periodo: P2</v>
      </c>
      <c r="C7" s="297"/>
      <c r="H7" s="301" t="str">
        <f>+'Introducción de datos'!B87&amp;"         "&amp;+J3&amp;"  "&amp;+L3</f>
        <v>M2: Estado de los principales puestos directivos del RP         Periodo:  P2</v>
      </c>
    </row>
    <row r="8" spans="1:16" ht="28.5" customHeight="1">
      <c r="B8" s="299" t="s">
        <v>194</v>
      </c>
      <c r="C8" s="575" t="s">
        <v>360</v>
      </c>
      <c r="D8" s="575"/>
      <c r="E8" s="575"/>
      <c r="F8" s="575"/>
      <c r="G8" s="313"/>
      <c r="H8" s="299" t="s">
        <v>194</v>
      </c>
      <c r="I8" s="576" t="s">
        <v>361</v>
      </c>
      <c r="J8" s="576"/>
      <c r="K8" s="576"/>
      <c r="L8" s="576"/>
    </row>
    <row r="10" spans="1:16">
      <c r="A10" s="314"/>
      <c r="D10" s="577"/>
      <c r="E10" s="478"/>
      <c r="F10" s="478"/>
      <c r="G10" s="7"/>
      <c r="N10" s="315"/>
      <c r="O10" s="315"/>
      <c r="P10" s="114"/>
    </row>
    <row r="11" spans="1:16">
      <c r="C11" s="138"/>
      <c r="D11" s="577"/>
      <c r="E11" s="138"/>
      <c r="F11" s="138"/>
      <c r="G11" s="138"/>
      <c r="H11" s="138"/>
    </row>
    <row r="12" spans="1:16">
      <c r="B12" s="138"/>
      <c r="C12" s="316"/>
      <c r="D12" s="317"/>
      <c r="E12" s="317"/>
      <c r="F12" s="317"/>
      <c r="G12" s="317"/>
      <c r="H12" s="318"/>
    </row>
    <row r="13" spans="1:16">
      <c r="B13" s="138"/>
      <c r="C13" s="316"/>
      <c r="D13" s="317"/>
      <c r="E13" s="317"/>
      <c r="F13" s="317"/>
      <c r="G13" s="317"/>
      <c r="H13" s="318"/>
    </row>
    <row r="15" spans="1:16" ht="27.75" customHeight="1">
      <c r="B15" s="301" t="str">
        <f>+'Introducción de datos'!B92&amp;"            "&amp;+J3&amp;" "&amp;+L3</f>
        <v>M3: Acuerdos contractuales            Periodo: P2</v>
      </c>
      <c r="H15" s="301" t="str">
        <f>+'Introducción de datos'!B97&amp;"                "&amp;+J3&amp;" "&amp;+L3</f>
        <v>M4: Número de informes completos recibidos a tiempo                Periodo: P2</v>
      </c>
    </row>
    <row r="16" spans="1:16" ht="29.25" customHeight="1">
      <c r="B16" s="299" t="s">
        <v>194</v>
      </c>
      <c r="C16" s="580" t="s">
        <v>200</v>
      </c>
      <c r="D16" s="580"/>
      <c r="E16" s="580"/>
      <c r="F16" s="580"/>
      <c r="G16" s="313"/>
      <c r="H16" s="299" t="s">
        <v>194</v>
      </c>
      <c r="I16" s="580" t="s">
        <v>200</v>
      </c>
      <c r="J16" s="580"/>
      <c r="K16" s="580"/>
      <c r="L16" s="580"/>
    </row>
    <row r="18" spans="2:13">
      <c r="M18" s="283"/>
    </row>
    <row r="25" spans="2:13" ht="22.5" customHeight="1"/>
    <row r="26" spans="2:13">
      <c r="B26" s="301" t="str">
        <f>+'Introducción de datos'!B103</f>
        <v>M5: Presupuesto y compra de productos y equipo sanitario, medicamentos y productos farmacéuticos</v>
      </c>
      <c r="H26" s="301" t="str">
        <f>+'Introducción de datos'!B116&amp;"    "&amp;+J3&amp;"  "&amp;+L3</f>
        <v>M6: Diferencia entre existencias actuales y existencias de seguridad    Periodo:  P2</v>
      </c>
    </row>
    <row r="27" spans="2:13" ht="147.75" customHeight="1">
      <c r="B27" s="299" t="s">
        <v>194</v>
      </c>
      <c r="C27" s="581" t="s">
        <v>201</v>
      </c>
      <c r="D27" s="581"/>
      <c r="E27" s="581"/>
      <c r="F27" s="581"/>
      <c r="G27" s="313"/>
      <c r="H27" s="299" t="s">
        <v>194</v>
      </c>
      <c r="I27" s="576" t="s">
        <v>202</v>
      </c>
      <c r="J27" s="576"/>
      <c r="K27" s="576"/>
      <c r="L27" s="576"/>
      <c r="M27" s="319"/>
    </row>
    <row r="29" spans="2:13" ht="75" customHeight="1">
      <c r="F29" s="320"/>
      <c r="G29" s="320"/>
      <c r="H29" s="321" t="s">
        <v>158</v>
      </c>
      <c r="I29" s="322" t="s">
        <v>159</v>
      </c>
      <c r="J29" s="323" t="s">
        <v>203</v>
      </c>
      <c r="K29" s="323" t="s">
        <v>204</v>
      </c>
      <c r="L29" s="324" t="s">
        <v>205</v>
      </c>
    </row>
    <row r="30" spans="2:13" ht="14.45" customHeight="1">
      <c r="F30" s="320"/>
      <c r="G30" s="320"/>
      <c r="H30" s="578" t="str">
        <f>+'Introducción de datos'!B119</f>
        <v>TB</v>
      </c>
      <c r="I30" s="325" t="str">
        <f>+'Introducción de datos'!C119</f>
        <v>PASER</v>
      </c>
      <c r="J30" s="326" t="str">
        <f>+'Introducción de datos'!I119</f>
        <v/>
      </c>
      <c r="K30" s="327">
        <f>+'Introducción de datos'!J119</f>
        <v>0</v>
      </c>
      <c r="L30" s="328" t="str">
        <f>+'Introducción de datos'!K119</f>
        <v/>
      </c>
    </row>
    <row r="31" spans="2:13" ht="30" customHeight="1">
      <c r="B31" s="579" t="str">
        <f>+'Introducción de datos'!B113</f>
        <v>* Incluye sólo los montos de las categorías 4 y 5 (Productos y equipamientos sanitarios y Medicamentos y productos farmacéuticos) de los  Informes Financieros Mejorados</v>
      </c>
      <c r="C31" s="579"/>
      <c r="D31" s="579"/>
      <c r="E31" s="579"/>
      <c r="H31" s="578"/>
      <c r="I31" s="325" t="str">
        <f>+'Introducción de datos'!C120</f>
        <v>Cicloserina 250mg</v>
      </c>
      <c r="J31" s="326" t="str">
        <f>+'Introducción de datos'!I120</f>
        <v/>
      </c>
      <c r="K31" s="327">
        <f>+'Introducción de datos'!J120</f>
        <v>0</v>
      </c>
      <c r="L31" s="329" t="str">
        <f>+'Introducción de datos'!K120</f>
        <v/>
      </c>
    </row>
    <row r="32" spans="2:13">
      <c r="H32" s="578"/>
      <c r="I32" s="325" t="str">
        <f>+'Introducción de datos'!C121</f>
        <v>Kanamicina 1gr</v>
      </c>
      <c r="J32" s="326" t="str">
        <f>+'Introducción de datos'!I121</f>
        <v/>
      </c>
      <c r="K32" s="327">
        <f>+'Introducción de datos'!J121</f>
        <v>0</v>
      </c>
      <c r="L32" s="328" t="str">
        <f>+'Introducción de datos'!K121</f>
        <v/>
      </c>
    </row>
    <row r="33" spans="8:12">
      <c r="H33" s="578"/>
      <c r="I33" s="325" t="str">
        <f>+'Introducción de datos'!C122</f>
        <v>Etionamida 250mg</v>
      </c>
      <c r="J33" s="326" t="str">
        <f>+'Introducción de datos'!I122</f>
        <v/>
      </c>
      <c r="K33" s="327">
        <f>+'Introducción de datos'!J122</f>
        <v>0</v>
      </c>
      <c r="L33" s="328" t="str">
        <f>+'Introducción de datos'!K122</f>
        <v/>
      </c>
    </row>
    <row r="34" spans="8:12" ht="16.899999999999999" customHeight="1">
      <c r="H34" s="578"/>
      <c r="I34" s="325" t="str">
        <f>+'Introducción de datos'!C123</f>
        <v>Levofloxacina</v>
      </c>
      <c r="J34" s="326" t="str">
        <f>+'Introducción de datos'!I123</f>
        <v/>
      </c>
      <c r="K34" s="327">
        <f>+'Introducción de datos'!J123</f>
        <v>0</v>
      </c>
      <c r="L34" s="328" t="str">
        <f>+'Introducción de datos'!K123</f>
        <v/>
      </c>
    </row>
  </sheetData>
  <sheetProtection selectLockedCells="1" selectUnlockedCells="1"/>
  <mergeCells count="19">
    <mergeCell ref="H30:H34"/>
    <mergeCell ref="B31:E31"/>
    <mergeCell ref="C16:F16"/>
    <mergeCell ref="I16:L16"/>
    <mergeCell ref="C27:F27"/>
    <mergeCell ref="I27:L27"/>
    <mergeCell ref="C8:F8"/>
    <mergeCell ref="I8:L8"/>
    <mergeCell ref="D10:D11"/>
    <mergeCell ref="E10:F10"/>
    <mergeCell ref="C4:D4"/>
    <mergeCell ref="E4:I4"/>
    <mergeCell ref="J4:K4"/>
    <mergeCell ref="D5:J5"/>
    <mergeCell ref="B2:L2"/>
    <mergeCell ref="C3:D3"/>
    <mergeCell ref="E3:I3"/>
    <mergeCell ref="J3:K3"/>
    <mergeCell ref="E6:I6"/>
  </mergeCells>
  <phoneticPr fontId="68" type="noConversion"/>
  <conditionalFormatting sqref="D12:D13">
    <cfRule type="cellIs" dxfId="23" priority="1" stopIfTrue="1" operator="greaterThan">
      <formula>0</formula>
    </cfRule>
  </conditionalFormatting>
  <conditionalFormatting sqref="E12:E13">
    <cfRule type="cellIs" dxfId="22" priority="2" stopIfTrue="1" operator="greaterThan">
      <formula>0</formula>
    </cfRule>
  </conditionalFormatting>
  <conditionalFormatting sqref="F12:G13">
    <cfRule type="cellIs" dxfId="21" priority="3" stopIfTrue="1" operator="greaterThan">
      <formula>0</formula>
    </cfRule>
  </conditionalFormatting>
  <conditionalFormatting sqref="C4:D4">
    <cfRule type="cellIs" dxfId="20" priority="4" stopIfTrue="1" operator="equal">
      <formula>"C"</formula>
    </cfRule>
    <cfRule type="cellIs" dxfId="19" priority="5" stopIfTrue="1" operator="equal">
      <formula>"B2"</formula>
    </cfRule>
    <cfRule type="cellIs" dxfId="18" priority="6" stopIfTrue="1" operator="equal">
      <formula>"B1"</formula>
    </cfRule>
  </conditionalFormatting>
  <conditionalFormatting sqref="L30 L32:L34">
    <cfRule type="cellIs" dxfId="17" priority="7" stopIfTrue="1" operator="lessThan">
      <formula>1</formula>
    </cfRule>
    <cfRule type="cellIs" dxfId="16" priority="8" stopIfTrue="1" operator="between">
      <formula>3</formula>
      <formula>17</formula>
    </cfRule>
    <cfRule type="cellIs" dxfId="15" priority="9" stopIfTrue="1" operator="between">
      <formula>1</formula>
      <formula>3</formula>
    </cfRule>
  </conditionalFormatting>
  <conditionalFormatting sqref="L31">
    <cfRule type="cellIs" dxfId="14" priority="10" stopIfTrue="1" operator="lessThan">
      <formula>1</formula>
    </cfRule>
    <cfRule type="cellIs" dxfId="13" priority="11" stopIfTrue="1" operator="between">
      <formula>3</formula>
      <formula>100</formula>
    </cfRule>
    <cfRule type="cellIs" dxfId="12" priority="12" stopIfTrue="1" operator="between">
      <formula>1</formula>
      <formula>3</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colBreaks count="1" manualBreakCount="1">
    <brk id="12" max="1048575"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27"/>
  </sheetPr>
  <dimension ref="B1:AH24"/>
  <sheetViews>
    <sheetView showGridLines="0" topLeftCell="C23" zoomScaleNormal="100" workbookViewId="0">
      <selection activeCell="L23" sqref="L23:Q23"/>
    </sheetView>
  </sheetViews>
  <sheetFormatPr baseColWidth="10" defaultColWidth="11.5703125" defaultRowHeight="15"/>
  <cols>
    <col min="1" max="1" width="0.42578125" customWidth="1"/>
    <col min="2" max="2" width="17.85546875" customWidth="1"/>
    <col min="3" max="3" width="16.140625" customWidth="1"/>
    <col min="4" max="4" width="17.42578125" customWidth="1"/>
    <col min="5" max="5" width="12.7109375" customWidth="1"/>
    <col min="6" max="6" width="12.28515625" customWidth="1"/>
    <col min="7" max="7" width="8.42578125" customWidth="1"/>
    <col min="8" max="8" width="6.42578125" customWidth="1"/>
    <col min="9" max="9" width="6" customWidth="1"/>
    <col min="10" max="10" width="8" customWidth="1"/>
    <col min="11" max="11" width="11.42578125" customWidth="1"/>
    <col min="12" max="12" width="18" customWidth="1"/>
    <col min="13" max="13" width="19.85546875" customWidth="1"/>
    <col min="14" max="14" width="9.42578125" customWidth="1"/>
    <col min="15" max="15" width="7.42578125" customWidth="1"/>
    <col min="16" max="16" width="15.5703125" customWidth="1"/>
    <col min="17" max="17" width="14.42578125" customWidth="1"/>
  </cols>
  <sheetData>
    <row r="1" spans="2:34" ht="26.25" customHeight="1"/>
    <row r="2" spans="2:34" ht="21.75" customHeight="1">
      <c r="B2" s="574" t="str">
        <f>+"Cuadro de mando:  "&amp;"  "&amp;+'Introducción de datos'!C4&amp;" - "&amp;'Introducción de datos'!G6</f>
        <v>Cuadro de mando:    El Salvador - TB</v>
      </c>
      <c r="C2" s="574"/>
      <c r="D2" s="574"/>
      <c r="E2" s="574"/>
      <c r="F2" s="574"/>
      <c r="G2" s="574"/>
      <c r="H2" s="574"/>
      <c r="I2" s="574"/>
      <c r="J2" s="574"/>
      <c r="K2" s="574"/>
      <c r="L2" s="574"/>
      <c r="M2" s="574"/>
      <c r="N2" s="574"/>
      <c r="O2" s="574"/>
      <c r="P2" s="574"/>
      <c r="Q2" s="574"/>
    </row>
    <row r="3" spans="2:34">
      <c r="B3" s="289">
        <f>+'Introducción de datos'!G8</f>
        <v>0</v>
      </c>
      <c r="C3" s="565">
        <f>+'Introducción de datos'!I8</f>
        <v>0</v>
      </c>
      <c r="D3" s="565"/>
      <c r="E3" s="566"/>
      <c r="F3" s="566"/>
      <c r="G3" s="566"/>
      <c r="H3" s="566"/>
      <c r="I3" s="566"/>
      <c r="J3" s="566"/>
      <c r="K3" s="566"/>
      <c r="O3" s="567" t="str">
        <f>+'Introducción de datos'!B16</f>
        <v>Periodo:</v>
      </c>
      <c r="P3" s="567"/>
      <c r="Q3" s="290" t="str">
        <f>+'Introducción de datos'!C16</f>
        <v>P2</v>
      </c>
    </row>
    <row r="4" spans="2:34" ht="12" customHeight="1">
      <c r="B4" s="289" t="str">
        <f>+'Introducción de datos'!B12</f>
        <v>Ultima calificación:</v>
      </c>
      <c r="C4" s="582" t="str">
        <f>+'Introducción de datos'!C12</f>
        <v>A2</v>
      </c>
      <c r="D4" s="582"/>
      <c r="E4" s="566" t="str">
        <f>+'Introducción de datos'!C8</f>
        <v xml:space="preserve">Ministerio de Salud </v>
      </c>
      <c r="F4" s="566"/>
      <c r="G4" s="566"/>
      <c r="H4" s="566"/>
      <c r="I4" s="566"/>
      <c r="J4" s="566"/>
      <c r="K4" s="566"/>
      <c r="L4" s="566"/>
      <c r="O4" s="67"/>
      <c r="P4" s="289" t="str">
        <f>+'Introducción de datos'!D16</f>
        <v>Desde:</v>
      </c>
      <c r="Q4" s="330">
        <f>+'Introducción de datos'!E16</f>
        <v>43831</v>
      </c>
      <c r="X4" s="266"/>
      <c r="Y4" s="266"/>
      <c r="Z4" s="266"/>
      <c r="AA4" s="266"/>
      <c r="AB4" s="266"/>
    </row>
    <row r="5" spans="2:34" ht="20.45" customHeight="1">
      <c r="B5" s="289"/>
      <c r="C5" s="289"/>
      <c r="D5" s="566" t="str">
        <f>+'Introducción de datos'!G4</f>
        <v>Financiamiento al PENM TB 2017 - 2021</v>
      </c>
      <c r="E5" s="566"/>
      <c r="F5" s="566"/>
      <c r="G5" s="566"/>
      <c r="H5" s="566"/>
      <c r="I5" s="566"/>
      <c r="J5" s="566"/>
      <c r="K5" s="566"/>
      <c r="L5" s="566"/>
      <c r="M5" s="566"/>
      <c r="N5" s="566"/>
      <c r="P5" s="289" t="str">
        <f>+'Introducción de datos'!F16</f>
        <v>Hasta:</v>
      </c>
      <c r="Q5" s="330">
        <f>+'Introducción de datos'!G16</f>
        <v>44196</v>
      </c>
      <c r="R5" s="331"/>
      <c r="S5" s="331"/>
      <c r="T5" s="331"/>
      <c r="U5" s="331"/>
      <c r="V5" s="331"/>
      <c r="W5" s="331"/>
      <c r="X5" s="266"/>
      <c r="Y5" s="266"/>
      <c r="Z5" s="266" t="s">
        <v>206</v>
      </c>
      <c r="AA5" s="266"/>
      <c r="AB5" s="266" t="s">
        <v>207</v>
      </c>
      <c r="AC5" s="331"/>
      <c r="AD5" s="331"/>
      <c r="AE5" s="331"/>
      <c r="AF5" s="331"/>
      <c r="AG5" s="331"/>
      <c r="AH5" s="331"/>
    </row>
    <row r="6" spans="2:34" ht="64.150000000000006" customHeight="1">
      <c r="B6" s="289"/>
      <c r="C6" s="289"/>
      <c r="D6" s="332"/>
      <c r="E6" s="332"/>
      <c r="F6" s="583" t="s">
        <v>208</v>
      </c>
      <c r="G6" s="583"/>
      <c r="H6" s="583"/>
      <c r="I6" s="583"/>
      <c r="J6" s="583"/>
      <c r="K6" s="583"/>
      <c r="L6" s="332"/>
      <c r="O6" s="333"/>
      <c r="P6" s="334"/>
      <c r="R6" s="331"/>
      <c r="S6" s="331"/>
      <c r="T6" s="331"/>
      <c r="U6" s="331"/>
      <c r="V6" s="331"/>
      <c r="W6" s="331"/>
      <c r="X6" s="266"/>
      <c r="Y6" s="266"/>
      <c r="Z6" s="266"/>
      <c r="AA6" s="266"/>
      <c r="AB6" s="266"/>
      <c r="AC6" s="331"/>
      <c r="AD6" s="331"/>
      <c r="AE6" s="331"/>
      <c r="AF6" s="331"/>
      <c r="AG6" s="331"/>
      <c r="AH6" s="331"/>
    </row>
    <row r="7" spans="2:34" ht="3" customHeight="1">
      <c r="B7" s="289"/>
      <c r="C7" s="289"/>
      <c r="D7" s="332"/>
      <c r="E7" s="332"/>
      <c r="F7" s="332"/>
      <c r="G7" s="332"/>
      <c r="H7" s="332"/>
      <c r="I7" s="332"/>
      <c r="J7" s="332"/>
      <c r="K7" s="332"/>
      <c r="L7" s="332"/>
      <c r="O7" s="333"/>
      <c r="P7" s="291"/>
      <c r="Q7" s="291"/>
      <c r="R7" s="331"/>
      <c r="S7" s="331"/>
      <c r="T7" s="331"/>
      <c r="U7" s="331"/>
      <c r="V7" s="331"/>
      <c r="W7" s="331"/>
      <c r="X7" s="266"/>
      <c r="Y7" s="266"/>
      <c r="Z7" s="266"/>
      <c r="AA7" s="266"/>
      <c r="AB7" s="266"/>
      <c r="AC7" s="331"/>
      <c r="AD7" s="331"/>
      <c r="AE7" s="331"/>
      <c r="AF7" s="331"/>
      <c r="AG7" s="331"/>
      <c r="AH7" s="331"/>
    </row>
    <row r="8" spans="2:34" ht="63.75" customHeight="1">
      <c r="B8" s="584" t="str">
        <f>+'Introducción de datos'!B131</f>
        <v>MDR TB-6: Porcentaje de casos de TB con resultados de PSD por lo menos para Rifampicina, entre el número total de casos notificados (nuevos y previamente tratados) en el mismo año</v>
      </c>
      <c r="C8" s="584"/>
      <c r="D8" s="584"/>
      <c r="E8" s="584"/>
      <c r="F8" s="584" t="str">
        <f>+'Introducción de datos'!B133</f>
        <v>MDR TB-3(M): Número de casos TB-RR y/o TB-MDR que iniciaron tratamiento con drogas de segunda línea</v>
      </c>
      <c r="G8" s="584"/>
      <c r="H8" s="584"/>
      <c r="I8" s="584"/>
      <c r="J8" s="584"/>
      <c r="K8" s="584"/>
      <c r="L8" s="584" t="str">
        <f>+'Introducción de datos'!B135</f>
        <v>TCP-6a: Número de casos de TB (todas las formas) notificados entre los privados de libertad</v>
      </c>
      <c r="M8" s="584"/>
      <c r="N8" s="584"/>
      <c r="O8" s="584"/>
      <c r="P8" s="584"/>
      <c r="Q8" s="584"/>
      <c r="R8" s="331"/>
      <c r="S8" s="331"/>
      <c r="T8" s="331"/>
      <c r="U8" s="331"/>
      <c r="V8" s="331"/>
      <c r="W8" s="331"/>
      <c r="X8" s="266"/>
      <c r="Y8" s="266"/>
      <c r="Z8" s="266"/>
      <c r="AA8" s="266"/>
      <c r="AB8" s="266"/>
      <c r="AC8" s="331"/>
      <c r="AD8" s="331"/>
      <c r="AE8" s="331"/>
      <c r="AF8" s="331"/>
      <c r="AG8" s="331"/>
      <c r="AH8" s="331"/>
    </row>
    <row r="9" spans="2:34" ht="73.5" customHeight="1">
      <c r="B9" s="335" t="s">
        <v>209</v>
      </c>
      <c r="C9" s="585" t="s">
        <v>364</v>
      </c>
      <c r="D9" s="585"/>
      <c r="E9" s="585"/>
      <c r="F9" s="335" t="s">
        <v>209</v>
      </c>
      <c r="G9" s="585" t="s">
        <v>365</v>
      </c>
      <c r="H9" s="585"/>
      <c r="I9" s="585"/>
      <c r="J9" s="585"/>
      <c r="K9" s="585"/>
      <c r="L9" s="335" t="s">
        <v>209</v>
      </c>
      <c r="M9" s="586" t="s">
        <v>366</v>
      </c>
      <c r="N9" s="576"/>
      <c r="O9" s="576"/>
      <c r="P9" s="576"/>
      <c r="Q9" s="576"/>
      <c r="R9" s="331"/>
      <c r="S9" s="331"/>
      <c r="T9" s="331"/>
      <c r="U9" s="331"/>
      <c r="V9" s="331"/>
      <c r="W9" s="331"/>
      <c r="X9" s="331"/>
      <c r="Y9" s="331"/>
      <c r="Z9" s="331"/>
      <c r="AA9" s="331"/>
      <c r="AB9" s="331"/>
      <c r="AC9" s="331"/>
      <c r="AD9" s="331"/>
      <c r="AE9" s="331"/>
      <c r="AF9" s="331"/>
      <c r="AG9" s="331"/>
      <c r="AH9" s="331"/>
    </row>
    <row r="10" spans="2:34" ht="9" customHeight="1">
      <c r="B10" s="289"/>
      <c r="C10" s="289"/>
      <c r="D10" s="332"/>
      <c r="E10" s="332"/>
      <c r="F10" s="332"/>
      <c r="G10" s="332"/>
      <c r="H10" s="332"/>
      <c r="I10" s="332"/>
      <c r="J10" s="332"/>
      <c r="K10" s="332"/>
      <c r="L10" s="332"/>
      <c r="O10" s="333"/>
      <c r="P10" s="291"/>
      <c r="R10" s="331"/>
      <c r="S10" s="331"/>
      <c r="T10" s="331"/>
      <c r="U10" s="331"/>
      <c r="V10" s="331"/>
      <c r="W10" s="331"/>
      <c r="X10" s="331"/>
      <c r="Y10" s="331"/>
      <c r="Z10" s="331"/>
      <c r="AA10" s="331"/>
      <c r="AB10" s="331"/>
      <c r="AC10" s="331"/>
      <c r="AD10" s="331"/>
      <c r="AE10" s="331"/>
      <c r="AF10" s="331"/>
      <c r="AG10" s="331"/>
      <c r="AH10" s="331"/>
    </row>
    <row r="11" spans="2:34" ht="7.9" customHeight="1">
      <c r="B11" s="289"/>
      <c r="C11" s="289"/>
      <c r="D11" s="332"/>
      <c r="E11" s="332"/>
      <c r="F11" s="332"/>
      <c r="G11" s="332"/>
      <c r="H11" s="332"/>
      <c r="I11" s="332"/>
      <c r="J11" s="332"/>
      <c r="K11" s="332"/>
      <c r="L11" s="332"/>
      <c r="O11" s="333"/>
      <c r="P11" s="291"/>
      <c r="R11" s="331"/>
      <c r="S11" s="331"/>
      <c r="T11" s="331"/>
      <c r="U11" s="331"/>
      <c r="V11" s="331"/>
      <c r="W11" s="331"/>
      <c r="X11" s="331"/>
      <c r="Y11" s="331"/>
      <c r="Z11" s="331"/>
      <c r="AA11" s="331"/>
      <c r="AB11" s="331"/>
      <c r="AC11" s="331"/>
      <c r="AD11" s="331"/>
      <c r="AE11" s="331"/>
      <c r="AF11" s="331"/>
      <c r="AG11" s="331"/>
      <c r="AH11" s="331"/>
    </row>
    <row r="12" spans="2:34" ht="30.75" customHeight="1">
      <c r="B12" s="289"/>
      <c r="C12" s="289"/>
      <c r="D12" s="332"/>
      <c r="E12" s="332"/>
      <c r="F12" s="332"/>
      <c r="G12" s="332"/>
      <c r="H12" s="332"/>
      <c r="I12" s="332"/>
      <c r="J12" s="332"/>
      <c r="K12" s="332"/>
      <c r="L12" s="332"/>
      <c r="O12" s="333"/>
      <c r="P12" s="291"/>
      <c r="R12" s="331"/>
      <c r="S12" s="331"/>
      <c r="T12" s="331"/>
      <c r="U12" s="331"/>
      <c r="V12" s="331"/>
      <c r="W12" s="331"/>
      <c r="X12" s="331"/>
      <c r="Y12" s="331"/>
      <c r="Z12" s="331"/>
      <c r="AA12" s="331"/>
      <c r="AB12" s="331"/>
      <c r="AC12" s="331"/>
      <c r="AD12" s="331"/>
      <c r="AE12" s="331"/>
      <c r="AF12" s="331"/>
      <c r="AG12" s="331"/>
      <c r="AH12" s="331"/>
    </row>
    <row r="13" spans="2:34" ht="18.75" customHeight="1">
      <c r="B13" s="289"/>
      <c r="C13" s="289"/>
      <c r="D13" s="332"/>
      <c r="E13" s="332"/>
      <c r="F13" s="332"/>
      <c r="G13" s="332"/>
      <c r="H13" s="332"/>
      <c r="I13" s="332"/>
      <c r="J13" s="332"/>
      <c r="K13" s="332"/>
      <c r="L13" s="332"/>
      <c r="O13" s="333"/>
      <c r="P13" s="291"/>
      <c r="R13" s="331"/>
      <c r="S13" s="331"/>
      <c r="T13" s="331"/>
      <c r="U13" s="331"/>
      <c r="V13" s="331"/>
      <c r="W13" s="331"/>
      <c r="X13" s="331"/>
      <c r="Y13" s="331"/>
      <c r="Z13" s="331"/>
      <c r="AA13" s="331"/>
      <c r="AB13" s="331"/>
      <c r="AC13" s="331"/>
      <c r="AD13" s="331"/>
      <c r="AE13" s="331"/>
      <c r="AF13" s="331"/>
      <c r="AG13" s="331"/>
      <c r="AH13" s="331"/>
    </row>
    <row r="14" spans="2:34" ht="34.5" customHeight="1">
      <c r="B14" s="289"/>
      <c r="C14" s="289"/>
      <c r="D14" s="332"/>
      <c r="E14" s="332"/>
      <c r="F14" s="332"/>
      <c r="G14" s="332"/>
      <c r="H14" s="332"/>
      <c r="I14" s="332"/>
      <c r="J14" s="332"/>
      <c r="K14" s="332"/>
      <c r="L14" s="332"/>
      <c r="O14" s="333"/>
      <c r="P14" s="291"/>
      <c r="R14" s="331"/>
      <c r="S14" s="331"/>
      <c r="T14" s="331"/>
      <c r="U14" s="331"/>
      <c r="V14" s="331"/>
      <c r="W14" s="331"/>
      <c r="X14" s="331"/>
      <c r="Y14" s="331"/>
      <c r="Z14" s="331"/>
      <c r="AA14" s="331"/>
      <c r="AB14" s="331"/>
      <c r="AC14" s="331"/>
      <c r="AD14" s="331"/>
      <c r="AE14" s="331"/>
      <c r="AF14" s="331"/>
      <c r="AG14" s="331"/>
      <c r="AH14" s="331"/>
    </row>
    <row r="15" spans="2:34" ht="21" customHeight="1">
      <c r="B15" s="289"/>
      <c r="C15" s="289"/>
      <c r="D15" s="332"/>
      <c r="E15" s="332"/>
      <c r="F15" s="332"/>
      <c r="G15" s="332"/>
      <c r="H15" s="332"/>
      <c r="I15" s="332"/>
      <c r="J15" s="332"/>
      <c r="K15" s="332"/>
      <c r="L15" s="332"/>
      <c r="O15" s="333"/>
      <c r="P15" s="291"/>
      <c r="R15" s="331"/>
      <c r="S15" s="331"/>
      <c r="T15" s="331"/>
      <c r="U15" s="331"/>
      <c r="V15" s="331"/>
      <c r="W15" s="331"/>
      <c r="X15" s="331"/>
      <c r="Y15" s="331"/>
      <c r="Z15" s="331"/>
      <c r="AA15" s="331"/>
      <c r="AB15" s="331"/>
      <c r="AC15" s="331"/>
      <c r="AD15" s="331"/>
      <c r="AE15" s="331"/>
      <c r="AF15" s="331"/>
      <c r="AG15" s="331"/>
      <c r="AH15" s="331"/>
    </row>
    <row r="16" spans="2:34" ht="18" customHeight="1">
      <c r="B16" s="289"/>
      <c r="C16" s="289"/>
      <c r="D16" s="332"/>
      <c r="E16" s="332"/>
      <c r="F16" s="332"/>
      <c r="G16" s="332"/>
      <c r="H16" s="332"/>
      <c r="I16" s="332"/>
      <c r="J16" s="332"/>
      <c r="K16" s="332"/>
      <c r="L16" s="332"/>
      <c r="O16" s="333"/>
      <c r="P16" s="291"/>
      <c r="R16" s="331"/>
      <c r="S16" s="331"/>
      <c r="T16" s="331"/>
      <c r="U16" s="331"/>
      <c r="V16" s="331"/>
      <c r="W16" s="331"/>
      <c r="X16" s="331"/>
      <c r="Y16" s="331"/>
      <c r="Z16" s="331"/>
      <c r="AA16" s="331"/>
      <c r="AB16" s="331"/>
      <c r="AC16" s="331"/>
      <c r="AD16" s="331"/>
      <c r="AE16" s="331"/>
      <c r="AF16" s="331"/>
      <c r="AG16" s="331"/>
      <c r="AH16" s="331"/>
    </row>
    <row r="17" spans="2:34" ht="18.600000000000001" customHeight="1">
      <c r="B17" s="289"/>
      <c r="C17" s="289"/>
      <c r="D17" s="332"/>
      <c r="E17" s="332"/>
      <c r="F17" s="332"/>
      <c r="G17" s="332"/>
      <c r="H17" s="332"/>
      <c r="I17" s="332"/>
      <c r="J17" s="332"/>
      <c r="K17" s="332"/>
      <c r="L17" s="332"/>
      <c r="O17" s="333"/>
      <c r="P17" s="291"/>
      <c r="R17" s="331"/>
      <c r="S17" s="331"/>
      <c r="T17" s="331"/>
      <c r="U17" s="331"/>
      <c r="V17" s="331"/>
      <c r="W17" s="331"/>
      <c r="X17" s="331"/>
      <c r="Y17" s="331"/>
      <c r="Z17" s="331"/>
      <c r="AA17" s="331"/>
      <c r="AB17" s="331"/>
      <c r="AC17" s="331"/>
      <c r="AD17" s="331"/>
      <c r="AE17" s="331"/>
      <c r="AF17" s="331"/>
      <c r="AG17" s="331"/>
      <c r="AH17" s="331"/>
    </row>
    <row r="18" spans="2:34" ht="19.149999999999999" customHeight="1">
      <c r="B18" s="67"/>
      <c r="C18" s="289"/>
      <c r="D18" s="292"/>
      <c r="E18" s="591"/>
      <c r="F18" s="591"/>
      <c r="G18" s="591"/>
      <c r="H18" s="591"/>
      <c r="I18" s="591"/>
      <c r="J18" s="591"/>
      <c r="K18" s="591"/>
      <c r="R18" s="331"/>
      <c r="S18" s="331"/>
      <c r="T18" s="331"/>
      <c r="U18" s="331"/>
      <c r="V18" s="331"/>
      <c r="W18" s="331"/>
      <c r="X18" s="331"/>
      <c r="Y18" s="331"/>
      <c r="Z18" s="331"/>
      <c r="AA18" s="331"/>
      <c r="AB18" s="331"/>
      <c r="AC18" s="331"/>
      <c r="AD18" s="331"/>
      <c r="AE18" s="331"/>
      <c r="AF18" s="331"/>
      <c r="AG18" s="331"/>
      <c r="AH18" s="331"/>
    </row>
    <row r="19" spans="2:34" ht="24" customHeight="1">
      <c r="B19" s="592" t="s">
        <v>210</v>
      </c>
      <c r="C19" s="592"/>
      <c r="D19" s="592"/>
      <c r="E19" s="336" t="s">
        <v>180</v>
      </c>
      <c r="F19" s="336" t="s">
        <v>211</v>
      </c>
      <c r="G19" s="593" t="s">
        <v>212</v>
      </c>
      <c r="H19" s="593"/>
      <c r="I19" s="594" t="s">
        <v>213</v>
      </c>
      <c r="J19" s="594"/>
      <c r="K19" s="337" t="s">
        <v>214</v>
      </c>
      <c r="L19" s="587" t="s">
        <v>215</v>
      </c>
      <c r="M19" s="587"/>
      <c r="N19" s="587"/>
      <c r="O19" s="587"/>
      <c r="P19" s="587"/>
      <c r="Q19" s="587"/>
      <c r="R19" s="338" t="s">
        <v>216</v>
      </c>
      <c r="S19" s="339">
        <v>0</v>
      </c>
      <c r="T19" s="340">
        <v>0.3</v>
      </c>
      <c r="U19" s="340">
        <v>0.6</v>
      </c>
      <c r="V19" s="340">
        <v>0.9</v>
      </c>
      <c r="W19" s="340">
        <v>1</v>
      </c>
      <c r="X19" s="266"/>
      <c r="Y19" s="266"/>
      <c r="Z19" s="341" t="s">
        <v>217</v>
      </c>
      <c r="AA19" s="339">
        <v>0</v>
      </c>
      <c r="AB19" s="340">
        <v>0.2</v>
      </c>
      <c r="AC19" s="340">
        <v>0.4</v>
      </c>
      <c r="AD19" s="340">
        <v>0.6</v>
      </c>
      <c r="AE19" s="340">
        <v>0.8</v>
      </c>
      <c r="AF19" s="266"/>
      <c r="AG19" s="266"/>
      <c r="AH19" s="266"/>
    </row>
    <row r="20" spans="2:34" ht="318" customHeight="1">
      <c r="B20" s="588" t="s">
        <v>356</v>
      </c>
      <c r="C20" s="588"/>
      <c r="D20" s="588"/>
      <c r="E20" s="461">
        <f>'[2]Introducción de datos'!I130</f>
        <v>0.64993000000000001</v>
      </c>
      <c r="F20" s="461">
        <f>'[2]Introducción de datos'!I131</f>
        <v>0.786582</v>
      </c>
      <c r="G20" s="589">
        <f>+IF(ISERROR(F20/E20),0,F20/E20)</f>
        <v>1.2102564891603711</v>
      </c>
      <c r="H20" s="589"/>
      <c r="I20" s="589"/>
      <c r="J20" s="589"/>
      <c r="K20" s="589"/>
      <c r="L20" s="590" t="s">
        <v>367</v>
      </c>
      <c r="M20" s="590"/>
      <c r="N20" s="590"/>
      <c r="O20" s="590"/>
      <c r="P20" s="590"/>
      <c r="Q20" s="590"/>
      <c r="R20" s="338" t="s">
        <v>218</v>
      </c>
      <c r="S20" s="340">
        <v>0.3</v>
      </c>
      <c r="T20" s="340">
        <v>0.6</v>
      </c>
      <c r="U20" s="340">
        <v>0.9</v>
      </c>
      <c r="V20" s="340">
        <v>1</v>
      </c>
      <c r="W20" s="340">
        <v>2</v>
      </c>
      <c r="X20" s="266"/>
      <c r="Y20" s="266"/>
      <c r="Z20" s="341" t="s">
        <v>219</v>
      </c>
      <c r="AA20" s="340">
        <v>0.2</v>
      </c>
      <c r="AB20" s="340">
        <v>0.4</v>
      </c>
      <c r="AC20" s="340">
        <v>0.6</v>
      </c>
      <c r="AD20" s="340">
        <v>0.8</v>
      </c>
      <c r="AE20" s="340">
        <v>1</v>
      </c>
      <c r="AF20" s="266"/>
      <c r="AG20" s="266"/>
      <c r="AH20" s="266"/>
    </row>
    <row r="21" spans="2:34" ht="297" customHeight="1">
      <c r="B21" s="588" t="str">
        <f>+'[2]Introducción de datos'!B132</f>
        <v>MDR TB-3(M): Número de casos TB-RR y/o TB-MDR que iniciaron tratamiento con drogas de segunda línea</v>
      </c>
      <c r="C21" s="588"/>
      <c r="D21" s="588"/>
      <c r="E21" s="462">
        <f>'[2]Introducción de datos'!I132</f>
        <v>35</v>
      </c>
      <c r="F21" s="462">
        <f>'[2]Introducción de datos'!I133</f>
        <v>37</v>
      </c>
      <c r="G21" s="589">
        <f>+IF(ISERROR(F21/E21),0,F21/E21)</f>
        <v>1.0571428571428572</v>
      </c>
      <c r="H21" s="589"/>
      <c r="I21" s="589"/>
      <c r="J21" s="589"/>
      <c r="K21" s="589"/>
      <c r="L21" s="590" t="s">
        <v>368</v>
      </c>
      <c r="M21" s="590"/>
      <c r="N21" s="590"/>
      <c r="O21" s="590"/>
      <c r="P21" s="590"/>
      <c r="Q21" s="590"/>
      <c r="R21" s="342"/>
      <c r="S21" s="343" t="str">
        <f>"de "&amp;S19&amp;" a "&amp;S20</f>
        <v>de 0 a 0.3</v>
      </c>
      <c r="T21" s="343"/>
      <c r="U21" s="343" t="str">
        <f>"de "&amp;U19&amp;" a "&amp;U20</f>
        <v>de 0.6 a 0.9</v>
      </c>
      <c r="V21" s="343" t="str">
        <f>"de "&amp;V19&amp;" a "&amp;V20</f>
        <v>de 0.9 a 1</v>
      </c>
      <c r="W21" s="343" t="str">
        <f>"de "&amp;W19&amp;" a "&amp;W20</f>
        <v>de 1 a 2</v>
      </c>
      <c r="X21" s="266"/>
      <c r="Y21" s="344" t="s">
        <v>220</v>
      </c>
      <c r="Z21" s="345" t="s">
        <v>221</v>
      </c>
      <c r="AA21" s="343" t="str">
        <f>"de "&amp;AA19&amp;" a "&amp;AA20</f>
        <v>de 0 a 0.2</v>
      </c>
      <c r="AB21" s="343" t="str">
        <f>"de "&amp;AB19&amp;" a "&amp;AB20</f>
        <v>de 0.2 a 0.4</v>
      </c>
      <c r="AC21" s="343" t="str">
        <f>"de "&amp;AC19&amp;" a "&amp;AC20</f>
        <v>de 0.4 a 0.6</v>
      </c>
      <c r="AD21" s="343" t="str">
        <f>"de "&amp;AD19&amp;" a "&amp;AD20</f>
        <v>de 0.6 a 0.8</v>
      </c>
      <c r="AE21" s="343" t="str">
        <f>"de "&amp;AE19&amp;" a "&amp;AE20</f>
        <v>de 0.8 a 1</v>
      </c>
      <c r="AF21" s="266"/>
      <c r="AG21" s="266"/>
      <c r="AH21" s="266"/>
    </row>
    <row r="22" spans="2:34" ht="240" customHeight="1">
      <c r="B22" s="595" t="str">
        <f>+'[2]Introducción de datos'!B134</f>
        <v>TCP-6a: Número de casos de TB (todas las formas) notificados entre los privados de libertad</v>
      </c>
      <c r="C22" s="595"/>
      <c r="D22" s="595"/>
      <c r="E22" s="463">
        <f>'[2]Introducción de datos'!I134</f>
        <v>1035</v>
      </c>
      <c r="F22" s="463">
        <f>'[2]Introducción de datos'!I135</f>
        <v>983</v>
      </c>
      <c r="G22" s="596">
        <f>+IF(ISERROR(F22/E22),0,F22/E22)</f>
        <v>0.94975845410628024</v>
      </c>
      <c r="H22" s="596"/>
      <c r="I22" s="596"/>
      <c r="J22" s="596"/>
      <c r="K22" s="596"/>
      <c r="L22" s="590" t="s">
        <v>369</v>
      </c>
      <c r="M22" s="590"/>
      <c r="N22" s="590"/>
      <c r="O22" s="590"/>
      <c r="P22" s="590"/>
      <c r="Q22" s="590"/>
      <c r="R22" s="342"/>
      <c r="S22" s="340" t="e">
        <f t="shared" ref="S22:V23" si="0">IF($K20&gt;S$19,IF($K20&lt;=S$20,$K20,NA()),NA())</f>
        <v>#N/A</v>
      </c>
      <c r="T22" s="340" t="e">
        <f t="shared" si="0"/>
        <v>#N/A</v>
      </c>
      <c r="U22" s="340" t="e">
        <f t="shared" si="0"/>
        <v>#N/A</v>
      </c>
      <c r="V22" s="340" t="e">
        <f t="shared" si="0"/>
        <v>#N/A</v>
      </c>
      <c r="W22" s="340" t="e">
        <f>IF($K20&gt;W$19,IF($K20&lt;=W$20,1,NA()),NA())</f>
        <v>#N/A</v>
      </c>
      <c r="X22" s="266"/>
      <c r="Y22" s="346" t="e">
        <f>#N/A</f>
        <v>#N/A</v>
      </c>
      <c r="Z22" s="340" t="e">
        <f>+IF(Y22="A1",1,IF(Y22="A2",0.8,IF(Y22="B1",0.6,IF(Y22="B2",0.4,0.2))))</f>
        <v>#N/A</v>
      </c>
      <c r="AA22" s="340" t="e">
        <f t="shared" ref="AA22:AE23" si="1">IF($Z22&gt;AA$19,IF($Z22&lt;=AA$20,$Z22,NA()),NA())</f>
        <v>#N/A</v>
      </c>
      <c r="AB22" s="340" t="e">
        <f t="shared" si="1"/>
        <v>#N/A</v>
      </c>
      <c r="AC22" s="340" t="e">
        <f t="shared" si="1"/>
        <v>#N/A</v>
      </c>
      <c r="AD22" s="340" t="e">
        <f t="shared" si="1"/>
        <v>#N/A</v>
      </c>
      <c r="AE22" s="340" t="e">
        <f t="shared" si="1"/>
        <v>#N/A</v>
      </c>
      <c r="AF22" s="266"/>
      <c r="AG22" s="266"/>
      <c r="AH22" s="266"/>
    </row>
    <row r="23" spans="2:34" ht="276.75" customHeight="1">
      <c r="B23" s="595" t="str">
        <f>+'[2]Introducción de datos'!B136</f>
        <v>TCP - other -1: Porcentaje de casos todas las formas de TB entre PPL tratados exitosamente entre el total de casos todas las formas notificados</v>
      </c>
      <c r="C23" s="595"/>
      <c r="D23" s="595"/>
      <c r="E23" s="464">
        <f>'[2]Introducción de datos'!I136</f>
        <v>0.94997299999999996</v>
      </c>
      <c r="F23" s="464">
        <f>'[2]Introducción de datos'!I137</f>
        <v>0.94503000000000004</v>
      </c>
      <c r="G23" s="596">
        <f>+IF(ISERROR(F23/E23),0,F23/E23)</f>
        <v>0.99479669422183581</v>
      </c>
      <c r="H23" s="596"/>
      <c r="I23" s="596"/>
      <c r="J23" s="596"/>
      <c r="K23" s="596"/>
      <c r="L23" s="590" t="s">
        <v>370</v>
      </c>
      <c r="M23" s="590"/>
      <c r="N23" s="590"/>
      <c r="O23" s="590"/>
      <c r="P23" s="590"/>
      <c r="Q23" s="590"/>
      <c r="R23" s="342"/>
      <c r="S23" s="340" t="e">
        <f t="shared" si="0"/>
        <v>#N/A</v>
      </c>
      <c r="T23" s="340" t="e">
        <f t="shared" si="0"/>
        <v>#N/A</v>
      </c>
      <c r="U23" s="340" t="e">
        <f t="shared" si="0"/>
        <v>#N/A</v>
      </c>
      <c r="V23" s="340" t="e">
        <f t="shared" si="0"/>
        <v>#N/A</v>
      </c>
      <c r="W23" s="340" t="e">
        <f>IF($K21&gt;W$19,IF($K21&lt;=W$20,1,1),NA())</f>
        <v>#N/A</v>
      </c>
      <c r="X23" s="266"/>
      <c r="Y23" s="346" t="e">
        <f>#N/A</f>
        <v>#N/A</v>
      </c>
      <c r="Z23" s="340" t="e">
        <f>+IF(Y23="A1",1,IF(Y23="A2",0.8,IF(Y23="B1",0.6,IF(Y23="B2",0.4,0.2))))</f>
        <v>#N/A</v>
      </c>
      <c r="AA23" s="340" t="e">
        <f t="shared" si="1"/>
        <v>#N/A</v>
      </c>
      <c r="AB23" s="340" t="e">
        <f t="shared" si="1"/>
        <v>#N/A</v>
      </c>
      <c r="AC23" s="340" t="e">
        <f t="shared" si="1"/>
        <v>#N/A</v>
      </c>
      <c r="AD23" s="340" t="e">
        <f t="shared" si="1"/>
        <v>#N/A</v>
      </c>
      <c r="AE23" s="340" t="e">
        <f t="shared" si="1"/>
        <v>#N/A</v>
      </c>
      <c r="AF23" s="266"/>
      <c r="AG23" s="266"/>
      <c r="AH23" s="266"/>
    </row>
    <row r="24" spans="2:34" ht="14.25" customHeight="1"/>
  </sheetData>
  <sheetProtection selectLockedCells="1" selectUnlockedCells="1"/>
  <mergeCells count="31">
    <mergeCell ref="B23:D23"/>
    <mergeCell ref="G23:K23"/>
    <mergeCell ref="L23:Q23"/>
    <mergeCell ref="B21:D21"/>
    <mergeCell ref="G21:K21"/>
    <mergeCell ref="L21:Q21"/>
    <mergeCell ref="B22:D22"/>
    <mergeCell ref="G22:K22"/>
    <mergeCell ref="L22:Q22"/>
    <mergeCell ref="L19:Q19"/>
    <mergeCell ref="B20:D20"/>
    <mergeCell ref="G20:K20"/>
    <mergeCell ref="L20:Q20"/>
    <mergeCell ref="E18:K18"/>
    <mergeCell ref="B19:D19"/>
    <mergeCell ref="G19:H19"/>
    <mergeCell ref="I19:J19"/>
    <mergeCell ref="B8:E8"/>
    <mergeCell ref="F8:K8"/>
    <mergeCell ref="L8:Q8"/>
    <mergeCell ref="C9:E9"/>
    <mergeCell ref="G9:K9"/>
    <mergeCell ref="M9:Q9"/>
    <mergeCell ref="C4:D4"/>
    <mergeCell ref="E4:L4"/>
    <mergeCell ref="D5:N5"/>
    <mergeCell ref="F6:K6"/>
    <mergeCell ref="B2:Q2"/>
    <mergeCell ref="C3:D3"/>
    <mergeCell ref="E3:K3"/>
    <mergeCell ref="O3:P3"/>
  </mergeCells>
  <phoneticPr fontId="68" type="noConversion"/>
  <conditionalFormatting sqref="C4:D4">
    <cfRule type="cellIs" dxfId="11" priority="4" stopIfTrue="1" operator="equal">
      <formula>"C"</formula>
    </cfRule>
    <cfRule type="cellIs" dxfId="10" priority="5" stopIfTrue="1" operator="equal">
      <formula>"B2"</formula>
    </cfRule>
    <cfRule type="cellIs" dxfId="9" priority="6" stopIfTrue="1" operator="equal">
      <formula>"B1"</formula>
    </cfRule>
  </conditionalFormatting>
  <conditionalFormatting sqref="G20:G23">
    <cfRule type="cellIs" dxfId="8" priority="1" stopIfTrue="1" operator="between">
      <formula>0</formula>
      <formula>0.599</formula>
    </cfRule>
    <cfRule type="cellIs" dxfId="7" priority="2" stopIfTrue="1" operator="between">
      <formula>0.6</formula>
      <formula>0.899</formula>
    </cfRule>
    <cfRule type="cellIs" dxfId="6" priority="3" stopIfTrue="1" operator="greaterThanOrEqual">
      <formula>0.9</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r:id="rId1"/>
  <headerFooter alignWithMargins="0">
    <oddFooter>&amp;L&amp;F&amp;C&amp;A&amp;R&amp;D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41"/>
  <sheetViews>
    <sheetView showGridLines="0" topLeftCell="C22" zoomScale="80" zoomScaleNormal="80" workbookViewId="0">
      <selection activeCell="T34" sqref="T34"/>
    </sheetView>
  </sheetViews>
  <sheetFormatPr baseColWidth="10" defaultRowHeight="11.25"/>
  <cols>
    <col min="1" max="1" width="1.140625" style="347" customWidth="1"/>
    <col min="2" max="2" width="19.42578125" style="347" customWidth="1"/>
    <col min="3" max="3" width="1.140625" style="347" customWidth="1"/>
    <col min="4" max="4" width="17.140625" style="347" customWidth="1"/>
    <col min="5" max="5" width="17.42578125" style="347" customWidth="1"/>
    <col min="6" max="6" width="9.5703125" style="347" customWidth="1"/>
    <col min="7" max="7" width="13" style="347" customWidth="1"/>
    <col min="8" max="8" width="4.42578125" style="347" customWidth="1"/>
    <col min="9" max="9" width="15.85546875" style="347" customWidth="1"/>
    <col min="10" max="10" width="3.42578125" style="347" customWidth="1"/>
    <col min="11" max="11" width="7.42578125" style="348" customWidth="1"/>
    <col min="12" max="12" width="22" style="347" customWidth="1"/>
    <col min="13" max="13" width="12" style="347" customWidth="1"/>
    <col min="14" max="14" width="5.42578125" style="347" customWidth="1"/>
    <col min="15" max="15" width="2.42578125" style="347" customWidth="1"/>
    <col min="16" max="16384" width="11.42578125" style="347"/>
  </cols>
  <sheetData>
    <row r="1" spans="1:256" ht="38.25" customHeight="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75" customHeight="1">
      <c r="A2"/>
      <c r="B2" s="574" t="str">
        <f>+"Cuadro de mando:  "&amp;"  "&amp;+'Introducción de datos'!C4&amp;" - "&amp;'Introducción de datos'!G6</f>
        <v>Cuadro de mando:    El Salvador - TB</v>
      </c>
      <c r="C2" s="574"/>
      <c r="D2" s="574"/>
      <c r="E2" s="574"/>
      <c r="F2" s="574"/>
      <c r="G2" s="574"/>
      <c r="H2" s="574"/>
      <c r="I2" s="574"/>
      <c r="J2" s="574"/>
      <c r="K2" s="574"/>
      <c r="L2" s="574"/>
      <c r="M2" s="574"/>
      <c r="N2" s="574"/>
      <c r="O2" s="34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 r="A3"/>
      <c r="B3" s="289">
        <f>+'Introducción de datos'!G8</f>
        <v>0</v>
      </c>
      <c r="C3" s="565">
        <f>+'Introducción de datos'!I8</f>
        <v>0</v>
      </c>
      <c r="D3" s="565"/>
      <c r="E3" s="466"/>
      <c r="F3" s="466"/>
      <c r="G3" s="466"/>
      <c r="H3" s="466"/>
      <c r="I3" s="466"/>
      <c r="J3" s="466"/>
      <c r="K3" s="466"/>
      <c r="L3" s="289" t="str">
        <f>+'Introducción de datos'!B16</f>
        <v>Periodo:</v>
      </c>
      <c r="M3" s="290" t="str">
        <f>+'Introducción de datos'!C16</f>
        <v>P2</v>
      </c>
      <c r="N3" s="290"/>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5">
      <c r="A4"/>
      <c r="B4" s="289" t="str">
        <f>+'Introducción de datos'!B12</f>
        <v>Ultima calificación:</v>
      </c>
      <c r="C4" s="582" t="str">
        <f>+'Introducción de datos'!C12</f>
        <v>A2</v>
      </c>
      <c r="D4" s="582"/>
      <c r="E4" s="566" t="str">
        <f>+'Introducción de datos'!C8</f>
        <v xml:space="preserve">Ministerio de Salud </v>
      </c>
      <c r="F4" s="566"/>
      <c r="G4" s="566"/>
      <c r="H4" s="566"/>
      <c r="I4" s="566"/>
      <c r="J4" s="566"/>
      <c r="K4" s="566"/>
      <c r="L4" s="289" t="str">
        <f>+'Introducción de datos'!D16</f>
        <v>Desde:</v>
      </c>
      <c r="M4" s="291">
        <f>+'Introducción de datos'!E16</f>
        <v>43831</v>
      </c>
      <c r="N4" s="291"/>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c r="B5" s="289"/>
      <c r="C5" s="289"/>
      <c r="D5" s="292"/>
      <c r="E5" s="566" t="str">
        <f>+'Introducción de datos'!G4</f>
        <v>Financiamiento al PENM TB 2017 - 2021</v>
      </c>
      <c r="F5" s="566"/>
      <c r="G5" s="566"/>
      <c r="H5" s="566"/>
      <c r="I5" s="566"/>
      <c r="J5" s="566"/>
      <c r="K5" s="566"/>
      <c r="L5" s="289" t="str">
        <f>+'Introducción de datos'!F16</f>
        <v>Hasta:</v>
      </c>
      <c r="M5" s="291">
        <f>+'Introducción de datos'!G16</f>
        <v>44196</v>
      </c>
      <c r="N5" s="29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c r="B6" s="67"/>
      <c r="C6" s="289"/>
      <c r="D6" s="292"/>
      <c r="E6" s="597" t="s">
        <v>219</v>
      </c>
      <c r="F6" s="597"/>
      <c r="G6" s="597"/>
      <c r="H6" s="597"/>
      <c r="I6" s="597"/>
      <c r="J6" s="597"/>
      <c r="K6" s="59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4.5" customHeight="1">
      <c r="B7" s="350"/>
      <c r="C7" s="350"/>
      <c r="D7" s="350"/>
      <c r="E7" s="350"/>
      <c r="F7" s="350"/>
      <c r="G7" s="350"/>
      <c r="H7" s="350"/>
      <c r="I7" s="350"/>
      <c r="J7" s="350"/>
      <c r="K7" s="350"/>
      <c r="L7" s="351"/>
      <c r="M7" s="351"/>
      <c r="N7" s="352"/>
    </row>
    <row r="8" spans="1:256" ht="21" customHeight="1">
      <c r="B8" s="598" t="s">
        <v>222</v>
      </c>
      <c r="C8" s="598"/>
      <c r="D8" s="598"/>
      <c r="E8" s="598"/>
      <c r="F8" s="598"/>
      <c r="G8" s="598"/>
      <c r="H8" s="598"/>
      <c r="I8" s="598"/>
      <c r="J8" s="598"/>
      <c r="K8" s="598"/>
      <c r="L8" s="598"/>
      <c r="M8" s="598"/>
      <c r="N8" s="59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75" customHeight="1">
      <c r="B9" s="350"/>
      <c r="C9" s="350"/>
      <c r="D9" s="350"/>
      <c r="E9" s="350"/>
      <c r="F9" s="350"/>
      <c r="G9" s="350"/>
      <c r="H9" s="350"/>
      <c r="I9" s="350"/>
      <c r="J9" s="350"/>
      <c r="K9" s="350"/>
      <c r="L9" s="351"/>
      <c r="M9" s="351"/>
      <c r="N9" s="352"/>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353" customFormat="1" ht="25.5" customHeight="1">
      <c r="B10" s="599" t="s">
        <v>223</v>
      </c>
      <c r="C10" s="599"/>
      <c r="D10" s="600" t="s">
        <v>218</v>
      </c>
      <c r="E10" s="600"/>
      <c r="F10" s="600"/>
      <c r="G10" s="600"/>
      <c r="H10" s="354"/>
      <c r="I10" s="600" t="s">
        <v>219</v>
      </c>
      <c r="J10" s="600"/>
      <c r="K10" s="600"/>
      <c r="L10" s="600"/>
      <c r="M10" s="600"/>
      <c r="N10" s="600"/>
    </row>
    <row r="11" spans="1:256" ht="28.5" customHeight="1">
      <c r="A11" s="353"/>
      <c r="B11" s="355" t="s">
        <v>224</v>
      </c>
      <c r="C11" s="356"/>
      <c r="D11" s="601" t="str">
        <f>IF(ISBLANK(Financiamiento!C9),"",(Financiamiento!C9))</f>
        <v xml:space="preserve">El perio 2: El año 2020, se tenia un presupuesto asignado de $ 1,389,286.00 de los cuales al 31 de diciembre de 2020 se ha recibido en las cuentas bancarias del MINSAL/FM el 100/% del desembolso programado </v>
      </c>
      <c r="E11" s="601"/>
      <c r="F11" s="601"/>
      <c r="G11" s="601"/>
      <c r="H11" s="357"/>
      <c r="I11" s="605"/>
      <c r="J11" s="605"/>
      <c r="K11" s="605"/>
      <c r="L11" s="605"/>
      <c r="M11" s="605"/>
      <c r="N11" s="605"/>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75" customHeight="1">
      <c r="A12" s="353"/>
      <c r="B12" s="358" t="s">
        <v>225</v>
      </c>
      <c r="C12" s="359"/>
      <c r="D12" s="601" t="str">
        <f>IF(ISBLANK(Financiamiento!C23),"",(Financiamiento!C23))</f>
        <v>Durante el segundo  año de la subvension se alcanzo el 82% de la ejecucion financiera de los cuales los montos mas relevantes se detallan de la siguiente manera: $ 990,236.00 que corresponde a la estrategia de Deteccion precoz de casos de tuberculosis, $ 597,034 que corresponde a la estrategia Atencion integral de grupos de mas alto riesgo, $ 208,559.00 que corresponde a la estrategia de monitoreo y evaluacion</v>
      </c>
      <c r="E12" s="601"/>
      <c r="F12" s="601"/>
      <c r="G12" s="601"/>
      <c r="H12" s="357"/>
      <c r="I12" s="606"/>
      <c r="J12" s="606"/>
      <c r="K12" s="606"/>
      <c r="L12" s="606"/>
      <c r="M12" s="606"/>
      <c r="N12" s="606"/>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6.25" customHeight="1">
      <c r="A13" s="353"/>
      <c r="B13" s="358" t="s">
        <v>226</v>
      </c>
      <c r="C13" s="359"/>
      <c r="D13" s="601" t="str">
        <f>IF(ISBLANK(Financiamiento!I9),"",(Financiamiento!I9))</f>
        <v>El monto total desembolsado que ha recibido el MINSAL por parte del FM para el 2020 (P2) es de $ 1,389,286, a este monto se lea ha sumado el saldo de caja del periodo 2019 ya que fue ejecutado en el 2020, de los cuales el MINSAL a pagado a proveedores y desembolsado a PNUD $ 1,482,451.00 y se tienen compromisos con proveedores por el monto de $ 114,060.70 quedando un saldo en caja por el monto de $ 159,354.39 que ha sido reprogramado para ser ejecutado en el 2021.</v>
      </c>
      <c r="E13" s="601"/>
      <c r="F13" s="601"/>
      <c r="G13" s="601"/>
      <c r="H13" s="357"/>
      <c r="I13" s="602"/>
      <c r="J13" s="602"/>
      <c r="K13" s="602"/>
      <c r="L13" s="602"/>
      <c r="M13" s="602"/>
      <c r="N13" s="602"/>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8.5" customHeight="1">
      <c r="A14" s="353"/>
      <c r="B14" s="360" t="s">
        <v>227</v>
      </c>
      <c r="C14" s="361"/>
      <c r="D14" s="603" t="str">
        <f>IF(ISBLANK(Financiamiento!P25),"",(Financiamiento!P25))</f>
        <v xml:space="preserve">Se ha cumplido con los informes presentados de forma oportuna, asi como el FM a enviado los desembolsos de forma anticipado. </v>
      </c>
      <c r="E14" s="603"/>
      <c r="F14" s="603"/>
      <c r="G14" s="603"/>
      <c r="H14" s="357"/>
      <c r="I14" s="604"/>
      <c r="J14" s="604"/>
      <c r="K14" s="604"/>
      <c r="L14" s="604"/>
      <c r="M14" s="604"/>
      <c r="N14" s="60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4.5" customHeight="1">
      <c r="A15" s="353"/>
      <c r="B15" s="362"/>
      <c r="C15" s="363"/>
      <c r="D15" s="364"/>
      <c r="E15" s="364"/>
      <c r="F15" s="364"/>
      <c r="G15" s="364"/>
      <c r="H15" s="357"/>
      <c r="I15" s="365"/>
      <c r="J15" s="365"/>
      <c r="K15" s="365"/>
      <c r="L15" s="365"/>
      <c r="M15" s="365"/>
      <c r="N15" s="365"/>
      <c r="O15" s="353"/>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1" customHeight="1">
      <c r="B16" s="598" t="s">
        <v>228</v>
      </c>
      <c r="C16" s="598"/>
      <c r="D16" s="598"/>
      <c r="E16" s="598"/>
      <c r="F16" s="598"/>
      <c r="G16" s="598"/>
      <c r="H16" s="598"/>
      <c r="I16" s="598"/>
      <c r="J16" s="598"/>
      <c r="K16" s="598"/>
      <c r="L16" s="598"/>
      <c r="M16" s="598"/>
      <c r="N16" s="598"/>
    </row>
    <row r="17" spans="1:256" s="353" customFormat="1" ht="3.75" customHeight="1">
      <c r="B17" s="366"/>
      <c r="C17" s="367"/>
      <c r="D17" s="368"/>
      <c r="E17" s="369"/>
      <c r="F17" s="370"/>
      <c r="G17" s="370"/>
      <c r="H17" s="371"/>
      <c r="I17" s="372"/>
      <c r="J17" s="373"/>
      <c r="K17" s="374"/>
      <c r="L17" s="375"/>
      <c r="M17" s="376"/>
      <c r="N17" s="377"/>
    </row>
    <row r="18" spans="1:256" ht="22.5" customHeight="1">
      <c r="A18" s="353"/>
      <c r="B18" s="611" t="s">
        <v>217</v>
      </c>
      <c r="C18" s="611"/>
      <c r="D18" s="612" t="s">
        <v>218</v>
      </c>
      <c r="E18" s="612"/>
      <c r="F18" s="612"/>
      <c r="G18" s="612"/>
      <c r="H18" s="354"/>
      <c r="I18" s="613" t="s">
        <v>219</v>
      </c>
      <c r="J18" s="613"/>
      <c r="K18" s="613"/>
      <c r="L18" s="613"/>
      <c r="M18" s="613"/>
      <c r="N18" s="613"/>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1.95" customHeight="1">
      <c r="A19" s="353"/>
      <c r="B19" s="378" t="s">
        <v>220</v>
      </c>
      <c r="C19" s="379"/>
      <c r="D19" s="607" t="str">
        <f>IF(ISBLANK(Gestión!C8),"",(Gestión!C8))</f>
        <v>Para el periodo se han cumplido en su totalidad las Acciones emitidas en las cartas de implementación recibidas para el periodo.</v>
      </c>
      <c r="E19" s="607"/>
      <c r="F19" s="607"/>
      <c r="G19" s="607"/>
      <c r="H19" s="380"/>
      <c r="I19" s="608"/>
      <c r="J19" s="608"/>
      <c r="K19" s="608"/>
      <c r="L19" s="608"/>
      <c r="M19" s="608"/>
      <c r="N19" s="608"/>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4.75" customHeight="1">
      <c r="B20" s="381" t="s">
        <v>221</v>
      </c>
      <c r="C20" s="382"/>
      <c r="D20" s="609" t="str">
        <f>IF(ISBLANK(Gestión!I8),"",(Gestión!I8))</f>
        <v>Se mantiene a la fecha los puestos directivos en la Oficina de Apoyo del Fondo Mundial del RP/MINSAL</v>
      </c>
      <c r="E20" s="609" t="e">
        <f>+'Introducción de datos'!D84/'Introducción de datos'!G84</f>
        <v>#DIV/0!</v>
      </c>
      <c r="F20" s="609" t="e">
        <f>+('Introducción de datos'!E84+'Introducción de datos'!F84)/'Introducción de datos'!G84</f>
        <v>#DIV/0!</v>
      </c>
      <c r="G20" s="609"/>
      <c r="H20" s="380"/>
      <c r="I20" s="610"/>
      <c r="J20" s="610"/>
      <c r="K20" s="610"/>
      <c r="L20" s="610"/>
      <c r="M20" s="610"/>
      <c r="N20" s="61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9.25" customHeight="1">
      <c r="B21" s="383" t="s">
        <v>229</v>
      </c>
      <c r="C21" s="382"/>
      <c r="D21" s="609" t="str">
        <f>IF(ISBLANK(Gestión!C16),"",(Gestión!C16))</f>
        <v>No hay sub receptores</v>
      </c>
      <c r="E21" s="609"/>
      <c r="F21" s="609"/>
      <c r="G21" s="609"/>
      <c r="H21" s="380"/>
      <c r="I21" s="610"/>
      <c r="J21" s="610"/>
      <c r="K21" s="610"/>
      <c r="L21" s="610"/>
      <c r="M21" s="610"/>
      <c r="N21" s="610"/>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6.25" customHeight="1">
      <c r="B22" s="383" t="s">
        <v>230</v>
      </c>
      <c r="C22" s="382"/>
      <c r="D22" s="609" t="str">
        <f>IF(ISBLANK(Gestión!I16),"",(Gestión!I16))</f>
        <v>No hay sub receptores</v>
      </c>
      <c r="E22" s="609"/>
      <c r="F22" s="609"/>
      <c r="G22" s="609"/>
      <c r="H22" s="380"/>
      <c r="I22" s="610"/>
      <c r="J22" s="610"/>
      <c r="K22" s="610"/>
      <c r="L22" s="610"/>
      <c r="M22" s="610"/>
      <c r="N22" s="610"/>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4.75" customHeight="1">
      <c r="B23" s="383" t="s">
        <v>231</v>
      </c>
      <c r="C23" s="382"/>
      <c r="D23" s="609" t="str">
        <f>IF(ISBLANK(Gestión!C27),"",(Gestión!C27))</f>
        <v>Adquisición a traves del Fondo Estrategico OPS.</v>
      </c>
      <c r="E23" s="609"/>
      <c r="F23" s="609"/>
      <c r="G23" s="609"/>
      <c r="H23" s="380"/>
      <c r="I23" s="610"/>
      <c r="J23" s="610"/>
      <c r="K23" s="610"/>
      <c r="L23" s="610"/>
      <c r="M23" s="610"/>
      <c r="N23" s="610"/>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7" customHeight="1">
      <c r="B24" s="384" t="s">
        <v>232</v>
      </c>
      <c r="C24" s="385"/>
      <c r="D24" s="614" t="str">
        <f>IF(ISBLANK(Gestión!I27),"",(Gestión!I27))</f>
        <v>Los productos enlistados son medicamentos antituberculosis de segunda linea,es importante hacer mención que estos son adquiridos con financiamiento del Estado como compromiso de contrapartida.
Los medicamentos que se denotan como desabastecidos ha sido porque se han utilizado otros generico familiar ejemplo de ello la Ciprofloxacina por Levofloxacina y la Gentamicina por Amikacina, medicamnetos que son adquiridos por financiamiento del estado, el paciente no se ha encontrado sin su medicación.
Otros productos son medicamentos para tratamiento de reacciones adversas a farmacos antituberculosis (RAFA) los cuales estan en tramite de compra y de ingreso a bodega en proximas fechas.</v>
      </c>
      <c r="E24" s="614"/>
      <c r="F24" s="614"/>
      <c r="G24" s="614"/>
      <c r="H24" s="380"/>
      <c r="I24" s="615"/>
      <c r="J24" s="615"/>
      <c r="K24" s="615"/>
      <c r="L24" s="615"/>
      <c r="M24" s="615"/>
      <c r="N24" s="615"/>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ustomHeight="1">
      <c r="B25" s="386"/>
      <c r="C25" s="387"/>
      <c r="D25" s="388"/>
      <c r="E25" s="389"/>
      <c r="F25" s="390"/>
      <c r="G25" s="390"/>
      <c r="H25" s="354"/>
      <c r="I25" s="389"/>
      <c r="J25" s="391"/>
      <c r="K25" s="374"/>
      <c r="L25" s="375"/>
      <c r="M25" s="376"/>
      <c r="N25" s="377"/>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1" customHeight="1">
      <c r="B26" s="598" t="s">
        <v>233</v>
      </c>
      <c r="C26" s="598"/>
      <c r="D26" s="598"/>
      <c r="E26" s="598"/>
      <c r="F26" s="598"/>
      <c r="G26" s="598"/>
      <c r="H26" s="598"/>
      <c r="I26" s="598"/>
      <c r="J26" s="598"/>
      <c r="K26" s="598"/>
      <c r="L26" s="598"/>
      <c r="M26" s="598"/>
      <c r="N26" s="598"/>
    </row>
    <row r="27" spans="1:256" ht="3.75" customHeight="1">
      <c r="B27" s="386"/>
      <c r="C27" s="387"/>
      <c r="D27" s="388"/>
      <c r="E27" s="389"/>
      <c r="F27" s="390"/>
      <c r="G27" s="390"/>
      <c r="H27" s="354"/>
      <c r="I27" s="389"/>
      <c r="J27" s="391"/>
      <c r="K27" s="374"/>
      <c r="L27" s="375"/>
      <c r="M27" s="376"/>
      <c r="N27" s="377"/>
    </row>
    <row r="28" spans="1:256" ht="21.75" customHeight="1">
      <c r="B28" s="620" t="s">
        <v>234</v>
      </c>
      <c r="C28" s="620"/>
      <c r="D28" s="621" t="s">
        <v>218</v>
      </c>
      <c r="E28" s="621"/>
      <c r="F28" s="621"/>
      <c r="G28" s="621"/>
      <c r="H28" s="354"/>
      <c r="I28" s="621" t="s">
        <v>219</v>
      </c>
      <c r="J28" s="621"/>
      <c r="K28" s="621"/>
      <c r="L28" s="621"/>
      <c r="M28" s="621"/>
      <c r="N28" s="621"/>
    </row>
    <row r="29" spans="1:256" ht="29.25" customHeight="1">
      <c r="B29" s="392" t="s">
        <v>235</v>
      </c>
      <c r="C29" s="393"/>
      <c r="D29" s="616" t="str">
        <f>IF(ISBLANK(Programatico!C9),"",(Programatico!C9))</f>
        <v xml:space="preserve"> Con la utilización de pruebas moleculares además de realizar detección del Mycobacterium tuberculosis permite hacer vigilancia de la sensibilidad a los medicamentos y es método recomendado por la OMS en la estrategia Fin a la TB. El número de pruebas moleculares para este año se incrementó, lo que ha permitido alcanzar mayores porcentajes de pacientes con cobertura.</v>
      </c>
      <c r="E29" s="616"/>
      <c r="F29" s="616"/>
      <c r="G29" s="616"/>
      <c r="H29" s="380"/>
      <c r="I29" s="617"/>
      <c r="J29" s="617"/>
      <c r="K29" s="617"/>
      <c r="L29" s="617"/>
      <c r="M29" s="617"/>
      <c r="N29" s="617"/>
    </row>
    <row r="30" spans="1:256" ht="21.95" customHeight="1">
      <c r="B30" s="394" t="s">
        <v>236</v>
      </c>
      <c r="C30" s="395"/>
      <c r="D30" s="618" t="str">
        <f>IF(ISBLANK(Programatico!G9),"",(Programatico!G9))</f>
        <v xml:space="preserve"> Durante el año 2020 se detectaron en el laboratorio 35 casos de TB RR y 2 TB MDR, a cada uno de los casos se les realizo evaluación clínica, radiológica y bacteriológica en la Clínica de Resistencias del Hospital Nacional Saldaña, a los 37 casos TB RR / TB MDR se consideró el tratamiento de segunda línea por cumplir los criterios epidemiológicos, clínicos y bacteriológicos.</v>
      </c>
      <c r="E30" s="618"/>
      <c r="F30" s="618"/>
      <c r="G30" s="618"/>
      <c r="H30" s="380"/>
      <c r="I30" s="619"/>
      <c r="J30" s="619"/>
      <c r="K30" s="619"/>
      <c r="L30" s="619"/>
      <c r="M30" s="619"/>
      <c r="N30" s="619"/>
    </row>
    <row r="31" spans="1:256" ht="21.95" customHeight="1">
      <c r="B31" s="394" t="s">
        <v>237</v>
      </c>
      <c r="C31" s="395"/>
      <c r="D31" s="618" t="str">
        <f>IF(ISBLANK(Programatico!M9),"",(Programatico!M9))</f>
        <v>Para el periodo la UPTYER reporta un total de  983 casos de TB de todas las formas en PPL.</v>
      </c>
      <c r="E31" s="618"/>
      <c r="F31" s="618"/>
      <c r="G31" s="618"/>
      <c r="H31" s="380"/>
      <c r="I31" s="619"/>
      <c r="J31" s="619"/>
      <c r="K31" s="619"/>
      <c r="L31" s="619"/>
      <c r="M31" s="619"/>
      <c r="N31" s="619"/>
    </row>
    <row r="32" spans="1:256" ht="21.95" customHeight="1">
      <c r="B32" s="396" t="s">
        <v>78</v>
      </c>
      <c r="C32" s="395"/>
      <c r="D32" s="622" t="str">
        <f>IF(ISBLANK(Programatico!L20),"",(Programatico!L20))</f>
        <v>Meta lograda y superando la proyección (1,618/2,057 = 78.65%). 
* A pesar de la Pandemia de Covid - 19 el país logró realizar con éxito mantener la oferta de servicios para el diagnóstico precoz en poblaciones de mayor riesgo y vulnerabilidad y/o sospechosas de fármaco resistencia a través de pruebas moleculares las cuales a través de los Lineamientos técnicos para el abordaje y seguimiento de casos de tuberculosis; ante la emergencia nacional por COVID-19 se siguieron las recomendaciones de bioseguridad para los técnicos responsables del manejo de muestras; esto permitió hacer mayor número de pruebas ya que se ha fortalecido la red de laboratorios hospitalaria con equipos y más cartuchos de prueba. Es de importancia recalcar que a pesar de la Pandemia se mantuvo supervisión continua por parte del UPTYER al laboratorio nacional de referencia aprovechando los instrumentos informáticos, de igual manera se ha mantenido la farmacovigilancia activa para detectar precozmente los casos resistentes al menos para casos TB RR/TB MDR.
* El uso continuo del Gene Xpert ofertado a todos los usuarios o personas que cumplían la condición para ser sometido a pruebas rápidas para diagnosticar o descartar Tuberculosis con más sensibilidad y rapidez a TB resistente a Rifampicina, aumentó la oportunidad del diagnóstico y en su sensibilidad a pesar de la pandemia que derivo recursos especialmente de laboratorio para atender procesamiento de muestras de Covid - 19. 
* Fuente : PUDR_TB_AÑO 2020_remitido a FM 17/marzo/2021</v>
      </c>
      <c r="E32" s="622"/>
      <c r="F32" s="622"/>
      <c r="G32" s="622"/>
      <c r="H32" s="380"/>
      <c r="I32" s="619"/>
      <c r="J32" s="619"/>
      <c r="K32" s="619"/>
      <c r="L32" s="619"/>
      <c r="M32" s="619"/>
      <c r="N32" s="619"/>
    </row>
    <row r="33" spans="2:14" ht="27" customHeight="1">
      <c r="B33" s="396" t="s">
        <v>61</v>
      </c>
      <c r="C33" s="395"/>
      <c r="D33" s="622" t="str">
        <f>IF(ISBLANK(Programatico!L21),"",(Programatico!L21))</f>
        <v>Meta proyectada superada: 37 casos TB-RR/TB-MDR.
* En seguimiento a las recomendaciones emitidas por el Comité de Luz Verde al país con la búsqueda activa con pruebas moleculares y PSD por métodos de las proporciones en los casos sospechoso de TB multidrogoresistencia, se incrementó la cantidad de pruebas diagnósticas a través del Gene Xpert durante el periodo en consecuencia se cumplió la meta estimada; por lo tanto se continuara con la expansión de la técnica molecular rápida considerando que la baciloscopia debe ser remplazada y se requiere que la técnica molecular rápida esté disponible en todas las regiones del país.
* En el transcurso de la Pandemia de SARS COV 2; la red de laboratorio nacional fue involucrada en su totalidad directamente a la realización de pruebas de COVID - 19, igualmente se han utilizado parcialmente algunos de los equipos de  GeneXpert® para analizar las muestras de COVID - 19. En este contexto el diagnóstico de TB no se vio afectado ya que se mantuvo la misma oferta de servicios; la recolección de muestras, los mecanismos de transporte, la detección activa de casos, el rastreo de contactos y las actividades destinadas a la prevención de la tuberculosis se encontraron relativamente disminuidas la demanda de los usuarios en el primer nivel de atención debido a las restricciones de movilidad, cuarentenas y el temor a la exposición a la COVID-19; asimismo con algún retraso en la notificación de casos de tuberculosis ya que el personal estaban participando en actividades de respuesta a la COVID-19. 
* Fuente : PUDR_TB_AÑO 2020_remitido a FM 17/marzo/2021</v>
      </c>
      <c r="E33" s="622"/>
      <c r="F33" s="622"/>
      <c r="G33" s="622"/>
      <c r="H33" s="380"/>
      <c r="I33" s="619"/>
      <c r="J33" s="619"/>
      <c r="K33" s="619"/>
      <c r="L33" s="619"/>
      <c r="M33" s="619"/>
      <c r="N33" s="619"/>
    </row>
    <row r="34" spans="2:14" ht="21.95" customHeight="1">
      <c r="B34" s="396" t="s">
        <v>79</v>
      </c>
      <c r="C34" s="395"/>
      <c r="D34" s="622" t="str">
        <f>IF(ISBLANK(Programatico!L22),"",(Programatico!L22))</f>
        <v>* Las personas privadas de libertad (PPDL) son un grupo en condición de vulnerabilidad debido principalmente a su entorno de encierro y las dinámicas de convivencia entre los privados de libertad más aún aquellos que pertenen a pandillas; de tal forma, este grupo de personas se vuelve vulnerable frente al avance del COVID-19, las actividades contingenciales implementadas durante la pandemia (uso sistemático de mascarillas) disminuyeron el riesgo de contagio masivo en esta población; es importante mencionar que en algunos centros penales  la detección de casos y la implementación de las medidas de control respiratorio favoreció la no transmisión tanto de enfermedades respiratorias comunes, COVID-19 y la misma TB. 
* El mantenimiento de medios de diagnóstico moleculares a través de pruebas Gene Xpert en esta población, ha permitido un diagnostico más oportuno de los enfermos, así como la implementación de medidas de control de infecciones al interior de los recintos penitenciarios (aislamiento de los enfermos y uso de mascarillas en el 100% de la PPL), intensificación en las actividades de detección en algunos centros penales (aumento la captación de SR e investigación y estudio de los contactos), y la disminución del índice de hacinamiento en algunos centros penales a través del traslado de los pacientes con TB a CP exclusivo para afectados por TB  ha inferido en la disminución de los casos de TB en la población privada de libertad, logrando para el año 2020 un 95% de lo programado (983 casos) de acuerdo a las metas ajustadas de la carta de implementación #2 de fecha octubre 2020. 
* Fuente : PUDR_TB_AÑO 2020_remitido a FM 17/marzo/2021</v>
      </c>
      <c r="E34" s="622"/>
      <c r="F34" s="622"/>
      <c r="G34" s="622"/>
      <c r="H34" s="380"/>
      <c r="I34" s="619"/>
      <c r="J34" s="619"/>
      <c r="K34" s="619"/>
      <c r="L34" s="619"/>
      <c r="M34" s="619"/>
      <c r="N34" s="619"/>
    </row>
    <row r="35" spans="2:14" ht="21.95" customHeight="1">
      <c r="B35" s="396" t="s">
        <v>80</v>
      </c>
      <c r="C35" s="397"/>
      <c r="D35" s="622" t="str">
        <f>IF(ISBLANK(Programatico!L23),"",(Programatico!L23))</f>
        <v xml:space="preserve">* Meta cumplida del porcentaje de casos de todas las formas TB tratados exitosamente en CP: 94.503%.
* El contexto epidemiológico de la TB en las PPL se concentra más en 7 centros penales,  en los cuales están recluidos población perteneciente a pandillas, el éxito de tratamiento se ha visto afectado por las pérdidas en el seguimiento (4.6%), situación que se da debido a que las PPL que son diagnosticadas e inician tratamiento dentro del centro penal, y posteriormente en su proceso jurídico son puestos en libertad (sobreseídos, absueltos o con medidas); debido al contexto de violencia e inseguridad a nivel comunitario y en el contexto de pandemia por COVID 19, las restricciones de movilidad y reorientación de las actividades de los trabajadores de salud, fue difícil el seguimiento o vinculación una vez libres,  de igual forma proporcionan domicilios falsos o utilizan la clandestinidad para resguardar su vida y  la de su familia, lo cual afectan las cohortes de tratamiento al ser registrados como perdidos en el seguimiento como condición de egreso. 
* Fuente : PUDR_TB_AÑO 2020_remitido a FM 17/marzo/2021
</v>
      </c>
      <c r="E35" s="622"/>
      <c r="F35" s="622"/>
      <c r="G35" s="622"/>
      <c r="H35" s="380"/>
      <c r="I35" s="619"/>
      <c r="J35" s="619"/>
      <c r="K35" s="619"/>
      <c r="L35" s="619"/>
      <c r="M35" s="619"/>
      <c r="N35" s="619"/>
    </row>
    <row r="36" spans="2:14" ht="21.95" customHeight="1">
      <c r="B36" s="396" t="s">
        <v>81</v>
      </c>
      <c r="C36" s="397"/>
      <c r="D36" s="622" t="e">
        <f>#N/A</f>
        <v>#N/A</v>
      </c>
      <c r="E36" s="622"/>
      <c r="F36" s="622"/>
      <c r="G36" s="622"/>
      <c r="H36" s="380"/>
      <c r="I36" s="619"/>
      <c r="J36" s="619"/>
      <c r="K36" s="619"/>
      <c r="L36" s="619"/>
      <c r="M36" s="619"/>
      <c r="N36" s="619"/>
    </row>
    <row r="37" spans="2:14" ht="21.95" customHeight="1">
      <c r="B37" s="396" t="s">
        <v>82</v>
      </c>
      <c r="C37" s="397"/>
      <c r="D37" s="622" t="e">
        <f>#N/A</f>
        <v>#N/A</v>
      </c>
      <c r="E37" s="622"/>
      <c r="F37" s="622"/>
      <c r="G37" s="622"/>
      <c r="H37" s="380"/>
      <c r="I37" s="619"/>
      <c r="J37" s="619"/>
      <c r="K37" s="619"/>
      <c r="L37" s="619"/>
      <c r="M37" s="619"/>
      <c r="N37" s="619"/>
    </row>
    <row r="38" spans="2:14" ht="21.95" customHeight="1">
      <c r="B38" s="396" t="s">
        <v>83</v>
      </c>
      <c r="C38" s="397"/>
      <c r="D38" s="622" t="e">
        <f>#N/A</f>
        <v>#N/A</v>
      </c>
      <c r="E38" s="622"/>
      <c r="F38" s="622"/>
      <c r="G38" s="622"/>
      <c r="H38" s="380"/>
      <c r="I38" s="619"/>
      <c r="J38" s="619"/>
      <c r="K38" s="619"/>
      <c r="L38" s="619"/>
      <c r="M38" s="619"/>
      <c r="N38" s="619"/>
    </row>
    <row r="39" spans="2:14" ht="21.95" customHeight="1">
      <c r="B39" s="396" t="s">
        <v>84</v>
      </c>
      <c r="C39" s="397"/>
      <c r="D39" s="622" t="e">
        <f>#N/A</f>
        <v>#N/A</v>
      </c>
      <c r="E39" s="622"/>
      <c r="F39" s="622"/>
      <c r="G39" s="622"/>
      <c r="H39" s="380"/>
      <c r="I39" s="619"/>
      <c r="J39" s="619"/>
      <c r="K39" s="619"/>
      <c r="L39" s="619"/>
      <c r="M39" s="619"/>
      <c r="N39" s="619"/>
    </row>
    <row r="40" spans="2:14" ht="21.95" customHeight="1">
      <c r="B40" s="396" t="s">
        <v>85</v>
      </c>
      <c r="C40" s="397"/>
      <c r="D40" s="622" t="e">
        <f>#N/A</f>
        <v>#N/A</v>
      </c>
      <c r="E40" s="622"/>
      <c r="F40" s="622"/>
      <c r="G40" s="622"/>
      <c r="H40" s="380"/>
      <c r="I40" s="619"/>
      <c r="J40" s="619"/>
      <c r="K40" s="619"/>
      <c r="L40" s="619"/>
      <c r="M40" s="619"/>
      <c r="N40" s="619"/>
    </row>
    <row r="41" spans="2:14" ht="21.95" customHeight="1">
      <c r="B41" s="396" t="s">
        <v>86</v>
      </c>
      <c r="C41" s="398"/>
      <c r="D41" s="622" t="e">
        <f>#N/A</f>
        <v>#N/A</v>
      </c>
      <c r="E41" s="622"/>
      <c r="F41" s="622"/>
      <c r="G41" s="622"/>
      <c r="H41" s="380"/>
      <c r="I41" s="623"/>
      <c r="J41" s="623"/>
      <c r="K41" s="623"/>
      <c r="L41" s="623"/>
      <c r="M41" s="623"/>
      <c r="N41" s="623"/>
    </row>
  </sheetData>
  <sheetProtection password="CFC9" sheet="1"/>
  <mergeCells count="65">
    <mergeCell ref="D41:G41"/>
    <mergeCell ref="I41:N41"/>
    <mergeCell ref="D39:G39"/>
    <mergeCell ref="I39:N39"/>
    <mergeCell ref="D40:G40"/>
    <mergeCell ref="I40:N40"/>
    <mergeCell ref="D37:G37"/>
    <mergeCell ref="I37:N37"/>
    <mergeCell ref="D38:G38"/>
    <mergeCell ref="I38:N38"/>
    <mergeCell ref="D35:G35"/>
    <mergeCell ref="I35:N35"/>
    <mergeCell ref="D36:G36"/>
    <mergeCell ref="I36:N36"/>
    <mergeCell ref="D33:G33"/>
    <mergeCell ref="I33:N33"/>
    <mergeCell ref="D34:G34"/>
    <mergeCell ref="I34:N34"/>
    <mergeCell ref="D31:G31"/>
    <mergeCell ref="I31:N31"/>
    <mergeCell ref="D32:G32"/>
    <mergeCell ref="I32:N32"/>
    <mergeCell ref="D29:G29"/>
    <mergeCell ref="I29:N29"/>
    <mergeCell ref="D30:G30"/>
    <mergeCell ref="I30:N30"/>
    <mergeCell ref="B26:N26"/>
    <mergeCell ref="B28:C28"/>
    <mergeCell ref="D28:G28"/>
    <mergeCell ref="I28:N28"/>
    <mergeCell ref="D23:G23"/>
    <mergeCell ref="I23:N23"/>
    <mergeCell ref="D24:G24"/>
    <mergeCell ref="I24:N24"/>
    <mergeCell ref="D21:G21"/>
    <mergeCell ref="I21:N21"/>
    <mergeCell ref="D22:G22"/>
    <mergeCell ref="I22:N22"/>
    <mergeCell ref="D19:G19"/>
    <mergeCell ref="I19:N19"/>
    <mergeCell ref="D20:G20"/>
    <mergeCell ref="I20:N20"/>
    <mergeCell ref="B16:N16"/>
    <mergeCell ref="B18:C18"/>
    <mergeCell ref="D18:G18"/>
    <mergeCell ref="I18:N18"/>
    <mergeCell ref="D13:G13"/>
    <mergeCell ref="I13:N13"/>
    <mergeCell ref="D14:G14"/>
    <mergeCell ref="I14:N14"/>
    <mergeCell ref="D11:G11"/>
    <mergeCell ref="I11:N11"/>
    <mergeCell ref="D12:G12"/>
    <mergeCell ref="I12:N12"/>
    <mergeCell ref="E5:K5"/>
    <mergeCell ref="E6:K6"/>
    <mergeCell ref="B8:N8"/>
    <mergeCell ref="B10:C10"/>
    <mergeCell ref="D10:G10"/>
    <mergeCell ref="I10:N10"/>
    <mergeCell ref="B2:N2"/>
    <mergeCell ref="C3:D3"/>
    <mergeCell ref="E3:K3"/>
    <mergeCell ref="C4:D4"/>
    <mergeCell ref="E4:K4"/>
  </mergeCells>
  <phoneticPr fontId="68"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27"/>
  </sheetPr>
  <dimension ref="A1:M43"/>
  <sheetViews>
    <sheetView showGridLines="0" zoomScale="70" zoomScaleNormal="70" zoomScaleSheetLayoutView="100" workbookViewId="0">
      <selection activeCell="R31" sqref="R31"/>
    </sheetView>
  </sheetViews>
  <sheetFormatPr baseColWidth="10" defaultColWidth="10.7109375"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13.42578125" customWidth="1"/>
  </cols>
  <sheetData>
    <row r="1" spans="1:13" ht="30.75" customHeight="1"/>
    <row r="2" spans="1:13" ht="27.75" customHeight="1">
      <c r="B2" s="574" t="str">
        <f>+"Cuadro de mando:  "&amp;"  "&amp;+'Introducción de datos'!C4&amp;" - "&amp;'Introducción de datos'!G6</f>
        <v>Cuadro de mando:    El Salvador - TB</v>
      </c>
      <c r="C2" s="574"/>
      <c r="D2" s="574"/>
      <c r="E2" s="574"/>
      <c r="F2" s="574"/>
      <c r="G2" s="574"/>
      <c r="H2" s="574"/>
      <c r="I2" s="574"/>
      <c r="J2" s="574"/>
      <c r="K2" s="574"/>
      <c r="L2" s="574"/>
    </row>
    <row r="3" spans="1:13">
      <c r="B3" s="289">
        <f>+'Introducción de datos'!G8</f>
        <v>0</v>
      </c>
      <c r="C3" s="565">
        <f>+'Introducción de datos'!I8</f>
        <v>0</v>
      </c>
      <c r="D3" s="565"/>
      <c r="E3" s="566"/>
      <c r="F3" s="566"/>
      <c r="G3" s="566"/>
      <c r="H3" s="566"/>
      <c r="I3" s="566"/>
      <c r="J3" s="567" t="str">
        <f>+'Introducción de datos'!B16</f>
        <v>Periodo:</v>
      </c>
      <c r="K3" s="567"/>
      <c r="L3" s="290" t="str">
        <f>+'Introducción de datos'!C16</f>
        <v>P2</v>
      </c>
      <c r="M3" s="33"/>
    </row>
    <row r="4" spans="1:13">
      <c r="B4" s="289" t="str">
        <f>+'Introducción de datos'!B12</f>
        <v>Ultima calificación:</v>
      </c>
      <c r="C4" s="624" t="str">
        <f>+'Introducción de datos'!C12</f>
        <v>A2</v>
      </c>
      <c r="D4" s="624"/>
      <c r="E4" s="566" t="str">
        <f>+'Introducción de datos'!C8</f>
        <v xml:space="preserve">Ministerio de Salud </v>
      </c>
      <c r="F4" s="566"/>
      <c r="G4" s="566"/>
      <c r="H4" s="566"/>
      <c r="I4" s="566"/>
      <c r="J4" s="567" t="str">
        <f>+'Introducción de datos'!D16</f>
        <v>Desde:</v>
      </c>
      <c r="K4" s="567"/>
      <c r="L4" s="291">
        <f>+'Introducción de datos'!E16</f>
        <v>43831</v>
      </c>
    </row>
    <row r="5" spans="1:13" ht="18.75" customHeight="1">
      <c r="B5" s="289"/>
      <c r="C5" s="289"/>
      <c r="D5" s="566" t="str">
        <f>+'Introducción de datos'!G4</f>
        <v>Financiamiento al PENM TB 2017 - 2021</v>
      </c>
      <c r="E5" s="566"/>
      <c r="F5" s="566"/>
      <c r="G5" s="566"/>
      <c r="H5" s="566"/>
      <c r="I5" s="566"/>
      <c r="J5" s="566"/>
      <c r="K5" s="289" t="str">
        <f>+'Introducción de datos'!F16</f>
        <v>Hasta:</v>
      </c>
      <c r="L5" s="291">
        <f>+'Introducción de datos'!G16</f>
        <v>44196</v>
      </c>
    </row>
    <row r="6" spans="1:13" ht="18.75">
      <c r="B6" s="67"/>
      <c r="C6" s="289"/>
      <c r="D6" s="292"/>
      <c r="E6" s="568" t="s">
        <v>238</v>
      </c>
      <c r="F6" s="568"/>
      <c r="G6" s="568"/>
      <c r="H6" s="568"/>
      <c r="I6" s="568"/>
    </row>
    <row r="7" spans="1:13" ht="18.75">
      <c r="E7" s="399"/>
      <c r="F7" s="399"/>
      <c r="G7" s="399"/>
      <c r="H7" s="399"/>
      <c r="I7" s="399"/>
    </row>
    <row r="8" spans="1:13" s="347" customFormat="1" ht="21" customHeight="1">
      <c r="B8" s="400" t="s">
        <v>239</v>
      </c>
      <c r="C8" s="400"/>
      <c r="D8" s="400"/>
      <c r="E8" s="400"/>
      <c r="F8" s="400"/>
      <c r="G8" s="400"/>
      <c r="H8" s="400"/>
      <c r="I8" s="400"/>
      <c r="J8" s="400"/>
      <c r="K8" s="400"/>
      <c r="L8" s="400"/>
    </row>
    <row r="9" spans="1:13" ht="6" customHeight="1">
      <c r="B9" s="159"/>
    </row>
    <row r="10" spans="1:13">
      <c r="B10" s="625"/>
      <c r="C10" s="625"/>
      <c r="D10" s="625"/>
      <c r="E10" s="625"/>
      <c r="F10" s="625"/>
      <c r="G10" s="625"/>
      <c r="H10" s="625"/>
      <c r="I10" s="625"/>
      <c r="J10" s="625"/>
      <c r="K10" s="625"/>
      <c r="L10" s="625"/>
    </row>
    <row r="11" spans="1:13">
      <c r="B11" s="625"/>
      <c r="C11" s="625"/>
      <c r="D11" s="625"/>
      <c r="E11" s="625"/>
      <c r="F11" s="625"/>
      <c r="G11" s="625"/>
      <c r="H11" s="625"/>
      <c r="I11" s="625"/>
      <c r="J11" s="625"/>
      <c r="K11" s="625"/>
      <c r="L11" s="625"/>
    </row>
    <row r="13" spans="1:13" ht="42" customHeight="1">
      <c r="A13" s="401"/>
      <c r="B13" s="626" t="s">
        <v>240</v>
      </c>
      <c r="C13" s="626"/>
      <c r="D13" s="626"/>
      <c r="E13" s="626"/>
      <c r="F13" s="402"/>
      <c r="G13" s="627" t="s">
        <v>241</v>
      </c>
      <c r="H13" s="627"/>
      <c r="I13" s="627"/>
      <c r="J13" s="403" t="s">
        <v>242</v>
      </c>
      <c r="K13" s="628" t="s">
        <v>243</v>
      </c>
      <c r="L13" s="628"/>
    </row>
    <row r="14" spans="1:13" ht="29.25" customHeight="1">
      <c r="A14" s="634" t="s">
        <v>106</v>
      </c>
      <c r="B14" s="635"/>
      <c r="C14" s="635"/>
      <c r="D14" s="635"/>
      <c r="E14" s="635"/>
      <c r="F14" s="73"/>
      <c r="G14" s="636"/>
      <c r="H14" s="636"/>
      <c r="I14" s="636"/>
      <c r="J14" s="637"/>
      <c r="K14" s="629"/>
      <c r="L14" s="629"/>
    </row>
    <row r="15" spans="1:13" ht="2.25" customHeight="1">
      <c r="A15" s="634"/>
      <c r="B15" s="214"/>
      <c r="C15" s="214"/>
      <c r="D15" s="214"/>
      <c r="E15" s="214"/>
      <c r="F15" s="73"/>
      <c r="G15" s="636"/>
      <c r="H15" s="636"/>
      <c r="I15" s="636"/>
      <c r="J15" s="637"/>
      <c r="K15" s="629"/>
      <c r="L15" s="629"/>
    </row>
    <row r="16" spans="1:13" ht="25.5" customHeight="1">
      <c r="A16" s="634"/>
      <c r="B16" s="630"/>
      <c r="C16" s="630"/>
      <c r="D16" s="630"/>
      <c r="E16" s="630"/>
      <c r="F16" s="73"/>
      <c r="G16" s="631"/>
      <c r="H16" s="631"/>
      <c r="I16" s="631"/>
      <c r="J16" s="632"/>
      <c r="K16" s="633"/>
      <c r="L16" s="633"/>
    </row>
    <row r="17" spans="1:12" ht="4.5" customHeight="1">
      <c r="A17" s="634"/>
      <c r="B17" s="630"/>
      <c r="C17" s="630"/>
      <c r="D17" s="630"/>
      <c r="E17" s="630"/>
      <c r="F17" s="73"/>
      <c r="G17" s="631"/>
      <c r="H17" s="631"/>
      <c r="I17" s="631"/>
      <c r="J17" s="632"/>
      <c r="K17" s="633"/>
      <c r="L17" s="633"/>
    </row>
    <row r="18" spans="1:12">
      <c r="A18" s="634"/>
      <c r="B18" s="630"/>
      <c r="C18" s="630"/>
      <c r="D18" s="630"/>
      <c r="E18" s="630"/>
      <c r="F18" s="73"/>
      <c r="G18" s="638"/>
      <c r="H18" s="638"/>
      <c r="I18" s="638"/>
      <c r="J18" s="639"/>
      <c r="K18" s="633"/>
      <c r="L18" s="633"/>
    </row>
    <row r="19" spans="1:12" ht="21" customHeight="1">
      <c r="A19" s="634"/>
      <c r="B19" s="630"/>
      <c r="C19" s="630"/>
      <c r="D19" s="630"/>
      <c r="E19" s="630"/>
      <c r="F19" s="73"/>
      <c r="G19" s="638"/>
      <c r="H19" s="638"/>
      <c r="I19" s="638"/>
      <c r="J19" s="639"/>
      <c r="K19" s="639"/>
      <c r="L19" s="633"/>
    </row>
    <row r="20" spans="1:12">
      <c r="A20" s="634"/>
      <c r="B20" s="630"/>
      <c r="C20" s="630"/>
      <c r="D20" s="630"/>
      <c r="E20" s="630"/>
      <c r="F20" s="73"/>
      <c r="G20" s="640"/>
      <c r="H20" s="640"/>
      <c r="I20" s="640"/>
      <c r="J20" s="639"/>
      <c r="K20" s="633"/>
      <c r="L20" s="633"/>
    </row>
    <row r="21" spans="1:12">
      <c r="A21" s="634"/>
      <c r="B21" s="630"/>
      <c r="C21" s="630"/>
      <c r="D21" s="630"/>
      <c r="E21" s="630"/>
      <c r="F21" s="73"/>
      <c r="G21" s="640"/>
      <c r="H21" s="640"/>
      <c r="I21" s="640"/>
      <c r="J21" s="639"/>
      <c r="K21" s="639"/>
      <c r="L21" s="633"/>
    </row>
    <row r="22" spans="1:12">
      <c r="A22" s="634"/>
      <c r="B22" s="630"/>
      <c r="C22" s="630"/>
      <c r="D22" s="630"/>
      <c r="E22" s="630"/>
      <c r="F22" s="73"/>
      <c r="G22" s="640"/>
      <c r="H22" s="640"/>
      <c r="I22" s="640"/>
      <c r="J22" s="639"/>
      <c r="K22" s="633"/>
      <c r="L22" s="633"/>
    </row>
    <row r="23" spans="1:12">
      <c r="A23" s="634"/>
      <c r="B23" s="630"/>
      <c r="C23" s="630"/>
      <c r="D23" s="630"/>
      <c r="E23" s="630"/>
      <c r="F23" s="73"/>
      <c r="G23" s="640"/>
      <c r="H23" s="640"/>
      <c r="I23" s="640"/>
      <c r="J23" s="639"/>
      <c r="K23" s="639"/>
      <c r="L23" s="633"/>
    </row>
    <row r="24" spans="1:12">
      <c r="A24" s="634"/>
      <c r="B24" s="641"/>
      <c r="C24" s="641"/>
      <c r="D24" s="641"/>
      <c r="E24" s="641"/>
      <c r="F24" s="73"/>
      <c r="G24" s="642"/>
      <c r="H24" s="642"/>
      <c r="I24" s="642"/>
      <c r="J24" s="643"/>
      <c r="K24" s="644"/>
      <c r="L24" s="644"/>
    </row>
    <row r="25" spans="1:12">
      <c r="A25" s="634"/>
      <c r="B25" s="641"/>
      <c r="C25" s="641"/>
      <c r="D25" s="641"/>
      <c r="E25" s="641"/>
      <c r="F25" s="73"/>
      <c r="G25" s="642"/>
      <c r="H25" s="642"/>
      <c r="I25" s="642"/>
      <c r="J25" s="643"/>
      <c r="K25" s="643"/>
      <c r="L25" s="644"/>
    </row>
    <row r="26" spans="1:12">
      <c r="A26" s="401"/>
      <c r="B26" s="401"/>
      <c r="C26" s="401"/>
      <c r="D26" s="401"/>
      <c r="E26" s="401"/>
      <c r="F26" s="401"/>
      <c r="G26" s="401"/>
      <c r="H26" s="401"/>
      <c r="I26" s="401"/>
      <c r="J26" s="401"/>
      <c r="K26" s="401"/>
      <c r="L26" s="401"/>
    </row>
    <row r="27" spans="1:12" ht="18.75">
      <c r="A27" s="401"/>
      <c r="B27" s="401"/>
      <c r="C27" s="401"/>
      <c r="D27" s="401"/>
      <c r="E27" s="404" t="s">
        <v>244</v>
      </c>
      <c r="F27" s="404"/>
      <c r="G27" s="404"/>
      <c r="H27" s="404"/>
      <c r="I27" s="404"/>
      <c r="J27" s="401"/>
      <c r="K27" s="401"/>
      <c r="L27" s="401"/>
    </row>
    <row r="28" spans="1:12" ht="6" customHeight="1">
      <c r="A28" s="401"/>
      <c r="B28" s="401"/>
      <c r="C28" s="401"/>
      <c r="D28" s="401"/>
      <c r="E28" s="405"/>
      <c r="F28" s="405"/>
      <c r="G28" s="405"/>
      <c r="H28" s="405"/>
      <c r="I28" s="405"/>
      <c r="J28" s="401"/>
      <c r="K28" s="401"/>
      <c r="L28" s="401"/>
    </row>
    <row r="29" spans="1:12" s="347" customFormat="1" ht="21" customHeight="1">
      <c r="A29" s="406"/>
      <c r="B29" s="400" t="s">
        <v>245</v>
      </c>
      <c r="C29" s="407"/>
      <c r="D29" s="407"/>
      <c r="E29" s="407"/>
      <c r="F29" s="407"/>
      <c r="G29" s="407"/>
      <c r="H29" s="407"/>
      <c r="I29" s="407"/>
      <c r="J29" s="407"/>
      <c r="K29" s="407"/>
      <c r="L29" s="407"/>
    </row>
    <row r="30" spans="1:12" ht="6" customHeight="1">
      <c r="A30" s="401"/>
      <c r="B30" s="408"/>
      <c r="C30" s="401"/>
      <c r="D30" s="401"/>
      <c r="E30" s="401"/>
      <c r="F30" s="401"/>
      <c r="G30" s="401"/>
      <c r="H30" s="401"/>
      <c r="I30" s="401"/>
      <c r="J30" s="401"/>
      <c r="K30" s="401"/>
      <c r="L30" s="401"/>
    </row>
    <row r="31" spans="1:12" ht="45" customHeight="1">
      <c r="A31" s="401"/>
      <c r="B31" s="626" t="s">
        <v>241</v>
      </c>
      <c r="C31" s="626"/>
      <c r="D31" s="626"/>
      <c r="E31" s="626"/>
      <c r="F31" s="402"/>
      <c r="G31" s="627" t="s">
        <v>246</v>
      </c>
      <c r="H31" s="627"/>
      <c r="I31" s="627"/>
      <c r="J31" s="403" t="s">
        <v>242</v>
      </c>
      <c r="K31" s="628" t="s">
        <v>243</v>
      </c>
      <c r="L31" s="628"/>
    </row>
    <row r="32" spans="1:12" ht="18.75" customHeight="1">
      <c r="A32" s="634" t="s">
        <v>247</v>
      </c>
      <c r="B32" s="645"/>
      <c r="C32" s="645"/>
      <c r="D32" s="645"/>
      <c r="E32" s="645"/>
      <c r="F32" s="73"/>
      <c r="G32" s="646"/>
      <c r="H32" s="646"/>
      <c r="I32" s="646"/>
      <c r="J32" s="647"/>
      <c r="K32" s="648"/>
      <c r="L32" s="648"/>
    </row>
    <row r="33" spans="1:12" ht="18.75" customHeight="1">
      <c r="A33" s="634"/>
      <c r="B33" s="645"/>
      <c r="C33" s="645"/>
      <c r="D33" s="645"/>
      <c r="E33" s="645"/>
      <c r="F33" s="73"/>
      <c r="G33" s="646"/>
      <c r="H33" s="646"/>
      <c r="I33" s="646"/>
      <c r="J33" s="647"/>
      <c r="K33" s="647"/>
      <c r="L33" s="648"/>
    </row>
    <row r="34" spans="1:12" ht="18.75" customHeight="1">
      <c r="A34" s="634"/>
      <c r="B34" s="649" t="str">
        <f>IF(Recomendaciones!I43="","",Recomendaciones!I43)</f>
        <v/>
      </c>
      <c r="C34" s="649"/>
      <c r="D34" s="649"/>
      <c r="E34" s="649"/>
      <c r="F34" s="73"/>
      <c r="G34" s="640"/>
      <c r="H34" s="640"/>
      <c r="I34" s="640"/>
      <c r="J34" s="639"/>
      <c r="K34" s="633"/>
      <c r="L34" s="633"/>
    </row>
    <row r="35" spans="1:12" ht="18.75" customHeight="1">
      <c r="A35" s="634"/>
      <c r="B35" s="649"/>
      <c r="C35" s="649"/>
      <c r="D35" s="649"/>
      <c r="E35" s="649"/>
      <c r="F35" s="73"/>
      <c r="G35" s="640"/>
      <c r="H35" s="640"/>
      <c r="I35" s="640"/>
      <c r="J35" s="639"/>
      <c r="K35" s="639"/>
      <c r="L35" s="633"/>
    </row>
    <row r="36" spans="1:12" ht="18.75" customHeight="1">
      <c r="A36" s="634"/>
      <c r="B36" s="649" t="str">
        <f>+IF(Recomendaciones!I53="","",Recomendaciones!I53)</f>
        <v/>
      </c>
      <c r="C36" s="649"/>
      <c r="D36" s="649"/>
      <c r="E36" s="649"/>
      <c r="F36" s="73"/>
      <c r="G36" s="640"/>
      <c r="H36" s="640"/>
      <c r="I36" s="640"/>
      <c r="J36" s="639"/>
      <c r="K36" s="633"/>
      <c r="L36" s="633"/>
    </row>
    <row r="37" spans="1:12" ht="18.75" customHeight="1">
      <c r="A37" s="634"/>
      <c r="B37" s="649"/>
      <c r="C37" s="649"/>
      <c r="D37" s="649"/>
      <c r="E37" s="649"/>
      <c r="F37" s="73"/>
      <c r="G37" s="640"/>
      <c r="H37" s="640"/>
      <c r="I37" s="640"/>
      <c r="J37" s="639"/>
      <c r="K37" s="639"/>
      <c r="L37" s="633"/>
    </row>
    <row r="38" spans="1:12" ht="18.75" customHeight="1">
      <c r="A38" s="634"/>
      <c r="B38" s="649"/>
      <c r="C38" s="649"/>
      <c r="D38" s="649"/>
      <c r="E38" s="649"/>
      <c r="F38" s="73"/>
      <c r="G38" s="640"/>
      <c r="H38" s="640"/>
      <c r="I38" s="640"/>
      <c r="J38" s="639"/>
      <c r="K38" s="633"/>
      <c r="L38" s="633"/>
    </row>
    <row r="39" spans="1:12" ht="18.75" customHeight="1">
      <c r="A39" s="634"/>
      <c r="B39" s="649"/>
      <c r="C39" s="649"/>
      <c r="D39" s="649"/>
      <c r="E39" s="649"/>
      <c r="F39" s="73"/>
      <c r="G39" s="640"/>
      <c r="H39" s="640"/>
      <c r="I39" s="640"/>
      <c r="J39" s="639"/>
      <c r="K39" s="639"/>
      <c r="L39" s="633"/>
    </row>
    <row r="40" spans="1:12" ht="18.75" customHeight="1">
      <c r="A40" s="634"/>
      <c r="B40" s="649"/>
      <c r="C40" s="649"/>
      <c r="D40" s="649"/>
      <c r="E40" s="649"/>
      <c r="F40" s="73"/>
      <c r="G40" s="640"/>
      <c r="H40" s="640"/>
      <c r="I40" s="640"/>
      <c r="J40" s="639"/>
      <c r="K40" s="633"/>
      <c r="L40" s="633"/>
    </row>
    <row r="41" spans="1:12" ht="18.75" customHeight="1">
      <c r="A41" s="634"/>
      <c r="B41" s="649"/>
      <c r="C41" s="649"/>
      <c r="D41" s="649"/>
      <c r="E41" s="649"/>
      <c r="F41" s="73"/>
      <c r="G41" s="640"/>
      <c r="H41" s="640"/>
      <c r="I41" s="640"/>
      <c r="J41" s="639"/>
      <c r="K41" s="639"/>
      <c r="L41" s="633"/>
    </row>
    <row r="42" spans="1:12" ht="18.75" customHeight="1">
      <c r="A42" s="634"/>
      <c r="B42" s="650"/>
      <c r="C42" s="650"/>
      <c r="D42" s="650"/>
      <c r="E42" s="650"/>
      <c r="F42" s="73"/>
      <c r="G42" s="642"/>
      <c r="H42" s="642"/>
      <c r="I42" s="642"/>
      <c r="J42" s="643"/>
      <c r="K42" s="644"/>
      <c r="L42" s="644"/>
    </row>
    <row r="43" spans="1:12" ht="18.75" customHeight="1">
      <c r="A43" s="634"/>
      <c r="B43" s="650"/>
      <c r="C43" s="650"/>
      <c r="D43" s="650"/>
      <c r="E43" s="650"/>
      <c r="F43" s="73"/>
      <c r="G43" s="642"/>
      <c r="H43" s="642"/>
      <c r="I43" s="642"/>
      <c r="J43" s="643"/>
      <c r="K43" s="643"/>
      <c r="L43" s="644"/>
    </row>
  </sheetData>
  <sheetProtection selectLockedCells="1" selectUnlockedCells="1"/>
  <mergeCells count="66">
    <mergeCell ref="B36:E37"/>
    <mergeCell ref="G36:I37"/>
    <mergeCell ref="J36:J37"/>
    <mergeCell ref="K36:L37"/>
    <mergeCell ref="B42:E43"/>
    <mergeCell ref="G42:I43"/>
    <mergeCell ref="J42:J43"/>
    <mergeCell ref="K42:L43"/>
    <mergeCell ref="B40:E41"/>
    <mergeCell ref="G40:I41"/>
    <mergeCell ref="J40:J41"/>
    <mergeCell ref="K40:L41"/>
    <mergeCell ref="B31:E31"/>
    <mergeCell ref="G31:I31"/>
    <mergeCell ref="K31:L31"/>
    <mergeCell ref="A32:A43"/>
    <mergeCell ref="B32:E33"/>
    <mergeCell ref="G32:I33"/>
    <mergeCell ref="J32:J33"/>
    <mergeCell ref="K32:L33"/>
    <mergeCell ref="B34:E35"/>
    <mergeCell ref="G34:I35"/>
    <mergeCell ref="B38:E39"/>
    <mergeCell ref="G38:I39"/>
    <mergeCell ref="J38:J39"/>
    <mergeCell ref="K38:L39"/>
    <mergeCell ref="J34:J35"/>
    <mergeCell ref="K34:L35"/>
    <mergeCell ref="K18:L19"/>
    <mergeCell ref="B20:E21"/>
    <mergeCell ref="G20:I21"/>
    <mergeCell ref="J20:J21"/>
    <mergeCell ref="K20:L21"/>
    <mergeCell ref="K22:L23"/>
    <mergeCell ref="B24:E25"/>
    <mergeCell ref="G24:I25"/>
    <mergeCell ref="J24:J25"/>
    <mergeCell ref="K24:L25"/>
    <mergeCell ref="A14:A25"/>
    <mergeCell ref="B14:E14"/>
    <mergeCell ref="G14:I15"/>
    <mergeCell ref="J14:J15"/>
    <mergeCell ref="B18:E19"/>
    <mergeCell ref="G18:I19"/>
    <mergeCell ref="J18:J19"/>
    <mergeCell ref="B22:E23"/>
    <mergeCell ref="G22:I23"/>
    <mergeCell ref="J22:J23"/>
    <mergeCell ref="K14:L15"/>
    <mergeCell ref="B16:E17"/>
    <mergeCell ref="G16:I17"/>
    <mergeCell ref="J16:J17"/>
    <mergeCell ref="K16:L17"/>
    <mergeCell ref="E6:I6"/>
    <mergeCell ref="B10:L11"/>
    <mergeCell ref="B13:E13"/>
    <mergeCell ref="G13:I13"/>
    <mergeCell ref="K13:L13"/>
    <mergeCell ref="C4:D4"/>
    <mergeCell ref="E4:I4"/>
    <mergeCell ref="J4:K4"/>
    <mergeCell ref="D5:J5"/>
    <mergeCell ref="B2:L2"/>
    <mergeCell ref="C3:D3"/>
    <mergeCell ref="E3:I3"/>
    <mergeCell ref="J3:K3"/>
  </mergeCells>
  <phoneticPr fontId="68"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33333333333337" right="0.70833333333333337" top="0.74791666666666667" bottom="0.74861111111111112" header="0.51180555555555551" footer="0.31527777777777777"/>
  <pageSetup paperSize="9" firstPageNumber="0" orientation="landscape" horizontalDpi="300" verticalDpi="300"/>
  <headerFooter alignWithMargins="0">
    <oddFooter>&amp;L&amp;F&amp;C&amp;A&amp;R&amp;D</oddFooter>
  </headerFooter>
  <drawing r:id="rId1"/>
</worksheet>
</file>

<file path=docProps/app.xml><?xml version="1.0" encoding="utf-8"?>
<Properties xmlns="http://schemas.openxmlformats.org/officeDocument/2006/extended-properties" xmlns:vt="http://schemas.openxmlformats.org/officeDocument/2006/docPropsVTypes">
  <Template/>
  <TotalTime>574</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31</vt:i4>
      </vt:variant>
    </vt:vector>
  </HeadingPairs>
  <TitlesOfParts>
    <vt:vector size="41" baseType="lpstr">
      <vt:lpstr>Menú</vt:lpstr>
      <vt:lpstr>Lista de indicadores</vt:lpstr>
      <vt:lpstr>Introducción de datos</vt:lpstr>
      <vt:lpstr>Información de la subvención</vt:lpstr>
      <vt:lpstr>Financiamiento</vt:lpstr>
      <vt:lpstr>Gestión</vt:lpstr>
      <vt:lpstr>Programatico</vt:lpstr>
      <vt:lpstr>Recomendaciones</vt:lpstr>
      <vt:lpstr>Acciones</vt:lpstr>
      <vt:lpstr>Setup</vt:lpstr>
      <vt:lpstr>Acciones!__xlnm.Print_Area</vt:lpstr>
      <vt:lpstr>Financiamiento!__xlnm.Print_Area</vt:lpstr>
      <vt:lpstr>Gestión!__xlnm.Print_Area</vt:lpstr>
      <vt:lpstr>'Información de la subvención'!__xlnm.Print_Area</vt:lpstr>
      <vt:lpstr>'Introducción de datos'!__xlnm.Print_Area</vt:lpstr>
      <vt:lpstr>Programatico!__xlnm.Print_Area</vt:lpstr>
      <vt:lpstr>Acciones!Área_de_impresión</vt:lpstr>
      <vt:lpstr>Financiamiento!Área_de_impresión</vt:lpstr>
      <vt:lpstr>Gestión!Área_de_impresión</vt:lpstr>
      <vt:lpstr>'Información de la subvención'!Área_de_impresión</vt:lpstr>
      <vt:lpstr>'Introducción de datos'!Área_de_impresión</vt:lpstr>
      <vt:lpstr>Programatico!Área_de_impresión</vt:lpstr>
      <vt:lpstr>Ciudades</vt:lpstr>
      <vt:lpstr>Component</vt:lpstr>
      <vt:lpstr>Countries</vt:lpstr>
      <vt:lpstr>Currency</vt:lpstr>
      <vt:lpstr>LFA</vt:lpstr>
      <vt:lpstr>Medicaments</vt:lpstr>
      <vt:lpstr>PERIOD</vt:lpstr>
      <vt:lpstr>Phase</vt:lpstr>
      <vt:lpstr>PrintA</vt:lpstr>
      <vt:lpstr>PrintDataF</vt:lpstr>
      <vt:lpstr>PrintDataM</vt:lpstr>
      <vt:lpstr>PrintF</vt:lpstr>
      <vt:lpstr>PrintGD</vt:lpstr>
      <vt:lpstr>Acciones!PrintM</vt:lpstr>
      <vt:lpstr>PrintM</vt:lpstr>
      <vt:lpstr>PrintP</vt:lpstr>
      <vt:lpstr>PrintR</vt:lpstr>
      <vt:lpstr>Rating</vt:lpstr>
      <vt:lpstr>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CCM_Generic_Dashboard_es</dc:title>
  <dc:subject>&amp;lt;p&amp;gt;Setup  Acciones  Recomendaciones  Programatico  Gesti n  Financiamiento  Informaci n de la subvenci n  Introducci n de datos  Lista de indicadores  Men   Afganist n  Afganist n  Ciudades  Component  Countries  Countries  Currency  LFA  Medicaments  PERIOD  Phase  PrintA  PrintDataF  PrintDataM  PrintF  PrintGD  PrintM &amp;lt;/p&amp;gt;</dc:subject>
  <dc:creator>Genc Kastrati</dc:creator>
  <cp:keywords/>
  <dc:description>gt;</dc:description>
  <cp:lastModifiedBy>Lic. María Isabel Mendoza</cp:lastModifiedBy>
  <cp:revision>1</cp:revision>
  <cp:lastPrinted>2021-04-19T15:10:02Z</cp:lastPrinted>
  <dcterms:created xsi:type="dcterms:W3CDTF">2008-11-20T22:06:13Z</dcterms:created>
  <dcterms:modified xsi:type="dcterms:W3CDTF">2021-04-19T17:41:26Z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
    <vt:lpwstr>Document</vt:lpwstr>
  </property>
  <property fmtid="{D5CDD505-2E9C-101B-9397-08002B2CF9AE}" pid="4" name="ContentTypeId">
    <vt:lpwstr>0x0101004BF1F6075714FF459EA7921B9223C8F9</vt:lpwstr>
  </property>
  <property fmtid="{D5CDD505-2E9C-101B-9397-08002B2CF9AE}" pid="5" name="DocSecurity">
    <vt:i4>0</vt:i4>
  </property>
  <property fmtid="{D5CDD505-2E9C-101B-9397-08002B2CF9AE}" pid="6" name="EktCmsPath">
    <vt:lpwstr>&amp;</vt:lpwstr>
  </property>
  <property fmtid="{D5CDD505-2E9C-101B-9397-08002B2CF9AE}" pid="7" name="EktCmsSize">
    <vt:i4>856576</vt:i4>
  </property>
  <property fmtid="{D5CDD505-2E9C-101B-9397-08002B2CF9AE}" pid="8" name="EktContentLanguage">
    <vt:i4>1033</vt:i4>
  </property>
  <property fmtid="{D5CDD505-2E9C-101B-9397-08002B2CF9AE}" pid="9" name="EktContentSubType">
    <vt:i4>0</vt:i4>
  </property>
  <property fmtid="{D5CDD505-2E9C-101B-9397-08002B2CF9AE}" pid="10" name="EktContentType">
    <vt:i4>101</vt:i4>
  </property>
  <property fmtid="{D5CDD505-2E9C-101B-9397-08002B2CF9AE}" pid="11" name="EktDateCreated">
    <vt:filetime>2011-06-15T14:46:35Z</vt:filetime>
  </property>
  <property fmtid="{D5CDD505-2E9C-101B-9397-08002B2CF9AE}" pid="12" name="EktDateModified">
    <vt:filetime>2011-06-15T14:46:36Z</vt:filetime>
  </property>
  <property fmtid="{D5CDD505-2E9C-101B-9397-08002B2CF9AE}" pid="13" name="EktEDescription">
    <vt:lpwstr>Summary </vt:lpwstr>
  </property>
  <property fmtid="{D5CDD505-2E9C-101B-9397-08002B2CF9AE}" pid="14" name="EktExpiryType">
    <vt:i4>1</vt:i4>
  </property>
  <property fmtid="{D5CDD505-2E9C-101B-9397-08002B2CF9AE}" pid="15" name="EktFile_Size">
    <vt:lpwstr>819 KB</vt:lpwstr>
  </property>
  <property fmtid="{D5CDD505-2E9C-101B-9397-08002B2CF9AE}" pid="16" name="EktFile_Type">
    <vt:lpwstr>XLS</vt:lpwstr>
  </property>
  <property fmtid="{D5CDD505-2E9C-101B-9397-08002B2CF9AE}" pid="17" name="EktQuickLink">
    <vt:lpwstr>DownloadAsset.aspx?id=10409</vt:lpwstr>
  </property>
  <property fmtid="{D5CDD505-2E9C-101B-9397-08002B2CF9AE}" pid="18" name="EktSearchable">
    <vt:i4>1</vt:i4>
  </property>
  <property fmtid="{D5CDD505-2E9C-101B-9397-08002B2CF9AE}" pid="19" name="EktTaxCategory">
    <vt:lpwstr> #eksep# \Navigation\documents\ccm #eksep# </vt:lpwstr>
  </property>
  <property fmtid="{D5CDD505-2E9C-101B-9397-08002B2CF9AE}" pid="20" name="HyperlinksChanged">
    <vt:bool>false</vt:bool>
  </property>
  <property fmtid="{D5CDD505-2E9C-101B-9397-08002B2CF9AE}" pid="21" name="LinksUpToDate">
    <vt:bool>false</vt:bool>
  </property>
  <property fmtid="{D5CDD505-2E9C-101B-9397-08002B2CF9AE}" pid="22" name="Root_Map">
    <vt:lpwstr>C:\Documents and Settings\rfplain\Desktop\Root_Map.xsd</vt:lpwstr>
  </property>
  <property fmtid="{D5CDD505-2E9C-101B-9397-08002B2CF9AE}" pid="23" name="ScaleCrop">
    <vt:bool>false</vt:bool>
  </property>
  <property fmtid="{D5CDD505-2E9C-101B-9397-08002B2CF9AE}" pid="24" name="ShareDoc">
    <vt:bool>false</vt:bool>
  </property>
  <property fmtid="{D5CDD505-2E9C-101B-9397-08002B2CF9AE}" pid="25" name="ekttaxonomyenabled">
    <vt:i4>1</vt:i4>
  </property>
</Properties>
</file>