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gflores\Desktop\TABLERO DE MANDO TB AÑO 2021\"/>
    </mc:Choice>
  </mc:AlternateContent>
  <xr:revisionPtr revIDLastSave="0" documentId="8_{2E4D2569-F003-4A7C-A37F-B59B8148EBA9}" xr6:coauthVersionLast="47" xr6:coauthVersionMax="47" xr10:uidLastSave="{00000000-0000-0000-0000-000000000000}"/>
  <bookViews>
    <workbookView xWindow="-120" yWindow="-120" windowWidth="29040" windowHeight="15840" tabRatio="718" activeTab="6" xr2:uid="{00000000-000D-0000-FFFF-FFFF00000000}"/>
  </bookViews>
  <sheets>
    <sheet name="Menú" sheetId="1" r:id="rId1"/>
    <sheet name="Lista de indicadores" sheetId="2" r:id="rId2"/>
    <sheet name="Introducción de datos" sheetId="3" r:id="rId3"/>
    <sheet name="Información de la subvención" sheetId="4" r:id="rId4"/>
    <sheet name="Financiamiento" sheetId="11" r:id="rId5"/>
    <sheet name="Gestión" sheetId="6" r:id="rId6"/>
    <sheet name="Programatico" sheetId="7" r:id="rId7"/>
    <sheet name="Recomendaciones" sheetId="8" r:id="rId8"/>
    <sheet name="Acciones" sheetId="9" r:id="rId9"/>
    <sheet name="Setup" sheetId="10" state="hidden" r:id="rId10"/>
  </sheets>
  <externalReferences>
    <externalReference r:id="rId11"/>
    <externalReference r:id="rId12"/>
  </externalReferences>
  <definedNames>
    <definedName name="__xlfn_COMPOUNDVALUE">NA()</definedName>
    <definedName name="__xlfn_CUBEKPIMEMBER">NA()</definedName>
    <definedName name="__xlfn_CUBEMEMBER">NA()</definedName>
    <definedName name="__xlfn_CUBERANKEDMEMBER">NA()</definedName>
    <definedName name="__xlfn_CUBESET">NA()</definedName>
    <definedName name="__xlfn_CUBEVALUE">NA()</definedName>
    <definedName name="__xlnm.Print_Area" localSheetId="8">Acciones!$A$1:$L$43</definedName>
    <definedName name="__xlnm.Print_Area" localSheetId="4">Financiamiento!$A$2:$M$30</definedName>
    <definedName name="__xlnm.Print_Area" localSheetId="5">Gestión!$A$1:$L$32</definedName>
    <definedName name="__xlnm.Print_Area" localSheetId="3">'Información de la subvención'!$A$1:$K$15</definedName>
    <definedName name="__xlnm.Print_Area" localSheetId="2">'Introducción de datos'!$A$1:$Q$157</definedName>
    <definedName name="__xlnm.Print_Area" localSheetId="6">Programatico!$A$1:$Q$23</definedName>
    <definedName name="Afganistán" localSheetId="4">Financiamiento!Countries</definedName>
    <definedName name="Afganistán" localSheetId="0">#NAME?</definedName>
    <definedName name="Afganistán">Countries</definedName>
    <definedName name="_xlnm.Print_Area" localSheetId="8">Acciones!$A$1:$L$43</definedName>
    <definedName name="_xlnm.Print_Area" localSheetId="4">Financiamiento!$A$2:$M$30</definedName>
    <definedName name="_xlnm.Print_Area" localSheetId="5">Gestión!$A$1:$L$32</definedName>
    <definedName name="_xlnm.Print_Area" localSheetId="3">'Información de la subvención'!$A$1:$K$15</definedName>
    <definedName name="_xlnm.Print_Area" localSheetId="2">'Introducción de datos'!$A$1:$Q$157</definedName>
    <definedName name="_xlnm.Print_Area" localSheetId="6">Programatico!$A$1:$Q$23</definedName>
    <definedName name="Ciudades" localSheetId="4">#REF!</definedName>
    <definedName name="Ciudades">Setup!$J$9:$J$48</definedName>
    <definedName name="Component" localSheetId="4">#REF!</definedName>
    <definedName name="Component">Setup!$B$9:$B$14</definedName>
    <definedName name="Countries" localSheetId="4">#REF!</definedName>
    <definedName name="Countries" localSheetId="0">[1]Setup!$J$9:$J$48</definedName>
    <definedName name="Countries">Setup!$J$9:$J$48</definedName>
    <definedName name="Currency" localSheetId="4">#REF!</definedName>
    <definedName name="Currency">Setup!$C$9:$C$11</definedName>
    <definedName name="LFA" localSheetId="4">#REF!</definedName>
    <definedName name="LFA">Setup!$H$9:$H$22</definedName>
    <definedName name="Medicaments" localSheetId="4">#REF!</definedName>
    <definedName name="Medicaments">Setup!$I$9:$I$30</definedName>
    <definedName name="PERIOD" localSheetId="4">#REF!</definedName>
    <definedName name="PERIOD">Setup!$F$9:$F$21</definedName>
    <definedName name="Phase" localSheetId="4">#REF!</definedName>
    <definedName name="Phase">Setup!$E$9:$E$13</definedName>
    <definedName name="PrintA">Acciones!$A$2:$L$34</definedName>
    <definedName name="PrintDataF">'Introducción de datos'!$B$25:$J$76</definedName>
    <definedName name="PrintDataM">'Introducción de datos'!$B$78:$H$124</definedName>
    <definedName name="PrintF" localSheetId="4">Financiamiento!$A$2:$L$30</definedName>
    <definedName name="PrintF">#REF!</definedName>
    <definedName name="PrintGD">'Información de la subvención'!$A$2:$J$13</definedName>
    <definedName name="PrintM" localSheetId="8">Acciones!$A$2:$L$6</definedName>
    <definedName name="PrintM">Gestión!$A$2:$L$34</definedName>
    <definedName name="PrintP">Programatico!$A$2:$P$23</definedName>
    <definedName name="PrintR">Recomendaciones!$A$2:$N$41</definedName>
    <definedName name="Rating" localSheetId="4">#REF!</definedName>
    <definedName name="Rating">Setup!$G$9:$G$14</definedName>
    <definedName name="Round" localSheetId="4">#REF!</definedName>
    <definedName name="Round">Setup!$D$9:$D$21</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8" i="3" l="1"/>
  <c r="J132" i="3"/>
  <c r="B2" i="11" l="1"/>
  <c r="B3" i="11"/>
  <c r="C3" i="11"/>
  <c r="D3" i="11"/>
  <c r="J3" i="11"/>
  <c r="L3" i="11"/>
  <c r="B4" i="11"/>
  <c r="C4" i="11"/>
  <c r="E4" i="11"/>
  <c r="J4" i="11"/>
  <c r="L4" i="11"/>
  <c r="D5" i="11"/>
  <c r="K5" i="11"/>
  <c r="L5" i="11"/>
  <c r="B8" i="11"/>
  <c r="I8" i="11"/>
  <c r="P8" i="11"/>
  <c r="B22" i="11"/>
  <c r="I22" i="11"/>
  <c r="I27" i="11"/>
  <c r="K27" i="11"/>
  <c r="L27" i="11"/>
  <c r="I28" i="11"/>
  <c r="K28" i="11"/>
  <c r="L28" i="11"/>
  <c r="I29" i="11"/>
  <c r="K29" i="11"/>
  <c r="L29" i="11"/>
  <c r="D60" i="3"/>
  <c r="C65" i="3"/>
  <c r="C64" i="3"/>
  <c r="C63" i="3"/>
  <c r="C62" i="3"/>
  <c r="C61" i="3"/>
  <c r="C60" i="3"/>
  <c r="D56" i="3"/>
  <c r="D55" i="3"/>
  <c r="C55" i="3"/>
  <c r="D47" i="3"/>
  <c r="D46" i="3"/>
  <c r="D44" i="3"/>
  <c r="D43" i="3"/>
  <c r="D41" i="3"/>
  <c r="D40" i="3"/>
  <c r="D39" i="3"/>
  <c r="C47" i="3"/>
  <c r="C46" i="3"/>
  <c r="C45" i="3"/>
  <c r="C44" i="3"/>
  <c r="C43" i="3"/>
  <c r="C41" i="3"/>
  <c r="C40" i="3"/>
  <c r="C39" i="3"/>
  <c r="B9" i="4" l="1"/>
  <c r="F23" i="7" l="1"/>
  <c r="E23" i="7"/>
  <c r="F22" i="7"/>
  <c r="E22" i="7"/>
  <c r="F21" i="7"/>
  <c r="E21" i="7"/>
  <c r="F20" i="7"/>
  <c r="J137" i="3"/>
  <c r="J131" i="3"/>
  <c r="E20" i="7" s="1"/>
  <c r="G20" i="7" l="1"/>
  <c r="C58" i="3" l="1"/>
  <c r="D58" i="3" l="1"/>
  <c r="L152" i="3"/>
  <c r="L153" i="3"/>
  <c r="L154" i="3"/>
  <c r="L155" i="3"/>
  <c r="D109" i="3"/>
  <c r="E65" i="3"/>
  <c r="E64" i="3"/>
  <c r="E63" i="3"/>
  <c r="E62" i="3"/>
  <c r="E61" i="3"/>
  <c r="E60" i="3"/>
  <c r="J150" i="3" l="1"/>
  <c r="J151" i="3"/>
  <c r="J152" i="3"/>
  <c r="J153" i="3"/>
  <c r="J154" i="3"/>
  <c r="J155" i="3"/>
  <c r="E58" i="3" l="1"/>
  <c r="B2" i="9"/>
  <c r="B3" i="9"/>
  <c r="C3" i="9"/>
  <c r="J3" i="9"/>
  <c r="L3" i="9"/>
  <c r="B4" i="9"/>
  <c r="C4" i="9"/>
  <c r="E4" i="9"/>
  <c r="J4" i="9"/>
  <c r="L4" i="9"/>
  <c r="D5" i="9"/>
  <c r="K5" i="9"/>
  <c r="L5" i="9"/>
  <c r="B34" i="9"/>
  <c r="B36" i="9"/>
  <c r="B2" i="6"/>
  <c r="B3" i="6"/>
  <c r="C3" i="6"/>
  <c r="J3" i="6"/>
  <c r="L3" i="6"/>
  <c r="B4" i="6"/>
  <c r="C4" i="6"/>
  <c r="E4" i="6"/>
  <c r="J4" i="6"/>
  <c r="L4" i="6"/>
  <c r="D5" i="6"/>
  <c r="K5" i="6"/>
  <c r="L5" i="6"/>
  <c r="B27" i="6"/>
  <c r="H31" i="6"/>
  <c r="I31" i="6"/>
  <c r="E119" i="3"/>
  <c r="G119" i="3" s="1"/>
  <c r="I119" i="3" s="1"/>
  <c r="K31" i="6"/>
  <c r="B32" i="6"/>
  <c r="I32" i="6"/>
  <c r="E120" i="3"/>
  <c r="G120" i="3" s="1"/>
  <c r="I120" i="3" s="1"/>
  <c r="K32" i="6"/>
  <c r="I33" i="6"/>
  <c r="E121" i="3"/>
  <c r="G121" i="3" s="1"/>
  <c r="I121" i="3" s="1"/>
  <c r="K33" i="6"/>
  <c r="I34" i="6"/>
  <c r="E122" i="3"/>
  <c r="G122" i="3" s="1"/>
  <c r="I122" i="3" s="1"/>
  <c r="K34" i="6"/>
  <c r="I35" i="6"/>
  <c r="E123" i="3"/>
  <c r="G123" i="3" s="1"/>
  <c r="I123" i="3" s="1"/>
  <c r="K35" i="6"/>
  <c r="B3" i="4"/>
  <c r="B3" i="10" s="1"/>
  <c r="B6" i="4"/>
  <c r="F6" i="4"/>
  <c r="D9" i="4"/>
  <c r="G9" i="4"/>
  <c r="I9" i="4"/>
  <c r="B10" i="4"/>
  <c r="D10" i="4"/>
  <c r="G10" i="4"/>
  <c r="B11" i="4"/>
  <c r="D11" i="4"/>
  <c r="G11" i="4"/>
  <c r="I11" i="4"/>
  <c r="B12" i="4"/>
  <c r="G12" i="4"/>
  <c r="B13" i="4"/>
  <c r="G13" i="4"/>
  <c r="C33" i="3"/>
  <c r="C35" i="3" s="1"/>
  <c r="B31" i="3"/>
  <c r="B32" i="3"/>
  <c r="P32" i="3"/>
  <c r="P51" i="3"/>
  <c r="N35" i="3"/>
  <c r="P33" i="3"/>
  <c r="C34" i="3"/>
  <c r="D34" i="3" s="1"/>
  <c r="E34" i="3" s="1"/>
  <c r="P34" i="3"/>
  <c r="F35" i="3"/>
  <c r="G35" i="3"/>
  <c r="H35" i="3"/>
  <c r="I35" i="3"/>
  <c r="K35" i="3"/>
  <c r="L35" i="3"/>
  <c r="M35" i="3"/>
  <c r="P35" i="3"/>
  <c r="C38" i="3"/>
  <c r="D38" i="3"/>
  <c r="C49" i="3"/>
  <c r="P52" i="3"/>
  <c r="E53" i="3"/>
  <c r="O53" i="3"/>
  <c r="E55" i="3"/>
  <c r="E56" i="3"/>
  <c r="E57" i="3"/>
  <c r="P59" i="3"/>
  <c r="H83" i="3"/>
  <c r="H84" i="3"/>
  <c r="E90" i="3"/>
  <c r="E100" i="3"/>
  <c r="E101" i="3"/>
  <c r="E109" i="3"/>
  <c r="F109" i="3" s="1"/>
  <c r="L109" i="3"/>
  <c r="M109" i="3" s="1"/>
  <c r="N109" i="3" s="1"/>
  <c r="C110" i="3"/>
  <c r="L110" i="3"/>
  <c r="M110" i="3" s="1"/>
  <c r="N110" i="3" s="1"/>
  <c r="C111" i="3"/>
  <c r="D111" i="3" s="1"/>
  <c r="E111" i="3" s="1"/>
  <c r="L111" i="3"/>
  <c r="M111" i="3" s="1"/>
  <c r="N111" i="3" s="1"/>
  <c r="E124" i="3"/>
  <c r="G124" i="3" s="1"/>
  <c r="I124" i="3" s="1"/>
  <c r="K124" i="3" s="1"/>
  <c r="H149" i="3"/>
  <c r="I149" i="3"/>
  <c r="J149" i="3"/>
  <c r="K149" i="3"/>
  <c r="L149" i="3"/>
  <c r="M149" i="3"/>
  <c r="N149" i="3"/>
  <c r="O149" i="3"/>
  <c r="P149" i="3"/>
  <c r="Q149" i="3"/>
  <c r="B150" i="3"/>
  <c r="E150" i="3"/>
  <c r="F150" i="3"/>
  <c r="H150" i="3"/>
  <c r="I150" i="3"/>
  <c r="K150" i="3"/>
  <c r="L150" i="3"/>
  <c r="M150" i="3"/>
  <c r="N150" i="3"/>
  <c r="O150" i="3"/>
  <c r="P150" i="3"/>
  <c r="Q150" i="3"/>
  <c r="H151" i="3"/>
  <c r="I151" i="3"/>
  <c r="K151" i="3"/>
  <c r="L151" i="3"/>
  <c r="M151" i="3"/>
  <c r="N151" i="3"/>
  <c r="O151" i="3"/>
  <c r="P151" i="3"/>
  <c r="Q151" i="3"/>
  <c r="B152" i="3"/>
  <c r="E152" i="3"/>
  <c r="F152" i="3"/>
  <c r="H152" i="3"/>
  <c r="I152" i="3"/>
  <c r="K152" i="3"/>
  <c r="M152" i="3"/>
  <c r="N152" i="3"/>
  <c r="O152" i="3"/>
  <c r="P152" i="3"/>
  <c r="Q152" i="3"/>
  <c r="H153" i="3"/>
  <c r="I153" i="3"/>
  <c r="K153" i="3"/>
  <c r="M153" i="3"/>
  <c r="N153" i="3"/>
  <c r="O153" i="3"/>
  <c r="P153" i="3"/>
  <c r="Q153" i="3"/>
  <c r="B154" i="3"/>
  <c r="E154" i="3"/>
  <c r="F154" i="3"/>
  <c r="H154" i="3"/>
  <c r="I154" i="3"/>
  <c r="K154" i="3"/>
  <c r="M154" i="3"/>
  <c r="N154" i="3"/>
  <c r="O154" i="3"/>
  <c r="P154" i="3"/>
  <c r="Q154" i="3"/>
  <c r="H155" i="3"/>
  <c r="I155" i="3"/>
  <c r="K155" i="3"/>
  <c r="M155" i="3"/>
  <c r="N155" i="3"/>
  <c r="O155" i="3"/>
  <c r="P155" i="3"/>
  <c r="Q155" i="3"/>
  <c r="B2" i="2"/>
  <c r="B8" i="2"/>
  <c r="B9" i="2"/>
  <c r="B10" i="2"/>
  <c r="B11" i="2"/>
  <c r="B19" i="2"/>
  <c r="B20" i="2"/>
  <c r="B21" i="2"/>
  <c r="B22" i="2"/>
  <c r="B23" i="2"/>
  <c r="B25" i="2"/>
  <c r="B2" i="1"/>
  <c r="B4" i="1"/>
  <c r="H4" i="1"/>
  <c r="B2" i="7"/>
  <c r="B3" i="7"/>
  <c r="C3" i="7"/>
  <c r="O3" i="7"/>
  <c r="Q3" i="7"/>
  <c r="B4" i="7"/>
  <c r="C4" i="7"/>
  <c r="E4" i="7"/>
  <c r="P4" i="7"/>
  <c r="Q4" i="7"/>
  <c r="D5" i="7"/>
  <c r="P5" i="7"/>
  <c r="Q5" i="7"/>
  <c r="B21" i="7"/>
  <c r="G21" i="7"/>
  <c r="S21" i="7"/>
  <c r="U21" i="7"/>
  <c r="V21" i="7"/>
  <c r="W21" i="7"/>
  <c r="AA21" i="7"/>
  <c r="AB21" i="7"/>
  <c r="AC21" i="7"/>
  <c r="AD21" i="7"/>
  <c r="AE21" i="7"/>
  <c r="B22" i="7"/>
  <c r="G22" i="7"/>
  <c r="S22" i="7"/>
  <c r="T22" i="7"/>
  <c r="U22" i="7"/>
  <c r="V22" i="7"/>
  <c r="W22" i="7"/>
  <c r="Y22" i="7"/>
  <c r="Z22" i="7"/>
  <c r="AB22" i="7" s="1"/>
  <c r="B23" i="7"/>
  <c r="G23" i="7"/>
  <c r="S23" i="7"/>
  <c r="T23" i="7"/>
  <c r="U23" i="7"/>
  <c r="V23" i="7"/>
  <c r="W23" i="7"/>
  <c r="Y23" i="7"/>
  <c r="Z23" i="7" s="1"/>
  <c r="B2" i="8"/>
  <c r="B3" i="8"/>
  <c r="C3" i="8"/>
  <c r="L3" i="8"/>
  <c r="M3" i="8"/>
  <c r="B4" i="8"/>
  <c r="C4" i="8"/>
  <c r="E4" i="8"/>
  <c r="L4" i="8"/>
  <c r="M4" i="8"/>
  <c r="E5" i="8"/>
  <c r="L5" i="8"/>
  <c r="M5" i="8"/>
  <c r="D11" i="8"/>
  <c r="D12" i="8"/>
  <c r="D13" i="8"/>
  <c r="D14" i="8"/>
  <c r="D19" i="8"/>
  <c r="D20" i="8"/>
  <c r="E20" i="8"/>
  <c r="F20" i="8"/>
  <c r="D21" i="8"/>
  <c r="D22" i="8"/>
  <c r="D23" i="8"/>
  <c r="D24" i="8"/>
  <c r="D29" i="8"/>
  <c r="D30" i="8"/>
  <c r="D31" i="8"/>
  <c r="D32" i="8"/>
  <c r="D33" i="8"/>
  <c r="D34" i="8"/>
  <c r="D35" i="8"/>
  <c r="D36" i="8"/>
  <c r="D37" i="8"/>
  <c r="D38" i="8"/>
  <c r="D39" i="8"/>
  <c r="D40" i="8"/>
  <c r="D41" i="8"/>
  <c r="D110" i="3" l="1"/>
  <c r="E110" i="3" s="1"/>
  <c r="F110" i="3" s="1"/>
  <c r="P29" i="3"/>
  <c r="D33" i="3"/>
  <c r="P30" i="3" s="1"/>
  <c r="B7" i="6"/>
  <c r="AB23" i="7"/>
  <c r="AD23" i="7"/>
  <c r="D49" i="3"/>
  <c r="H16" i="6"/>
  <c r="AE23" i="7"/>
  <c r="AA22" i="7"/>
  <c r="D35" i="3"/>
  <c r="AA23" i="7"/>
  <c r="AE22" i="7"/>
  <c r="AD22" i="7"/>
  <c r="J34" i="6"/>
  <c r="K122" i="3"/>
  <c r="L34" i="6" s="1"/>
  <c r="J35" i="6"/>
  <c r="K123" i="3"/>
  <c r="L35" i="6" s="1"/>
  <c r="J33" i="6"/>
  <c r="K121" i="3"/>
  <c r="L33" i="6" s="1"/>
  <c r="J32" i="6"/>
  <c r="K120" i="3"/>
  <c r="L32" i="6" s="1"/>
  <c r="K119" i="3"/>
  <c r="L31" i="6" s="1"/>
  <c r="J31" i="6"/>
  <c r="B16" i="6"/>
  <c r="AC23" i="7"/>
  <c r="AC22" i="7"/>
  <c r="J35" i="3"/>
  <c r="H27" i="6"/>
  <c r="H7" i="6"/>
  <c r="F49" i="3" l="1"/>
  <c r="E33" i="3"/>
  <c r="P31" i="3" l="1"/>
  <c r="E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3" authorId="0" shapeId="0" xr:uid="{00000000-0006-0000-0200-000001000000}">
      <text>
        <r>
          <rPr>
            <b/>
            <sz val="8"/>
            <color indexed="32"/>
            <rFont val="Tahoma"/>
            <family val="2"/>
            <charset val="1"/>
          </rPr>
          <t xml:space="preserve">Si los datos no están disponibles, no introduzca ceros; deje las celdas de la tabla en blanco. </t>
        </r>
      </text>
    </comment>
    <comment ref="B84" authorId="0" shapeId="0" xr:uid="{00000000-0006-0000-0200-000002000000}">
      <text>
        <r>
          <rPr>
            <b/>
            <sz val="8"/>
            <color indexed="32"/>
            <rFont val="Tahoma"/>
            <family val="2"/>
            <charset val="1"/>
          </rPr>
          <t>Si los datos no están disponibles, no introduzca ceros; deje las celdas de esta tabla en blanco.</t>
        </r>
      </text>
    </comment>
  </commentList>
</comments>
</file>

<file path=xl/sharedStrings.xml><?xml version="1.0" encoding="utf-8"?>
<sst xmlns="http://schemas.openxmlformats.org/spreadsheetml/2006/main" count="512" uniqueCount="374">
  <si>
    <t>Indicadores Financieros</t>
  </si>
  <si>
    <t>Nombre:</t>
  </si>
  <si>
    <t>Definición</t>
  </si>
  <si>
    <t>Mediciones</t>
  </si>
  <si>
    <t>Fuentes de información</t>
  </si>
  <si>
    <r>
      <t xml:space="preserve">Presupuesto acumulado: </t>
    </r>
    <r>
      <rPr>
        <sz val="11"/>
        <color indexed="8"/>
        <rFont val="Arial"/>
        <family val="2"/>
        <charset val="1"/>
      </rPr>
      <t xml:space="preserve">Importe del presupuesto de la subvención desde el periodo uno (trimestral, cuatrimestral o semestral) de la fase actual, hasta el periodo de referencia del cuadro de mando inclusive.
</t>
    </r>
    <r>
      <rPr>
        <b/>
        <sz val="11"/>
        <color indexed="8"/>
        <rFont val="Arial"/>
        <family val="2"/>
        <charset val="1"/>
      </rPr>
      <t xml:space="preserve">Desembolsos acumulados realizados por el Fondo Mundial: </t>
    </r>
    <r>
      <rPr>
        <sz val="11"/>
        <color indexed="8"/>
        <rFont val="Arial"/>
        <family val="2"/>
        <charset val="1"/>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</si>
  <si>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</si>
  <si>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</si>
  <si>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charset val="1"/>
      </rPr>
      <t xml:space="preserve"> Suma del presupuesto de la subvención por Objetivo, desde el periodo uno de la fase actual hasta el periodo de referencia del cuadro de mando inclusive. 
</t>
    </r>
    <r>
      <rPr>
        <b/>
        <sz val="11"/>
        <color indexed="8"/>
        <rFont val="Arial"/>
        <family val="2"/>
        <charset val="1"/>
      </rPr>
      <t>Gasto acumulado por objetivo:</t>
    </r>
    <r>
      <rPr>
        <sz val="11"/>
        <color indexed="8"/>
        <rFont val="Arial"/>
        <family val="2"/>
        <charset val="1"/>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</si>
  <si>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</si>
  <si>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charset val="1"/>
      </rPr>
      <t xml:space="preserve"> Suma de las cantidades transferidas por el Fondo Mundial al RP o abonadas directamente a los proveedores (p. ej. medicamentos, equipo, mosquiteras),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Desembolso realizado por el Fondo Mundial: Periodo de referencia:</t>
    </r>
    <r>
      <rPr>
        <sz val="11"/>
        <color indexed="8"/>
        <rFont val="Arial"/>
        <family val="2"/>
        <charset val="1"/>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charset val="1"/>
      </rPr>
      <t>Desembolsos y gastos del RP:</t>
    </r>
    <r>
      <rPr>
        <sz val="11"/>
        <color indexed="8"/>
        <rFont val="Arial"/>
        <family val="2"/>
        <charset val="1"/>
      </rPr>
      <t xml:space="preserve"> </t>
    </r>
    <r>
      <rPr>
        <b/>
        <sz val="11"/>
        <color indexed="8"/>
        <rFont val="Arial"/>
        <family val="2"/>
        <charset val="1"/>
      </rPr>
      <t>Antes de este periodo de referencia:</t>
    </r>
    <r>
      <rPr>
        <sz val="11"/>
        <color indexed="8"/>
        <rFont val="Arial"/>
        <family val="2"/>
        <charset val="1"/>
      </rPr>
      <t xml:space="preserve"> Total de fondos registrados como gastados por el RP y/o desembolsados a los subreceptores hasta, </t>
    </r>
    <r>
      <rPr>
        <b/>
        <i/>
        <sz val="11"/>
        <color indexed="8"/>
        <rFont val="Arial"/>
        <family val="2"/>
        <charset val="1"/>
      </rPr>
      <t xml:space="preserve">aunque sin incluirlo, </t>
    </r>
    <r>
      <rPr>
        <sz val="11"/>
        <color indexed="8"/>
        <rFont val="Arial"/>
        <family val="2"/>
        <charset val="1"/>
      </rPr>
      <t>el periodo de referencia del cuadro de mando.</t>
    </r>
    <r>
      <rPr>
        <b/>
        <sz val="11"/>
        <color indexed="8"/>
        <rFont val="Arial"/>
        <family val="2"/>
        <charset val="1"/>
      </rPr>
      <t xml:space="preserve"> Desembolsos y gastos del RP: Periodo de referencia:</t>
    </r>
    <r>
      <rPr>
        <sz val="11"/>
        <color indexed="8"/>
        <rFont val="Arial"/>
        <family val="2"/>
        <charset val="1"/>
      </rPr>
      <t xml:space="preserve"> Total de fondos registrados como gastados por el RP y/o desembolsados a los subreceptores durante el periodo de referencia del cuadro de mando.
</t>
    </r>
    <r>
      <rPr>
        <b/>
        <sz val="11"/>
        <color indexed="8"/>
        <rFont val="Arial"/>
        <family val="2"/>
        <charset val="1"/>
      </rPr>
      <t xml:space="preserve">Desembolsos a los subreceptores: Antes de este periodo de referencia: </t>
    </r>
    <r>
      <rPr>
        <sz val="11"/>
        <color indexed="8"/>
        <rFont val="Arial"/>
        <family val="2"/>
        <charset val="1"/>
      </rPr>
      <t xml:space="preserve">El importe total transferido por el RP a los subreceptores,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 xml:space="preserve">Desembolsos a los subreceptores: Periodo de referencia: </t>
    </r>
    <r>
      <rPr>
        <sz val="11"/>
        <color indexed="8"/>
        <rFont val="Arial"/>
        <family val="2"/>
        <charset val="1"/>
      </rPr>
      <t xml:space="preserve">El importe total transferido por el RP a los subreceptores en el periodo de referencia del cuadro de mando.
</t>
    </r>
    <r>
      <rPr>
        <b/>
        <sz val="11"/>
        <color indexed="8"/>
        <rFont val="Arial"/>
        <family val="2"/>
        <charset val="1"/>
      </rPr>
      <t xml:space="preserve">Gastos de los subreceptores: Antes de este periodo de referencia: </t>
    </r>
    <r>
      <rPr>
        <sz val="11"/>
        <color indexed="8"/>
        <rFont val="Arial"/>
        <family val="2"/>
        <charset val="1"/>
      </rPr>
      <t xml:space="preserve">El importe de todos los gastos registrados por los subreceptores,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Gastos de los subreceptores: Periodo de referencia:</t>
    </r>
    <r>
      <rPr>
        <sz val="11"/>
        <color indexed="8"/>
        <rFont val="Arial"/>
        <family val="2"/>
        <charset val="1"/>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</si>
  <si>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charset val="1"/>
      </rPr>
      <t>aunque sin incluirlo,</t>
    </r>
    <r>
      <rPr>
        <sz val="11"/>
        <color indexed="8"/>
        <rFont val="Arial"/>
        <family val="2"/>
        <charset val="1"/>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</si>
  <si>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</si>
  <si>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charset val="1"/>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charset val="1"/>
      </rPr>
      <t xml:space="preserve">Días que el desembolso ha tardado en llegar al RP – </t>
    </r>
    <r>
      <rPr>
        <sz val="11"/>
        <color indexed="8"/>
        <rFont val="Arial"/>
        <family val="2"/>
        <charset val="1"/>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charset val="1"/>
      </rPr>
      <t xml:space="preserve">Días que el desembolso ha tardado en llegar a los subreceptores – </t>
    </r>
    <r>
      <rPr>
        <sz val="11"/>
        <color indexed="8"/>
        <rFont val="Arial"/>
        <family val="2"/>
        <charset val="1"/>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</si>
  <si>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charset val="1"/>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</si>
  <si>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</si>
  <si>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</si>
  <si>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</si>
  <si>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charset val="1"/>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</si>
  <si>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</si>
  <si>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</si>
  <si>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charset val="1"/>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</si>
  <si>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</si>
  <si>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</si>
  <si>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charset val="1"/>
      </rPr>
      <t xml:space="preserve">Identificados: </t>
    </r>
    <r>
      <rPr>
        <sz val="11"/>
        <color indexed="8"/>
        <rFont val="Arial"/>
        <family val="2"/>
        <charset val="1"/>
      </rPr>
      <t xml:space="preserve">Número total de subreceptores potenciales identificados por el RP para la fase. </t>
    </r>
    <r>
      <rPr>
        <b/>
        <sz val="11"/>
        <color indexed="8"/>
        <rFont val="Arial"/>
        <family val="2"/>
        <charset val="1"/>
      </rPr>
      <t xml:space="preserve">Evaluados: </t>
    </r>
    <r>
      <rPr>
        <sz val="11"/>
        <color indexed="8"/>
        <rFont val="Arial"/>
        <family val="2"/>
        <charset val="1"/>
      </rPr>
      <t xml:space="preserve">Número total de subreceptores potenciales evaluados por el RP para determinar si cumplen los requisitos para actuar como subreceptores de la subvención. </t>
    </r>
    <r>
      <rPr>
        <b/>
        <sz val="11"/>
        <color indexed="8"/>
        <rFont val="Arial"/>
        <family val="2"/>
        <charset val="1"/>
      </rPr>
      <t>Aprobados:</t>
    </r>
    <r>
      <rPr>
        <sz val="11"/>
        <color indexed="8"/>
        <rFont val="Arial"/>
        <family val="2"/>
        <charset val="1"/>
      </rPr>
      <t xml:space="preserve"> Número total de subreceptores que han sido aprobados</t>
    </r>
    <r>
      <rPr>
        <b/>
        <sz val="11"/>
        <color indexed="8"/>
        <rFont val="Arial"/>
        <family val="2"/>
        <charset val="1"/>
      </rPr>
      <t xml:space="preserve">. Firmados: </t>
    </r>
    <r>
      <rPr>
        <sz val="11"/>
        <color indexed="8"/>
        <rFont val="Arial"/>
        <family val="2"/>
        <charset val="1"/>
      </rPr>
      <t xml:space="preserve">Número total de subreceptores que han firmado acuerdos o contratos con el RP en relación a la subvención. </t>
    </r>
    <r>
      <rPr>
        <b/>
        <sz val="11"/>
        <color indexed="8"/>
        <rFont val="Arial"/>
        <family val="2"/>
        <charset val="1"/>
      </rPr>
      <t xml:space="preserve">Que reciben financiación: </t>
    </r>
    <r>
      <rPr>
        <sz val="11"/>
        <color indexed="8"/>
        <rFont val="Arial"/>
        <family val="2"/>
        <charset val="1"/>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charset val="1"/>
      </rPr>
      <t>no</t>
    </r>
    <r>
      <rPr>
        <sz val="11"/>
        <color indexed="8"/>
        <rFont val="Arial"/>
        <family val="2"/>
        <charset val="1"/>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</si>
  <si>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</si>
  <si>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</si>
  <si>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</si>
  <si>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charset val="1"/>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</si>
  <si>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</si>
  <si>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charset val="1"/>
      </rPr>
      <t xml:space="preserve">aprobado: </t>
    </r>
    <r>
      <rPr>
        <sz val="11"/>
        <color indexed="8"/>
        <rFont val="Arial"/>
        <family val="2"/>
        <charset val="1"/>
      </rPr>
      <t xml:space="preserve">Presupuesto total aprobado para las compras (categorías 4 y 5) </t>
    </r>
    <r>
      <rPr>
        <b/>
        <i/>
        <sz val="11"/>
        <color indexed="8"/>
        <rFont val="Arial"/>
        <family val="2"/>
        <charset val="1"/>
      </rPr>
      <t>para la fase completa</t>
    </r>
    <r>
      <rPr>
        <i/>
        <sz val="11"/>
        <color indexed="8"/>
        <rFont val="Arial"/>
        <family val="2"/>
        <charset val="1"/>
      </rPr>
      <t xml:space="preserve"> </t>
    </r>
    <r>
      <rPr>
        <sz val="11"/>
        <color indexed="8"/>
        <rFont val="Arial"/>
        <family val="2"/>
        <charset val="1"/>
      </rPr>
      <t xml:space="preserve">de la subvención. No incluye las sumas para honorarios, gastos de gestión, gastos operativos, etc.
</t>
    </r>
    <r>
      <rPr>
        <b/>
        <sz val="11"/>
        <color indexed="8"/>
        <rFont val="Arial"/>
        <family val="2"/>
        <charset val="1"/>
      </rPr>
      <t>Obligaciones acumuladas:</t>
    </r>
    <r>
      <rPr>
        <sz val="11"/>
        <color indexed="8"/>
        <rFont val="Arial"/>
        <family val="2"/>
        <charset val="1"/>
      </rPr>
      <t xml:space="preserve"> Total de todos los pedidos realizados y sumas de dinero comprometidas para estas compras por parte del RP </t>
    </r>
    <r>
      <rPr>
        <b/>
        <i/>
        <sz val="11"/>
        <color indexed="8"/>
        <rFont val="Arial"/>
        <family val="2"/>
        <charset val="1"/>
      </rPr>
      <t xml:space="preserve">hasta </t>
    </r>
    <r>
      <rPr>
        <sz val="11"/>
        <color indexed="8"/>
        <rFont val="Arial"/>
        <family val="2"/>
        <charset val="1"/>
      </rPr>
      <t xml:space="preserve">el periodo de referencia del cuadro de mando inclusive. Lo ideal es que, al final de la fase, el presupuesto iguale a las obligaciones.
</t>
    </r>
    <r>
      <rPr>
        <b/>
        <sz val="11"/>
        <color indexed="8"/>
        <rFont val="Arial"/>
        <family val="2"/>
        <charset val="1"/>
      </rPr>
      <t>Gasto acumulado:</t>
    </r>
    <r>
      <rPr>
        <sz val="11"/>
        <color indexed="8"/>
        <rFont val="Arial"/>
        <family val="2"/>
        <charset val="1"/>
      </rPr>
      <t xml:space="preserve"> Total del gasto real en las categorías 4 y 5 </t>
    </r>
    <r>
      <rPr>
        <b/>
        <i/>
        <sz val="11"/>
        <color indexed="8"/>
        <rFont val="Arial"/>
        <family val="2"/>
        <charset val="1"/>
      </rPr>
      <t>hasta</t>
    </r>
    <r>
      <rPr>
        <sz val="11"/>
        <color indexed="8"/>
        <rFont val="Arial"/>
        <family val="2"/>
        <charset val="1"/>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</si>
  <si>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</si>
  <si>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</si>
  <si>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charset val="1"/>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</si>
  <si>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</si>
  <si>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</si>
  <si>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</si>
  <si>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</si>
  <si>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</si>
  <si>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</si>
  <si>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</si>
  <si>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</si>
  <si>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</si>
  <si>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</si>
  <si>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</si>
  <si>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</si>
  <si>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</si>
  <si>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 xml:space="preserve">SLV-T-MOH </t>
  </si>
  <si>
    <t>Componente:</t>
  </si>
  <si>
    <t>TB</t>
  </si>
  <si>
    <t>Financiación total:</t>
  </si>
  <si>
    <t>Receptor Principal:</t>
  </si>
  <si>
    <t xml:space="preserve">Ministerio de Salud </t>
  </si>
  <si>
    <t>Fecha de inicio (dd/mm/aa):</t>
  </si>
  <si>
    <t>Agente Local del Fondo:</t>
  </si>
  <si>
    <t>Grupo Jacobs</t>
  </si>
  <si>
    <t>Ultima calificación:</t>
  </si>
  <si>
    <t>B1</t>
  </si>
  <si>
    <t>Gerente de Cartera del Fondo:</t>
  </si>
  <si>
    <t>Periodo de referencia del que se informa</t>
  </si>
  <si>
    <t>Periodo:</t>
  </si>
  <si>
    <t>P2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</si>
  <si>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</si>
  <si>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</si>
  <si>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</si>
  <si>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</si>
  <si>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</si>
  <si>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</si>
  <si>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</si>
  <si>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</si>
  <si>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</si>
  <si>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</si>
  <si>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</si>
  <si>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</si>
  <si>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</si>
  <si>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</si>
  <si>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</si>
  <si>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P1</t>
  </si>
  <si>
    <t>P3</t>
  </si>
  <si>
    <t>P4</t>
  </si>
  <si>
    <t>P5</t>
  </si>
  <si>
    <t>P6</t>
  </si>
  <si>
    <t>P7</t>
  </si>
  <si>
    <t>P8</t>
  </si>
  <si>
    <t>P9</t>
  </si>
  <si>
    <t>P10</t>
  </si>
  <si>
    <t>P11</t>
  </si>
  <si>
    <t>P12</t>
  </si>
  <si>
    <t>Presupuesto acumulado</t>
  </si>
  <si>
    <t>Desembolsos  acumulados</t>
  </si>
  <si>
    <t>F2: Presupuesto y gastos reales por estrategias de la subvención anual</t>
  </si>
  <si>
    <t>Estrategias de la Subvención</t>
  </si>
  <si>
    <t>1: Detección precoz de casos de tuberculosis</t>
  </si>
  <si>
    <t>2: Tratamiento de casos TB de todas las formas</t>
  </si>
  <si>
    <t>3: Detección de casos TB/MDR</t>
  </si>
  <si>
    <t>4: Tratamiento de casos TB/MDR</t>
  </si>
  <si>
    <t>5: Disminución de la mortalidad por TB/VIH</t>
  </si>
  <si>
    <t>6: Atención integral a grupos de más alto riesgo</t>
  </si>
  <si>
    <t>7: Fortalecimiento al Sistema de Salud</t>
  </si>
  <si>
    <t>Monitoreo y Evaluación</t>
  </si>
  <si>
    <t>Planificación, Coordinación y Gerencia</t>
  </si>
  <si>
    <t>Total</t>
  </si>
  <si>
    <t>* Informe de avance semestral de gastos y el presupuesto es anual</t>
  </si>
  <si>
    <t>F3: Desembolsos y gastos</t>
  </si>
  <si>
    <t>Anterior al periodo de referencia</t>
  </si>
  <si>
    <t>Periodo de referencia actual</t>
  </si>
  <si>
    <t>Gasto* + Desembolso agentes*</t>
  </si>
  <si>
    <t>Saldo en caja</t>
  </si>
  <si>
    <t>F3a: Detalles Desembolsos y gastos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</si>
  <si>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</si>
  <si>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</si>
  <si>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</si>
  <si>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</si>
  <si>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</si>
  <si>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</si>
  <si>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Días que el desembolso ha tardado en llegar a los agentes de compra</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</si>
  <si>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</si>
  <si>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</si>
  <si>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</si>
  <si>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</si>
  <si>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</si>
  <si>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</si>
  <si>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</si>
  <si>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</si>
  <si>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</si>
  <si>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</si>
  <si>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</si>
  <si>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</si>
  <si>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</si>
  <si>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</si>
  <si>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M3: Acuerdos contractuales</t>
  </si>
  <si>
    <t>Identificados</t>
  </si>
  <si>
    <t>Evaluados</t>
  </si>
  <si>
    <t>Aprobados</t>
  </si>
  <si>
    <t>Firmados</t>
  </si>
  <si>
    <t>Que reciben financiación</t>
  </si>
  <si>
    <t>Subreceptores</t>
  </si>
  <si>
    <t>N/A</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</si>
  <si>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</si>
  <si>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</si>
  <si>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</si>
  <si>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</si>
  <si>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</si>
  <si>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</si>
  <si>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</si>
  <si>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</si>
  <si>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</si>
  <si>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</si>
  <si>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</si>
  <si>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</si>
  <si>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</si>
  <si>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</si>
  <si>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</si>
  <si>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</si>
  <si>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</si>
  <si>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</si>
  <si>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</si>
  <si>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</si>
  <si>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</si>
  <si>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</si>
  <si>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</si>
  <si>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</si>
  <si>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</si>
  <si>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</si>
  <si>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</si>
  <si>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</si>
  <si>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</si>
  <si>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Levofloxacina</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</si>
  <si>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</si>
  <si>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</si>
  <si>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</si>
  <si>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</si>
  <si>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</si>
  <si>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</si>
  <si>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</si>
  <si>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</si>
  <si>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</si>
  <si>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</si>
  <si>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</si>
  <si>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</si>
  <si>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</si>
  <si>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</si>
  <si>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</si>
  <si>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</si>
  <si>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</si>
  <si>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</si>
  <si>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</si>
  <si>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</si>
  <si>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</si>
  <si>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</si>
  <si>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</si>
  <si>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</si>
  <si>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</si>
  <si>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 xml:space="preserve">Se ha cumplido con los informes presentados de forma oportuna, asi como el FM a enviado los desembolsos de forma anticipado. </t>
  </si>
  <si>
    <t>Último desembolso de fondos: Días calendario</t>
  </si>
  <si>
    <t>No hay sub receptores</t>
  </si>
  <si>
    <t>Adquisición a traves del Fondo Estrategico OPS.</t>
  </si>
  <si>
    <t>Los productos enlistados son medicamentos antituberculosis de segunda linea,es importante hacer mención que estos son adquiridos con financiamiento del Estado como compromiso de contrapartida.
Los medicamentos que se denotan como desabastecidos ha sido porque se han utilizado otros generico familiar ejemplo de ello la Ciprofloxacina por Levofloxacina y la Gentamicina por Amikacina, medicamnetos que son adquiridos por financiamiento del estado, el paciente no se ha encontrado sin su medicación.
Otros productos son medicamentos para tratamiento de reacciones adversas a farmacos antituberculosis (RAFA) los cuales estan en tramite de compra y de ingreso a bodega en proximas fechas.</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</si>
  <si>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</si>
  <si>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</si>
  <si>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</si>
  <si>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</si>
  <si>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</si>
  <si>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</si>
  <si>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</si>
  <si>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</si>
  <si>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0% - 59%</t>
  </si>
  <si>
    <t>60% - 89%</t>
  </si>
  <si>
    <t>&gt; 90%</t>
  </si>
  <si>
    <t>Comentarios</t>
  </si>
  <si>
    <t>¿Cumplen lo acordado la adquisición y la contratación?</t>
  </si>
  <si>
    <t>Gestión</t>
  </si>
  <si>
    <t>Comentarios resumidos</t>
  </si>
  <si>
    <t>Recomendaciones</t>
  </si>
  <si>
    <t>M1</t>
  </si>
  <si>
    <t>M2</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</si>
  <si>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</si>
  <si>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</si>
  <si>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</si>
  <si>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</si>
  <si>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</si>
  <si>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</si>
  <si>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</si>
  <si>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</si>
  <si>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</si>
  <si>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</si>
  <si>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</si>
  <si>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</si>
  <si>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</si>
  <si>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</si>
  <si>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</si>
  <si>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</si>
  <si>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</si>
  <si>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</si>
  <si>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</si>
  <si>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</si>
  <si>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</si>
  <si>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</si>
  <si>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</si>
  <si>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</si>
  <si>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</si>
  <si>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</si>
  <si>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</si>
  <si>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</si>
  <si>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</si>
  <si>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</si>
  <si>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</si>
  <si>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</si>
  <si>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</si>
  <si>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</si>
  <si>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</si>
  <si>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</si>
  <si>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</si>
  <si>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</si>
  <si>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</si>
  <si>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</si>
  <si>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A1</t>
  </si>
  <si>
    <t>CA (Crown Agents)</t>
  </si>
  <si>
    <t>Antigua y Barbuda</t>
  </si>
  <si>
    <t>MALARIA</t>
  </si>
  <si>
    <t>€</t>
  </si>
  <si>
    <t>Ronda 2</t>
  </si>
  <si>
    <t>Fase 2</t>
  </si>
  <si>
    <t>A2</t>
  </si>
  <si>
    <t>DEL (Deloitte)</t>
  </si>
  <si>
    <t>Antillas Holandesas</t>
  </si>
  <si>
    <t>Ronda 3</t>
  </si>
  <si>
    <t>RCC</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</si>
  <si>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</si>
  <si>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</si>
  <si>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</si>
  <si>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</si>
  <si>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</si>
  <si>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</si>
  <si>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</si>
  <si>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</si>
  <si>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</si>
  <si>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</si>
  <si>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</si>
  <si>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</si>
  <si>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</si>
  <si>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</si>
  <si>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</si>
  <si>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</si>
  <si>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</si>
  <si>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</si>
  <si>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</si>
  <si>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</si>
  <si>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</si>
  <si>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</si>
  <si>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</si>
  <si>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</si>
  <si>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</si>
  <si>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</si>
  <si>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</si>
  <si>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</si>
  <si>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</si>
  <si>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</si>
  <si>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</si>
  <si>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</si>
  <si>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</si>
  <si>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</si>
  <si>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</si>
  <si>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</si>
  <si>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</si>
  <si>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</si>
  <si>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</si>
  <si>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</si>
  <si>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</si>
  <si>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</si>
  <si>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</si>
  <si>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</si>
  <si>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</si>
  <si>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</si>
  <si>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</si>
  <si>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</si>
  <si>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</si>
  <si>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</si>
  <si>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</si>
  <si>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</si>
  <si>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</si>
  <si>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</si>
  <si>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</si>
  <si>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</si>
  <si>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</si>
  <si>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</si>
  <si>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</si>
  <si>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</si>
  <si>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</si>
  <si>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</si>
  <si>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</si>
  <si>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</si>
  <si>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</si>
  <si>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</si>
  <si>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</si>
  <si>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</si>
  <si>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</si>
  <si>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</si>
  <si>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</si>
  <si>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</si>
  <si>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Desembolsado compras  PNUD</t>
  </si>
  <si>
    <t>Financiamiento al PENM TB 2017 - 2021</t>
  </si>
  <si>
    <t>MDR TB-6: Porcentaje de casos de TB con resultados de PSD por lo menos para Rifampicina, entre el número total de casos notificados (nuevos y previamente tratados) en el mismo año</t>
  </si>
  <si>
    <t>MDR TB-3(M): Número de casos TB-RR y/o TB-MDR que iniciaron tratamiento con drogas de segunda línea</t>
  </si>
  <si>
    <t>TCP-6a: Número de casos de TB (todas las formas) notificados entre los privados de libertad</t>
  </si>
  <si>
    <t>TCP - other -1: Porcentaje de casos todas las formas de TB entre PPL tratados exitosamente entre el total de casos todas las formas notificados</t>
  </si>
  <si>
    <t>* Cartas de Retroalimentación recibidas 1era. con fecha 10 de febrero 2020 y la 2da. Con fecha 02 de Octubre 2020</t>
  </si>
  <si>
    <t>Para el periodo se han cumplido en su totalidad las Acciones emitidas en las cartas de implementación recibidas para el periodo.</t>
  </si>
  <si>
    <t>Se mantiene a la fecha los puestos directivos en la Oficina de Apoyo del Fondo Mundial del RP/MINSAL</t>
  </si>
  <si>
    <t>Marcos Patino Mayer</t>
  </si>
  <si>
    <t>OAFM/UFE/MINSAL.</t>
  </si>
  <si>
    <t>Con la utilización de pruebas moleculares además de realizar detección del Mycobacterium tuberculosis permite hacer vigilancia de la sensibilidad a los medicamentos y es método recomendado por la OMS en la estrategia Fin a la TB. El número de pruebas moleculares para este año se incrementó, lo que ha permitido alcanzar mayores porcentajes de pacientes con cobertura.</t>
  </si>
  <si>
    <t>Saldo de caja del periodo anterior</t>
  </si>
  <si>
    <t>Desembolsado por el FM al RP+Saldode caja del periodo anterios</t>
  </si>
  <si>
    <t xml:space="preserve">Compromisos al 30 de Junio  MINSAL </t>
  </si>
  <si>
    <t>Gastos de los Agentes de Compra PNUD</t>
  </si>
  <si>
    <t>Monto compras MINSAL</t>
  </si>
  <si>
    <t>Gasto MINSAL</t>
  </si>
  <si>
    <t>Desembolsado compras OPS</t>
  </si>
  <si>
    <t>Gastos de los Agentes de Compra OPS</t>
  </si>
  <si>
    <t>El monto total desembolsado por FM a MINSAL  para el 2021 (P3) es de $ 1,073,991.00, ha este monto se le ha sumado el saldo de caja del periodo 2020 por el monto de $ 159,354.39 para  ejecucion en el año 2021, siendo el monto total a ejeutar el año 2021 de $ 1,233,345.39.  de lo cual se ha pagado a proveedores  el monto de $ 398,404041 y  se le ha desembolsado a PNUD la cantidad de $672,572.67  haciendo un total de gastos mas desembolso a PNUD de $ 1,070,997.00 y se tienen en compromiso pendiente de pago el  monto de $ 83,798.00 y un  saldo en caja por $ 78,570.31.</t>
  </si>
  <si>
    <t>Del 100% desembolsado al PNUD en los tres años (2019-2021) por el monto de $ 2,417,567.93 se ha pagado el monto de $ 1,469,612.09. Asi tambien se desembolso  para OPS $ 1,104,244.07 y se ha pagado el monto de $ 1,008,210.32 y en el MINSAL se tenia un presupuesto de $ 732,084.93 y se ha pagado $ 484,006.22.</t>
  </si>
  <si>
    <t>Durante el  año 2021 de la subvension se ha alcanzo el 70% de la ejecucion financiera de los cuales los montos mas relevantes se detallan de la siguiente manera: $ 1,246,180.27 que corresponde a la estrategia de Deteccion precoz de casos de tuberculosis, $ 675,431.32 que corresponde a la estrategia Atencion integral de grupos de mas alto riesgo, $ 369,213.21 que corresponde a la estrategia de Planificación, Coordinación y Gerencia</t>
  </si>
  <si>
    <t xml:space="preserve">El perio 3: Para el año 2021, se tenia un presupuesto asignado de $1,132,426.00 de los cuales se ha recibido en las cuentas bancarias del MINSAL/FM el 95/% del desembolso programado </t>
  </si>
  <si>
    <r>
      <rPr>
        <b/>
        <sz val="10"/>
        <color indexed="8"/>
        <rFont val="Georgia"/>
        <family val="1"/>
      </rPr>
      <t xml:space="preserve">MDR TB-6: </t>
    </r>
    <r>
      <rPr>
        <sz val="10"/>
        <color indexed="8"/>
        <rFont val="Georgia"/>
        <family val="1"/>
      </rPr>
      <t>Porcentaje de casos de TB con resultados de PSD por lo menos para Rifampicina, entre el número total de casos notificados (nuevos y previamente tratados) en el mismo año</t>
    </r>
  </si>
  <si>
    <r>
      <rPr>
        <b/>
        <sz val="10"/>
        <color indexed="8"/>
        <rFont val="Georgia"/>
        <family val="1"/>
      </rPr>
      <t>MDR TB-3(M):</t>
    </r>
    <r>
      <rPr>
        <sz val="10"/>
        <color indexed="8"/>
        <rFont val="Georgia"/>
        <family val="1"/>
      </rPr>
      <t xml:space="preserve"> Número de casos TB-RR y/o TB-MDR que iniciaron tratamiento con drogas de segunda línea</t>
    </r>
  </si>
  <si>
    <r>
      <rPr>
        <b/>
        <sz val="10"/>
        <color indexed="8"/>
        <rFont val="Georgia"/>
        <family val="1"/>
      </rPr>
      <t>TCP-6a:</t>
    </r>
    <r>
      <rPr>
        <sz val="10"/>
        <color indexed="8"/>
        <rFont val="Georgia"/>
        <family val="1"/>
      </rPr>
      <t xml:space="preserve"> Número de casos de TB (todas las formas) notificados entre los privados de libertad</t>
    </r>
  </si>
  <si>
    <r>
      <t xml:space="preserve">*Meta reportada para el período de enero a diciembre 2021 (1,308/1,959 = 66.77%). 
* Con la utilización de pruebas moleculares además de realizar detección del Mycobacterium tuberculosis permite hacer vigilancia de la sensibilidad a los medicamentos y es método recomendado por la OMS en la estrategia Fin a la TB. El número de pruebas moleculares para el período se incrementó, lo que ha permitido alcanzar mayores porcentajes de pacientes con cobertura; aunque es importante mencionar que la detección de casos de TB en privados de libertad disminuyó para el período, por lo que el resultado del indicador fue directamente proporcional a la disminución de los casos y cuya meta establecida (75%) lo cual nos da una relación del 89% del cumplimiento del indicador.
* A pesar de la Pandemia de SARS Cov – 2, el país logró mantener la oferta de servicios para el diagnóstico precoz en poblaciones de mayor riesgo y vulnerabilidad y/o sospechosas de fármaco resistencia a través de pruebas moleculares las cuales a través de los lineamientos técnicos para el abordaje y seguimiento de casos de tuberculosis; ante la emergencia nacional por COVID-19, se han realizado mayor número de pruebas ya que se ha fortalecido la red de laboratorios hospitalaria con equipos y más cartuchos de prueba. Es de importancia recalcar que a pesar de la Pandemia se mantuvo supervisión continua por parte del UPTYER a la red nacional de laboratorios
* Fuente : </t>
    </r>
    <r>
      <rPr>
        <b/>
        <sz val="10"/>
        <color indexed="8"/>
        <rFont val="Georgia"/>
        <family val="1"/>
      </rPr>
      <t>PU/DR SLV - T - MOH (enero - diciembre) 2021</t>
    </r>
  </si>
  <si>
    <r>
      <t xml:space="preserve">* Meta proyectada para el período de enero a diciembre del año 2021 es de 33, y el resultado obtenido para el mismo período es de 43 casos TB-RR/TB-MDR.
* Durante el año 2021, se detectaron en el laboratorio 40 casos de TB RR; 2 TB MDR y 1 TB pre - XDR, a cada uno se les realizó evaluación clínica, radiológica y bacteriológica en la Clínica de Resistencias del Hospital Nacional Saldaña, a los 43 casos TB-RR/TB-MDR se les inició tratamiento de segunda línea por cumplir los criterios epidemiológicos, clínicos y bacteriológicos.
* El país cuenta con la disponibilidad de medicamentos de segunda línea, para iniciar y tratar todos los casos detectados con farmacorresistencia (tratados con esquemas de tratamiento acortados e individualizados).
* Fuente : </t>
    </r>
    <r>
      <rPr>
        <b/>
        <sz val="10"/>
        <color indexed="8"/>
        <rFont val="Georgia"/>
        <family val="1"/>
      </rPr>
      <t>PU/DR SLV - T - MOH (enero - diciembre) 2021.</t>
    </r>
  </si>
  <si>
    <r>
      <t xml:space="preserve">
* Las personas privadas de libertad (PPL) son un grupo en condición de vulnerabilidad debido principalmente a su entorno de encierro y las dinámicas de convivencia entre los privados de libertad pertenecientes a pandillas. En la actualidad, según la estadística penitenciaria de la Dirección General de Centros Penales (DGCP) y Dirección General de Centros Intermedios, El Salvador registra actualmente 39,582 PPL, a pesar que la DGCP ha realizado esfuerzos para reducir el hacinamiento a un porcentaje aproximado de 120% para el año 2020 de un 400% reportado en el 2016.
* Otras acciones implementadas que contribuyeron a la disminución en la detección de casos de TB en las PPL para el período de enero a diciembre de 2021, podemos mencionar: 
 El diagnóstico precoz de sintomáticos respiratorios y casos de TB a través de prueba molecular (Xpert MTB/RIF) como primera opción; así también la investigación de los contactos; evaluación clínica de toda PPL al ingreso del centro penitenciario para el descarte temprano de la TB; además de la implementación de las medidas de control de infecciones (restricción de visitas de familiares o intimas por la pandemia, aislamiento de casos de TB, traslado a centros de cuido para PPL con TB y enfermedades crónicas, estancia en áreas con suficiente ventilación como también en las mejoras de infraestructura y las áreas de aislamiento, uso obligatorio de mascarillas, mejora del estado nutricional del PPL con suplementos nutricionales y mejora de la dieta, entre otras). Es importante mencionar el empoderamiento del personal de salud de la Dirección de Centros Penitenciarios y su coordinación con MINSAL a través de la UPTYER, para el diagnóstico temprano de la TB; quienes supervisan y monitorean el tratamiento acortado estrictamente supervisado (TAES) lo que ha permitido mantener un porcentaje de curación y éxito de tratamiento por arriba de la meta de la OMS para población en general.  
* Todas las medidas anteriormente descritas e implementadas han inferido en la disminución de los casos de TB en la población privada de libertad, logrando para el año 2021 un total de 628 privados de libertad diagnosticados con TB versus lo programado para el período (884 casos) de acuerdo a las metas ajustadas de la carta de implementación #2 de fecha octubre 2020
* Fuente : </t>
    </r>
    <r>
      <rPr>
        <b/>
        <sz val="10"/>
        <color indexed="8"/>
        <rFont val="Georgia"/>
        <family val="1"/>
      </rPr>
      <t>PU/DR SLV-T-MOH (enero - diciembre) 2021</t>
    </r>
  </si>
  <si>
    <r>
      <t xml:space="preserve">* * Resultado notificado del porcentaje de casos de todas las formas TB tratados exitosamente en CP en el año 2020: (891/952 = 93.59%).
* El contexto epidemiológico de la TB en las PPL, no es uniforme en los diferentes centros penales, ya que la mayor carga de enfermedad se concentra en 7 centros penales, en los cuales están recluidos población perteneciente a pandillas, el éxito de tratamiento se ha visto afectado por las pérdidas en el seguimiento, situación que se da debido a que las PPL que son diagnosticadas e inician tratamiento dentro del centro penal, y posteriormente en su proceso jurídico son puestos en libertad (sobreseídos, absueltos o con medidas); debido al contexto de violencia e inseguridad a nivel comunitario y en el contexto de pandemia por COVID 19, las restricciones de movilidad y reorientación de las actividades de los trabajadores de salud, fue difícil el seguimiento o vinculación una vez libres,  de igual forma proporcionan domicilios falsos o utilizan la clandestinidad para resguardar su vida y  la de su familia, lo cual afectan las cohortes de tratamiento al ser registrados como perdidos en el seguimiento como condición de egreso. Sin embargo, el resultado de éxito de tratamiento esta por arriba de la meta de la OMS la cual es de arriba del 90% para población general. 
* Fuente : </t>
    </r>
    <r>
      <rPr>
        <b/>
        <sz val="10"/>
        <color indexed="8"/>
        <rFont val="Georgia"/>
        <family val="1"/>
      </rPr>
      <t>PU/DR SLV-T-MOH (enero - diciembre) 2021</t>
    </r>
  </si>
  <si>
    <t>Lograda a diciembre 2021</t>
  </si>
  <si>
    <t>Para el periodo de enero a diciembre 2021 la UPTYER reporta un total de  628 casos de TB de todas las formas en PPL.</t>
  </si>
  <si>
    <t xml:space="preserve"> Para el periodo de enero a diciembre 2021, se detectaron en el laboratorio 40 casos de TB RR;  2 casos TB MDR y 1 casos TB pre-XDR, a cada uno de los casos se les realizo evaluación clínica, radiológica y bacteriológica en la Clínica de Resistencias del Hospital Nacional Saldaña, además a todos se consideró el tratamiento de segunda línea por cumplir los criterios epidemiológicos, clínicos y bacteriológicos.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</si>
</sst>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 #,##0.00_);_([$€]* \(#,##0.00\);_([$€]* \-??_);_(@_)"/>
    <numFmt numFmtId="165" formatCode="_(* #,##0.00_);_(* \(#,##0.00\);_(* \-??_);_(@_)"/>
    <numFmt numFmtId="166" formatCode="_(\$* #,##0.00_);_(\$* \(#,##0.00\);_(\$* \-??_);_(@_)"/>
    <numFmt numFmtId="167" formatCode="d&quot; de &quot;mmm&quot; de &quot;yy"/>
    <numFmt numFmtId="168" formatCode="_(* #,##0_);_(* \(#,##0\);_(* \-??_);_(@_)"/>
    <numFmt numFmtId="169" formatCode="_([$$-440A]* #,##0.00_);_([$$-440A]* \(#,##0.00\);_([$$-440A]* \-??_);_(@_)"/>
    <numFmt numFmtId="170" formatCode="#.##0"/>
    <numFmt numFmtId="171" formatCode="_-* #,##0.00\ _€_-;\-* #,##0.00\ _€_-;_-* \-??\ _€_-;_-@_-"/>
    <numFmt numFmtId="172" formatCode="_ [$$-240A]\ * #,##0.00_ ;_ [$$-240A]\ * \-#,##0.00_ ;_ [$$-240A]\ * \-??_ ;_ @_ "/>
    <numFmt numFmtId="173" formatCode="#.##000"/>
    <numFmt numFmtId="174" formatCode="[$$-409]#,##0"/>
    <numFmt numFmtId="175" formatCode="[$$-340A]\ #,##0.00"/>
    <numFmt numFmtId="176" formatCode="000%"/>
    <numFmt numFmtId="177" formatCode="[$$-240A]\ #,##0.00"/>
    <numFmt numFmtId="178" formatCode="000"/>
    <numFmt numFmtId="179" formatCode="[$$-340A]#,##0.00"/>
    <numFmt numFmtId="180" formatCode="#"/>
    <numFmt numFmtId="181" formatCode="0.0"/>
    <numFmt numFmtId="182" formatCode="#.00"/>
    <numFmt numFmtId="183" formatCode="#.##"/>
    <numFmt numFmtId="184" formatCode="0.0%"/>
    <numFmt numFmtId="185" formatCode="[$$-409]#,##0_);\([$$-409]#,##0\)"/>
    <numFmt numFmtId="186" formatCode="d/mmm/yyyy;@"/>
    <numFmt numFmtId="187" formatCode="dd/mm/yy\ hh:mm"/>
    <numFmt numFmtId="188" formatCode=";;;"/>
    <numFmt numFmtId="189" formatCode=";;;&quot;Financial Variance in %&quot;"/>
    <numFmt numFmtId="190" formatCode="0.000%"/>
  </numFmts>
  <fonts count="113">
    <font>
      <sz val="11"/>
      <color indexed="8"/>
      <name val="Calibri"/>
      <family val="2"/>
      <charset val="1"/>
    </font>
    <font>
      <sz val="10"/>
      <name val="Arial"/>
      <family val="2"/>
      <charset val="1"/>
    </font>
    <font>
      <sz val="22"/>
      <color indexed="9"/>
      <name val="Calibri"/>
      <family val="2"/>
      <charset val="1"/>
    </font>
    <font>
      <sz val="28"/>
      <color indexed="9"/>
      <name val="Calibri"/>
      <family val="2"/>
      <charset val="1"/>
    </font>
    <font>
      <b/>
      <sz val="14"/>
      <color indexed="8"/>
      <name val="Calibri"/>
      <family val="2"/>
      <charset val="1"/>
    </font>
    <font>
      <b/>
      <sz val="16"/>
      <color indexed="8"/>
      <name val="Calibri"/>
      <family val="2"/>
      <charset val="1"/>
    </font>
    <font>
      <b/>
      <sz val="18"/>
      <color indexed="8"/>
      <name val="Calibri"/>
      <family val="2"/>
      <charset val="1"/>
    </font>
    <font>
      <sz val="16"/>
      <color indexed="8"/>
      <name val="Calibri"/>
      <family val="2"/>
      <charset val="1"/>
    </font>
    <font>
      <b/>
      <sz val="12"/>
      <color indexed="8"/>
      <name val="Arial"/>
      <family val="2"/>
      <charset val="1"/>
    </font>
    <font>
      <b/>
      <sz val="11"/>
      <color indexed="8"/>
      <name val="Arial"/>
      <family val="2"/>
      <charset val="1"/>
    </font>
    <font>
      <sz val="11"/>
      <color indexed="8"/>
      <name val="Arial"/>
      <family val="2"/>
      <charset val="1"/>
    </font>
    <font>
      <b/>
      <i/>
      <sz val="11"/>
      <color indexed="8"/>
      <name val="Arial"/>
      <family val="2"/>
      <charset val="1"/>
    </font>
    <font>
      <sz val="11"/>
      <color indexed="53"/>
      <name val="Calibri"/>
      <family val="2"/>
      <charset val="1"/>
    </font>
    <font>
      <i/>
      <sz val="11"/>
      <color indexed="8"/>
      <name val="Arial"/>
      <family val="2"/>
      <charset val="1"/>
    </font>
    <font>
      <sz val="11"/>
      <name val="Arial"/>
      <family val="2"/>
      <charset val="1"/>
    </font>
    <font>
      <b/>
      <sz val="14"/>
      <color indexed="19"/>
      <name val="Calibri"/>
      <family val="2"/>
      <charset val="1"/>
    </font>
    <font>
      <b/>
      <sz val="11"/>
      <color indexed="8"/>
      <name val="Calibri"/>
      <family val="2"/>
      <charset val="1"/>
    </font>
    <font>
      <b/>
      <sz val="12"/>
      <color indexed="8"/>
      <name val="Calibri"/>
      <family val="2"/>
      <charset val="1"/>
    </font>
    <font>
      <b/>
      <sz val="12"/>
      <name val="Arial"/>
      <family val="2"/>
      <charset val="1"/>
    </font>
    <font>
      <sz val="14"/>
      <color indexed="9"/>
      <name val="Calibri"/>
      <family val="2"/>
      <charset val="1"/>
    </font>
    <font>
      <sz val="16"/>
      <color indexed="9"/>
      <name val="Calibri"/>
      <family val="2"/>
      <charset val="1"/>
    </font>
    <font>
      <i/>
      <sz val="11"/>
      <color indexed="8"/>
      <name val="Calibri"/>
      <family val="2"/>
      <charset val="1"/>
    </font>
    <font>
      <sz val="11"/>
      <color indexed="9"/>
      <name val="Calibri"/>
      <family val="2"/>
      <charset val="1"/>
    </font>
    <font>
      <i/>
      <sz val="9"/>
      <color indexed="8"/>
      <name val="Calibri"/>
      <family val="2"/>
      <charset val="1"/>
    </font>
    <font>
      <b/>
      <sz val="14"/>
      <color indexed="60"/>
      <name val="Calibri"/>
      <family val="2"/>
      <charset val="1"/>
    </font>
    <font>
      <b/>
      <sz val="11"/>
      <color indexed="60"/>
      <name val="Calibri"/>
      <family val="2"/>
      <charset val="1"/>
    </font>
    <font>
      <sz val="11"/>
      <color indexed="12"/>
      <name val="Calibri"/>
      <family val="2"/>
      <charset val="1"/>
    </font>
    <font>
      <b/>
      <i/>
      <sz val="11"/>
      <color indexed="8"/>
      <name val="Calibri"/>
      <family val="2"/>
      <charset val="1"/>
    </font>
    <font>
      <b/>
      <sz val="10"/>
      <color indexed="8"/>
      <name val="Calibri"/>
      <family val="2"/>
      <charset val="1"/>
    </font>
    <font>
      <sz val="10"/>
      <color indexed="8"/>
      <name val="Calibri"/>
      <family val="2"/>
      <charset val="1"/>
    </font>
    <font>
      <b/>
      <sz val="11"/>
      <color indexed="16"/>
      <name val="Calibri"/>
      <family val="2"/>
      <charset val="1"/>
    </font>
    <font>
      <sz val="11"/>
      <color indexed="60"/>
      <name val="Calibri"/>
      <family val="2"/>
      <charset val="1"/>
    </font>
    <font>
      <sz val="11"/>
      <color indexed="16"/>
      <name val="Calibri"/>
      <family val="2"/>
      <charset val="1"/>
    </font>
    <font>
      <b/>
      <sz val="10"/>
      <color indexed="16"/>
      <name val="Calibri"/>
      <family val="2"/>
      <charset val="1"/>
    </font>
    <font>
      <sz val="10"/>
      <color indexed="60"/>
      <name val="Calibri"/>
      <family val="2"/>
      <charset val="1"/>
    </font>
    <font>
      <b/>
      <sz val="10"/>
      <color indexed="60"/>
      <name val="Calibri"/>
      <family val="2"/>
      <charset val="1"/>
    </font>
    <font>
      <sz val="11"/>
      <name val="Calibri"/>
      <family val="2"/>
      <charset val="1"/>
    </font>
    <font>
      <sz val="10"/>
      <name val="Calibri"/>
      <family val="2"/>
      <charset val="1"/>
    </font>
    <font>
      <b/>
      <sz val="14"/>
      <color indexed="40"/>
      <name val="Calibri"/>
      <family val="2"/>
      <charset val="1"/>
    </font>
    <font>
      <b/>
      <sz val="14"/>
      <color indexed="44"/>
      <name val="Calibri"/>
      <family val="2"/>
      <charset val="1"/>
    </font>
    <font>
      <sz val="11"/>
      <color indexed="40"/>
      <name val="Calibri"/>
      <family val="2"/>
      <charset val="1"/>
    </font>
    <font>
      <b/>
      <sz val="11"/>
      <name val="Calibri"/>
      <family val="2"/>
      <charset val="1"/>
    </font>
    <font>
      <b/>
      <sz val="12"/>
      <color indexed="21"/>
      <name val="Calibri"/>
      <family val="2"/>
      <charset val="1"/>
    </font>
    <font>
      <i/>
      <sz val="11"/>
      <name val="Calibri"/>
      <family val="2"/>
      <charset val="1"/>
    </font>
    <font>
      <sz val="8"/>
      <color indexed="8"/>
      <name val="Calibri"/>
      <family val="2"/>
      <charset val="1"/>
    </font>
    <font>
      <b/>
      <sz val="11"/>
      <color indexed="53"/>
      <name val="Calibri"/>
      <family val="2"/>
      <charset val="1"/>
    </font>
    <font>
      <b/>
      <sz val="14"/>
      <color indexed="52"/>
      <name val="Calibri"/>
      <family val="2"/>
      <charset val="1"/>
    </font>
    <font>
      <b/>
      <sz val="14"/>
      <color indexed="51"/>
      <name val="Calibri"/>
      <family val="2"/>
      <charset val="1"/>
    </font>
    <font>
      <b/>
      <sz val="10"/>
      <color indexed="53"/>
      <name val="Calibri"/>
      <family val="2"/>
      <charset val="1"/>
    </font>
    <font>
      <b/>
      <sz val="11"/>
      <color indexed="52"/>
      <name val="Calibri"/>
      <family val="2"/>
      <charset val="1"/>
    </font>
    <font>
      <b/>
      <sz val="10"/>
      <name val="Arial"/>
      <family val="2"/>
      <charset val="1"/>
    </font>
    <font>
      <sz val="10"/>
      <color indexed="53"/>
      <name val="Arial"/>
      <family val="2"/>
      <charset val="1"/>
    </font>
    <font>
      <b/>
      <sz val="8"/>
      <color indexed="32"/>
      <name val="Tahoma"/>
      <family val="2"/>
      <charset val="1"/>
    </font>
    <font>
      <sz val="28"/>
      <name val="Calibri"/>
      <family val="2"/>
      <charset val="1"/>
    </font>
    <font>
      <sz val="12"/>
      <color indexed="8"/>
      <name val="Calibri"/>
      <family val="2"/>
      <charset val="1"/>
    </font>
    <font>
      <sz val="11"/>
      <color indexed="9"/>
      <name val="Arial"/>
      <family val="2"/>
      <charset val="1"/>
    </font>
    <font>
      <sz val="14"/>
      <color indexed="8"/>
      <name val="Calibri"/>
      <family val="2"/>
      <charset val="1"/>
    </font>
    <font>
      <sz val="10"/>
      <color indexed="9"/>
      <name val="Arial"/>
      <family val="2"/>
      <charset val="1"/>
    </font>
    <font>
      <b/>
      <sz val="11"/>
      <color indexed="19"/>
      <name val="Calibri"/>
      <family val="2"/>
      <charset val="1"/>
    </font>
    <font>
      <sz val="11"/>
      <color indexed="59"/>
      <name val="Calibri"/>
      <family val="2"/>
      <charset val="1"/>
    </font>
    <font>
      <b/>
      <i/>
      <sz val="14"/>
      <color indexed="12"/>
      <name val="Calibri"/>
      <family val="2"/>
      <charset val="1"/>
    </font>
    <font>
      <b/>
      <sz val="9"/>
      <color indexed="8"/>
      <name val="Calibri"/>
      <family val="2"/>
      <charset val="1"/>
    </font>
    <font>
      <b/>
      <sz val="8"/>
      <name val="Calibri"/>
      <family val="2"/>
      <charset val="1"/>
    </font>
    <font>
      <sz val="9"/>
      <name val="Calibri"/>
      <family val="2"/>
      <charset val="1"/>
    </font>
    <font>
      <b/>
      <sz val="8"/>
      <color indexed="8"/>
      <name val="Calibri"/>
      <family val="2"/>
      <charset val="1"/>
    </font>
    <font>
      <sz val="9"/>
      <color indexed="16"/>
      <name val="Calibri"/>
      <family val="2"/>
      <charset val="1"/>
    </font>
    <font>
      <sz val="8"/>
      <name val="Calibri"/>
      <family val="2"/>
      <charset val="1"/>
    </font>
    <font>
      <sz val="12"/>
      <color indexed="53"/>
      <name val="Calibri"/>
      <family val="2"/>
      <charset val="1"/>
    </font>
    <font>
      <i/>
      <sz val="8"/>
      <color indexed="8"/>
      <name val="Calibri"/>
      <family val="2"/>
      <charset val="1"/>
    </font>
    <font>
      <sz val="11"/>
      <color indexed="29"/>
      <name val="Calibri"/>
      <family val="2"/>
      <charset val="1"/>
    </font>
    <font>
      <sz val="9"/>
      <color indexed="8"/>
      <name val="Verdana"/>
      <family val="2"/>
      <charset val="1"/>
    </font>
    <font>
      <b/>
      <sz val="10"/>
      <color indexed="63"/>
      <name val="Verdana"/>
      <family val="2"/>
      <charset val="1"/>
    </font>
    <font>
      <b/>
      <sz val="10"/>
      <name val="Verdana"/>
      <family val="2"/>
      <charset val="1"/>
    </font>
    <font>
      <sz val="8"/>
      <color indexed="8"/>
      <name val="Verdana"/>
      <family val="2"/>
      <charset val="1"/>
    </font>
    <font>
      <b/>
      <sz val="12"/>
      <color indexed="56"/>
      <name val="Tahoma"/>
      <family val="2"/>
      <charset val="1"/>
    </font>
    <font>
      <b/>
      <sz val="8"/>
      <name val="Tahoma"/>
      <family val="2"/>
      <charset val="1"/>
    </font>
    <font>
      <b/>
      <sz val="8"/>
      <color indexed="9"/>
      <name val="Tahoma"/>
      <family val="2"/>
      <charset val="1"/>
    </font>
    <font>
      <sz val="8"/>
      <name val="Webdings"/>
      <family val="1"/>
      <charset val="2"/>
    </font>
    <font>
      <sz val="10"/>
      <color indexed="8"/>
      <name val="Arial"/>
      <family val="2"/>
      <charset val="1"/>
    </font>
    <font>
      <sz val="7"/>
      <color indexed="43"/>
      <name val="Verdana"/>
      <family val="2"/>
      <charset val="1"/>
    </font>
    <font>
      <sz val="14"/>
      <name val="Calibri"/>
      <family val="2"/>
      <charset val="1"/>
    </font>
    <font>
      <sz val="9"/>
      <color indexed="8"/>
      <name val="Tahoma"/>
      <family val="2"/>
      <charset val="1"/>
    </font>
    <font>
      <sz val="11"/>
      <color indexed="8"/>
      <name val="Micro Line Charts 1.1"/>
      <family val="2"/>
      <charset val="1"/>
    </font>
    <font>
      <sz val="7"/>
      <color indexed="23"/>
      <name val="Verdana"/>
      <family val="2"/>
      <charset val="1"/>
    </font>
    <font>
      <sz val="10"/>
      <name val="Micro Bar Charts 1.1"/>
      <charset val="1"/>
    </font>
    <font>
      <sz val="9"/>
      <name val="Tahoma"/>
      <family val="2"/>
      <charset val="1"/>
    </font>
    <font>
      <sz val="8"/>
      <color indexed="63"/>
      <name val="Micro Bar Charts 1.1"/>
      <charset val="1"/>
    </font>
    <font>
      <b/>
      <sz val="8"/>
      <name val="Arial"/>
      <family val="2"/>
      <charset val="1"/>
    </font>
    <font>
      <b/>
      <sz val="8"/>
      <color indexed="56"/>
      <name val="Tahoma"/>
      <family val="2"/>
      <charset val="1"/>
    </font>
    <font>
      <b/>
      <sz val="8"/>
      <color indexed="9"/>
      <name val="Calibri"/>
      <family val="2"/>
      <charset val="1"/>
    </font>
    <font>
      <sz val="8"/>
      <color indexed="9"/>
      <name val="Arial"/>
      <family val="2"/>
      <charset val="1"/>
    </font>
    <font>
      <sz val="8"/>
      <color indexed="9"/>
      <name val="Tahoma"/>
      <family val="2"/>
      <charset val="1"/>
    </font>
    <font>
      <b/>
      <sz val="8"/>
      <color indexed="9"/>
      <name val="Verdana"/>
      <family val="2"/>
      <charset val="1"/>
    </font>
    <font>
      <b/>
      <sz val="10"/>
      <color indexed="8"/>
      <name val="Arial"/>
      <family val="2"/>
      <charset val="1"/>
    </font>
    <font>
      <b/>
      <sz val="10"/>
      <color indexed="16"/>
      <name val="Arial"/>
      <family val="2"/>
      <charset val="1"/>
    </font>
    <font>
      <sz val="11"/>
      <color indexed="16"/>
      <name val="Arial Black"/>
      <family val="2"/>
      <charset val="1"/>
    </font>
    <font>
      <b/>
      <sz val="14"/>
      <color indexed="16"/>
      <name val="Calibri"/>
      <family val="2"/>
      <charset val="1"/>
    </font>
    <font>
      <sz val="9"/>
      <color indexed="16"/>
      <name val="Verdana"/>
      <family val="2"/>
      <charset val="1"/>
    </font>
    <font>
      <b/>
      <sz val="10"/>
      <color indexed="16"/>
      <name val="Verdana"/>
      <family val="2"/>
      <charset val="1"/>
    </font>
    <font>
      <b/>
      <sz val="14"/>
      <color indexed="9"/>
      <name val="Calibri"/>
      <family val="2"/>
      <charset val="1"/>
    </font>
    <font>
      <sz val="10"/>
      <color indexed="59"/>
      <name val="Calibri"/>
      <family val="2"/>
      <charset val="1"/>
    </font>
    <font>
      <sz val="11"/>
      <color indexed="8"/>
      <name val="Calibri"/>
      <family val="2"/>
      <charset val="1"/>
    </font>
    <font>
      <sz val="10"/>
      <name val="Calibri"/>
      <family val="2"/>
      <scheme val="minor"/>
    </font>
    <font>
      <sz val="11"/>
      <color theme="1"/>
      <name val="Calibri"/>
      <family val="2"/>
      <charset val="1"/>
    </font>
    <font>
      <sz val="10"/>
      <color theme="0"/>
      <name val="Calibri"/>
      <family val="2"/>
      <charset val="1"/>
    </font>
    <font>
      <sz val="10"/>
      <color indexed="8"/>
      <name val="Georgia"/>
      <family val="1"/>
    </font>
    <font>
      <b/>
      <sz val="10"/>
      <color indexed="8"/>
      <name val="Georgia"/>
      <family val="1"/>
    </font>
    <font>
      <b/>
      <sz val="9"/>
      <color indexed="8"/>
      <name val="Georgia"/>
      <family val="1"/>
    </font>
    <font>
      <sz val="11"/>
      <color indexed="8"/>
      <name val="Georgia"/>
      <family val="1"/>
    </font>
    <font>
      <b/>
      <sz val="11"/>
      <color indexed="8"/>
      <name val="Georgia"/>
      <family val="1"/>
    </font>
    <font>
      <b/>
      <sz val="11"/>
      <name val="Georgia"/>
      <family val="1"/>
    </font>
    <font>
      <b/>
      <sz val="16"/>
      <color indexed="8"/>
      <name val="Georgia"/>
      <family val="1"/>
    </font>
    <font>
      <sz val="11"/>
      <name val="Georgia"/>
      <family val="1"/>
    </font>
  </fonts>
  <fills count="20">
    <fill>
      <patternFill patternType="none"/>
    </fill>
    <fill>
      <patternFill patternType="gray125"/>
    </fill>
    <fill>
      <patternFill patternType="solid">
        <fgColor indexed="43"/>
        <bgColor indexed="34"/>
      </patternFill>
    </fill>
    <fill>
      <patternFill patternType="solid">
        <fgColor indexed="47"/>
        <bgColor indexed="31"/>
      </patternFill>
    </fill>
    <fill>
      <patternFill patternType="solid">
        <fgColor indexed="44"/>
        <bgColor indexed="35"/>
      </patternFill>
    </fill>
    <fill>
      <patternFill patternType="solid">
        <fgColor indexed="9"/>
        <bgColor indexed="26"/>
      </patternFill>
    </fill>
    <fill>
      <patternFill patternType="solid">
        <fgColor indexed="22"/>
        <bgColor indexed="46"/>
      </patternFill>
    </fill>
    <fill>
      <patternFill patternType="solid">
        <fgColor indexed="26"/>
        <bgColor indexed="9"/>
      </patternFill>
    </fill>
    <fill>
      <patternFill patternType="solid">
        <fgColor indexed="34"/>
        <bgColor indexed="43"/>
      </patternFill>
    </fill>
    <fill>
      <patternFill patternType="solid">
        <fgColor indexed="25"/>
        <bgColor indexed="61"/>
      </patternFill>
    </fill>
    <fill>
      <patternFill patternType="solid">
        <fgColor indexed="11"/>
        <bgColor indexed="49"/>
      </patternFill>
    </fill>
    <fill>
      <patternFill patternType="solid">
        <fgColor indexed="42"/>
        <bgColor indexed="27"/>
      </patternFill>
    </fill>
    <fill>
      <patternFill patternType="solid">
        <fgColor indexed="18"/>
        <bgColor indexed="56"/>
      </patternFill>
    </fill>
    <fill>
      <patternFill patternType="solid">
        <fgColor indexed="62"/>
        <bgColor indexed="56"/>
      </patternFill>
    </fill>
    <fill>
      <patternFill patternType="solid">
        <fgColor indexed="57"/>
        <bgColor indexed="38"/>
      </patternFill>
    </fill>
    <fill>
      <patternFill patternType="solid">
        <fgColor indexed="19"/>
        <bgColor indexed="29"/>
      </patternFill>
    </fill>
    <fill>
      <patternFill patternType="solid">
        <fgColor indexed="13"/>
        <bgColor indexed="51"/>
      </patternFill>
    </fill>
    <fill>
      <patternFill patternType="solid">
        <fgColor theme="0" tint="-0.14999847407452621"/>
        <bgColor indexed="64"/>
      </patternFill>
    </fill>
    <fill>
      <patternFill patternType="solid">
        <fgColor theme="8" tint="0.39997558519241921"/>
        <bgColor indexed="64"/>
      </patternFill>
    </fill>
    <fill>
      <patternFill patternType="solid">
        <fgColor rgb="FF002060"/>
        <bgColor indexed="64"/>
      </patternFill>
    </fill>
  </fills>
  <borders count="189">
    <border>
      <left/>
      <right/>
      <top/>
      <bottom/>
      <diagonal/>
    </border>
    <border>
      <left/>
      <right/>
      <top/>
      <bottom style="medium">
        <color indexed="30"/>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top/>
      <bottom/>
      <diagonal/>
    </border>
    <border>
      <left/>
      <right/>
      <top/>
      <bottom style="medium">
        <color indexed="60"/>
      </bottom>
      <diagonal/>
    </border>
    <border>
      <left style="medium">
        <color indexed="60"/>
      </left>
      <right style="medium">
        <color indexed="60"/>
      </right>
      <top style="medium">
        <color indexed="60"/>
      </top>
      <bottom style="medium">
        <color indexed="60"/>
      </bottom>
      <diagonal/>
    </border>
    <border>
      <left style="medium">
        <color indexed="16"/>
      </left>
      <right style="thin">
        <color indexed="16"/>
      </right>
      <top style="thin">
        <color indexed="16"/>
      </top>
      <bottom style="thin">
        <color indexed="16"/>
      </bottom>
      <diagonal/>
    </border>
    <border>
      <left style="thin">
        <color indexed="16"/>
      </left>
      <right style="thin">
        <color indexed="16"/>
      </right>
      <top/>
      <bottom style="thin">
        <color indexed="16"/>
      </bottom>
      <diagonal/>
    </border>
    <border>
      <left style="medium">
        <color indexed="16"/>
      </left>
      <right style="thin">
        <color indexed="16"/>
      </right>
      <top/>
      <bottom style="thin">
        <color indexed="16"/>
      </bottom>
      <diagonal/>
    </border>
    <border>
      <left style="thin">
        <color indexed="16"/>
      </left>
      <right style="thin">
        <color indexed="16"/>
      </right>
      <top style="thin">
        <color indexed="16"/>
      </top>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thin">
        <color indexed="32"/>
      </left>
      <right style="thin">
        <color indexed="32"/>
      </right>
      <top style="thin">
        <color indexed="32"/>
      </top>
      <bottom style="medium">
        <color indexed="16"/>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thin">
        <color indexed="60"/>
      </right>
      <top/>
      <bottom/>
      <diagonal/>
    </border>
    <border>
      <left style="medium">
        <color indexed="60"/>
      </left>
      <right/>
      <top style="medium">
        <color indexed="60"/>
      </top>
      <bottom style="thin">
        <color indexed="32"/>
      </bottom>
      <diagonal/>
    </border>
    <border>
      <left style="thin">
        <color indexed="60"/>
      </left>
      <right style="thin">
        <color indexed="60"/>
      </right>
      <top style="medium">
        <color indexed="60"/>
      </top>
      <bottom style="thin">
        <color indexed="32"/>
      </bottom>
      <diagonal/>
    </border>
    <border>
      <left/>
      <right style="medium">
        <color indexed="60"/>
      </right>
      <top style="medium">
        <color indexed="60"/>
      </top>
      <bottom/>
      <diagonal/>
    </border>
    <border>
      <left style="thin">
        <color indexed="58"/>
      </left>
      <right style="thin">
        <color indexed="58"/>
      </right>
      <top style="thin">
        <color indexed="58"/>
      </top>
      <bottom style="thin">
        <color indexed="58"/>
      </bottom>
      <diagonal/>
    </border>
    <border>
      <left style="thin">
        <color indexed="32"/>
      </left>
      <right style="medium">
        <color indexed="60"/>
      </right>
      <top style="thin">
        <color indexed="32"/>
      </top>
      <bottom style="thin">
        <color indexed="32"/>
      </bottom>
      <diagonal/>
    </border>
    <border>
      <left/>
      <right style="medium">
        <color indexed="60"/>
      </right>
      <top style="thin">
        <color indexed="32"/>
      </top>
      <bottom style="thin">
        <color indexed="32"/>
      </bottom>
      <diagonal/>
    </border>
    <border>
      <left style="thin">
        <color indexed="58"/>
      </left>
      <right style="thin">
        <color indexed="58"/>
      </right>
      <top/>
      <bottom style="thin">
        <color indexed="58"/>
      </bottom>
      <diagonal/>
    </border>
    <border>
      <left/>
      <right/>
      <top style="thin">
        <color indexed="53"/>
      </top>
      <bottom/>
      <diagonal/>
    </border>
    <border>
      <left style="medium">
        <color indexed="16"/>
      </left>
      <right style="thin">
        <color indexed="32"/>
      </right>
      <top style="thin">
        <color indexed="32"/>
      </top>
      <bottom style="thin">
        <color indexed="32"/>
      </bottom>
      <diagonal/>
    </border>
    <border>
      <left style="thin">
        <color indexed="32"/>
      </left>
      <right style="medium">
        <color indexed="16"/>
      </right>
      <top style="thin">
        <color indexed="32"/>
      </top>
      <bottom style="thin">
        <color indexed="32"/>
      </bottom>
      <diagonal/>
    </border>
    <border>
      <left style="medium">
        <color indexed="32"/>
      </left>
      <right style="thin">
        <color indexed="32"/>
      </right>
      <top style="thin">
        <color indexed="32"/>
      </top>
      <bottom style="thin">
        <color indexed="32"/>
      </bottom>
      <diagonal/>
    </border>
    <border>
      <left style="medium">
        <color indexed="16"/>
      </left>
      <right style="thin">
        <color indexed="32"/>
      </right>
      <top style="thin">
        <color indexed="32"/>
      </top>
      <bottom style="medium">
        <color indexed="16"/>
      </bottom>
      <diagonal/>
    </border>
    <border>
      <left style="thin">
        <color indexed="32"/>
      </left>
      <right style="medium">
        <color indexed="16"/>
      </right>
      <top style="thin">
        <color indexed="32"/>
      </top>
      <bottom style="medium">
        <color indexed="16"/>
      </bottom>
      <diagonal/>
    </border>
    <border>
      <left/>
      <right style="thin">
        <color indexed="32"/>
      </right>
      <top/>
      <bottom/>
      <diagonal/>
    </border>
    <border>
      <left/>
      <right/>
      <top/>
      <bottom style="medium">
        <color indexed="12"/>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32"/>
      </left>
      <right style="thin">
        <color indexed="32"/>
      </right>
      <top style="medium">
        <color indexed="48"/>
      </top>
      <bottom style="thin">
        <color indexed="32"/>
      </bottom>
      <diagonal/>
    </border>
    <border>
      <left style="thin">
        <color indexed="32"/>
      </left>
      <right style="medium">
        <color indexed="48"/>
      </right>
      <top style="medium">
        <color indexed="48"/>
      </top>
      <bottom style="thin">
        <color indexed="32"/>
      </bottom>
      <diagonal/>
    </border>
    <border>
      <left style="medium">
        <color indexed="48"/>
      </left>
      <right style="thin">
        <color indexed="32"/>
      </right>
      <top style="thin">
        <color indexed="32"/>
      </top>
      <bottom style="thin">
        <color indexed="32"/>
      </bottom>
      <diagonal/>
    </border>
    <border>
      <left style="thin">
        <color indexed="32"/>
      </left>
      <right style="medium">
        <color indexed="48"/>
      </right>
      <top style="thin">
        <color indexed="32"/>
      </top>
      <bottom style="thin">
        <color indexed="32"/>
      </bottom>
      <diagonal/>
    </border>
    <border>
      <left style="medium">
        <color indexed="48"/>
      </left>
      <right style="thin">
        <color indexed="32"/>
      </right>
      <top style="thin">
        <color indexed="32"/>
      </top>
      <bottom style="medium">
        <color indexed="48"/>
      </bottom>
      <diagonal/>
    </border>
    <border>
      <left style="thin">
        <color indexed="32"/>
      </left>
      <right style="thin">
        <color indexed="32"/>
      </right>
      <top style="thin">
        <color indexed="32"/>
      </top>
      <bottom style="medium">
        <color indexed="48"/>
      </bottom>
      <diagonal/>
    </border>
    <border>
      <left style="thin">
        <color indexed="32"/>
      </left>
      <right style="medium">
        <color indexed="48"/>
      </right>
      <top style="thin">
        <color indexed="32"/>
      </top>
      <bottom style="medium">
        <color indexed="48"/>
      </bottom>
      <diagonal/>
    </border>
    <border>
      <left style="medium">
        <color indexed="48"/>
      </left>
      <right/>
      <top style="medium">
        <color indexed="48"/>
      </top>
      <bottom/>
      <diagonal/>
    </border>
    <border>
      <left style="thin">
        <color indexed="32"/>
      </left>
      <right style="thin">
        <color indexed="32"/>
      </right>
      <top style="thin">
        <color indexed="32"/>
      </top>
      <bottom/>
      <diagonal/>
    </border>
    <border>
      <left style="medium">
        <color indexed="48"/>
      </left>
      <right style="thin">
        <color indexed="32"/>
      </right>
      <top/>
      <bottom/>
      <diagonal/>
    </border>
    <border>
      <left style="medium">
        <color indexed="32"/>
      </left>
      <right style="thin">
        <color indexed="32"/>
      </right>
      <top style="medium">
        <color indexed="32"/>
      </top>
      <bottom style="thin">
        <color indexed="32"/>
      </bottom>
      <diagonal/>
    </border>
    <border>
      <left style="thin">
        <color indexed="16"/>
      </left>
      <right style="thin">
        <color indexed="16"/>
      </right>
      <top style="medium">
        <color indexed="32"/>
      </top>
      <bottom style="thin">
        <color indexed="32"/>
      </bottom>
      <diagonal/>
    </border>
    <border>
      <left style="thin">
        <color indexed="16"/>
      </left>
      <right style="medium">
        <color indexed="16"/>
      </right>
      <top style="medium">
        <color indexed="32"/>
      </top>
      <bottom style="thin">
        <color indexed="32"/>
      </bottom>
      <diagonal/>
    </border>
    <border>
      <left style="medium">
        <color indexed="32"/>
      </left>
      <right/>
      <top/>
      <bottom style="thin">
        <color indexed="32"/>
      </bottom>
      <diagonal/>
    </border>
    <border>
      <left style="medium">
        <color indexed="32"/>
      </left>
      <right style="thin">
        <color indexed="32"/>
      </right>
      <top/>
      <bottom style="thin">
        <color indexed="32"/>
      </bottom>
      <diagonal/>
    </border>
    <border>
      <left style="medium">
        <color indexed="8"/>
      </left>
      <right style="thin">
        <color indexed="32"/>
      </right>
      <top style="medium">
        <color indexed="8"/>
      </top>
      <bottom style="thin">
        <color indexed="32"/>
      </bottom>
      <diagonal/>
    </border>
    <border>
      <left style="thin">
        <color indexed="32"/>
      </left>
      <right style="thin">
        <color indexed="32"/>
      </right>
      <top style="medium">
        <color indexed="8"/>
      </top>
      <bottom style="thin">
        <color indexed="32"/>
      </bottom>
      <diagonal/>
    </border>
    <border>
      <left style="thin">
        <color indexed="32"/>
      </left>
      <right style="medium">
        <color indexed="8"/>
      </right>
      <top style="medium">
        <color indexed="8"/>
      </top>
      <bottom style="thin">
        <color indexed="32"/>
      </bottom>
      <diagonal/>
    </border>
    <border>
      <left style="thin">
        <color indexed="32"/>
      </left>
      <right style="medium">
        <color indexed="8"/>
      </right>
      <top style="thin">
        <color indexed="32"/>
      </top>
      <bottom style="thin">
        <color indexed="32"/>
      </bottom>
      <diagonal/>
    </border>
    <border>
      <left style="thin">
        <color indexed="58"/>
      </left>
      <right style="thin">
        <color indexed="58"/>
      </right>
      <top style="thin">
        <color indexed="58"/>
      </top>
      <bottom/>
      <diagonal/>
    </border>
    <border>
      <left style="thin">
        <color indexed="28"/>
      </left>
      <right style="thin">
        <color indexed="28"/>
      </right>
      <top style="thin">
        <color indexed="28"/>
      </top>
      <bottom style="thin">
        <color indexed="28"/>
      </bottom>
      <diagonal/>
    </border>
    <border>
      <left style="thin">
        <color indexed="58"/>
      </left>
      <right style="thin">
        <color indexed="58"/>
      </right>
      <top style="thin">
        <color indexed="58"/>
      </top>
      <bottom style="medium">
        <color indexed="58"/>
      </bottom>
      <diagonal/>
    </border>
    <border>
      <left style="thin">
        <color indexed="58"/>
      </left>
      <right style="thin">
        <color indexed="58"/>
      </right>
      <top/>
      <bottom style="medium">
        <color indexed="8"/>
      </bottom>
      <diagonal/>
    </border>
    <border>
      <left/>
      <right style="thin">
        <color indexed="58"/>
      </right>
      <top style="thin">
        <color indexed="58"/>
      </top>
      <bottom style="medium">
        <color indexed="8"/>
      </bottom>
      <diagonal/>
    </border>
    <border>
      <left style="thin">
        <color indexed="32"/>
      </left>
      <right style="thin">
        <color indexed="32"/>
      </right>
      <top style="thin">
        <color indexed="32"/>
      </top>
      <bottom style="medium">
        <color indexed="8"/>
      </bottom>
      <diagonal/>
    </border>
    <border>
      <left style="thin">
        <color indexed="58"/>
      </left>
      <right style="thin">
        <color indexed="58"/>
      </right>
      <top style="thin">
        <color indexed="58"/>
      </top>
      <bottom style="medium">
        <color indexed="8"/>
      </bottom>
      <diagonal/>
    </border>
    <border>
      <left style="thin">
        <color indexed="32"/>
      </left>
      <right style="medium">
        <color indexed="8"/>
      </right>
      <top style="thin">
        <color indexed="32"/>
      </top>
      <bottom style="medium">
        <color indexed="8"/>
      </bottom>
      <diagonal/>
    </border>
    <border>
      <left/>
      <right/>
      <top/>
      <bottom style="medium">
        <color indexed="51"/>
      </bottom>
      <diagonal/>
    </border>
    <border>
      <left style="medium">
        <color indexed="51"/>
      </left>
      <right style="medium">
        <color indexed="51"/>
      </right>
      <top style="medium">
        <color indexed="51"/>
      </top>
      <bottom style="thin">
        <color indexed="32"/>
      </bottom>
      <diagonal/>
    </border>
    <border>
      <left/>
      <right style="thin">
        <color indexed="32"/>
      </right>
      <top style="medium">
        <color indexed="51"/>
      </top>
      <bottom style="thin">
        <color indexed="32"/>
      </bottom>
      <diagonal/>
    </border>
    <border>
      <left style="thin">
        <color indexed="32"/>
      </left>
      <right style="thin">
        <color indexed="32"/>
      </right>
      <top style="medium">
        <color indexed="51"/>
      </top>
      <bottom style="thin">
        <color indexed="32"/>
      </bottom>
      <diagonal/>
    </border>
    <border>
      <left style="thin">
        <color indexed="16"/>
      </left>
      <right style="thin">
        <color indexed="16"/>
      </right>
      <top style="medium">
        <color indexed="51"/>
      </top>
      <bottom style="thin">
        <color indexed="32"/>
      </bottom>
      <diagonal/>
    </border>
    <border>
      <left style="medium">
        <color indexed="51"/>
      </left>
      <right/>
      <top/>
      <bottom style="thin">
        <color indexed="32"/>
      </bottom>
      <diagonal/>
    </border>
    <border>
      <left/>
      <right/>
      <top/>
      <bottom style="thin">
        <color indexed="32"/>
      </bottom>
      <diagonal/>
    </border>
    <border>
      <left style="medium">
        <color indexed="51"/>
      </left>
      <right style="medium">
        <color indexed="51"/>
      </right>
      <top/>
      <bottom style="thin">
        <color indexed="32"/>
      </bottom>
      <diagonal/>
    </border>
    <border>
      <left/>
      <right style="thin">
        <color indexed="32"/>
      </right>
      <top/>
      <bottom style="thin">
        <color indexed="32"/>
      </bottom>
      <diagonal/>
    </border>
    <border>
      <left style="thin">
        <color indexed="32"/>
      </left>
      <right style="thin">
        <color indexed="32"/>
      </right>
      <top/>
      <bottom style="thin">
        <color indexed="32"/>
      </bottom>
      <diagonal/>
    </border>
    <border>
      <left/>
      <right style="medium">
        <color indexed="51"/>
      </right>
      <top/>
      <bottom/>
      <diagonal/>
    </border>
    <border>
      <left style="thin">
        <color indexed="32"/>
      </left>
      <right/>
      <top/>
      <bottom style="thin">
        <color indexed="32"/>
      </bottom>
      <diagonal/>
    </border>
    <border>
      <left style="thin">
        <color indexed="32"/>
      </left>
      <right/>
      <top style="thin">
        <color indexed="32"/>
      </top>
      <bottom style="medium">
        <color indexed="51"/>
      </bottom>
      <diagonal/>
    </border>
    <border>
      <left style="thin">
        <color indexed="58"/>
      </left>
      <right style="thin">
        <color indexed="58"/>
      </right>
      <top style="thin">
        <color indexed="58"/>
      </top>
      <bottom style="medium">
        <color indexed="51"/>
      </bottom>
      <diagonal/>
    </border>
    <border>
      <left/>
      <right/>
      <top style="thin">
        <color indexed="30"/>
      </top>
      <bottom style="thin">
        <color indexed="30"/>
      </bottom>
      <diagonal/>
    </border>
    <border>
      <left style="thin">
        <color indexed="32"/>
      </left>
      <right style="medium">
        <color indexed="32"/>
      </right>
      <top style="medium">
        <color indexed="32"/>
      </top>
      <bottom style="thin">
        <color indexed="32"/>
      </bottom>
      <diagonal/>
    </border>
    <border>
      <left style="thin">
        <color indexed="32"/>
      </left>
      <right style="medium">
        <color indexed="32"/>
      </right>
      <top style="thin">
        <color indexed="32"/>
      </top>
      <bottom style="medium">
        <color indexed="32"/>
      </bottom>
      <diagonal/>
    </border>
    <border>
      <left style="medium">
        <color indexed="32"/>
      </left>
      <right style="thin">
        <color indexed="32"/>
      </right>
      <top style="thin">
        <color indexed="32"/>
      </top>
      <bottom style="medium">
        <color indexed="32"/>
      </bottom>
      <diagonal/>
    </border>
    <border>
      <left style="thin">
        <color indexed="32"/>
      </left>
      <right/>
      <top style="medium">
        <color indexed="32"/>
      </top>
      <bottom style="thin">
        <color indexed="32"/>
      </bottom>
      <diagonal/>
    </border>
    <border>
      <left style="thin">
        <color indexed="32"/>
      </left>
      <right style="thin">
        <color indexed="32"/>
      </right>
      <top style="medium">
        <color indexed="32"/>
      </top>
      <bottom style="thin">
        <color indexed="32"/>
      </bottom>
      <diagonal/>
    </border>
    <border>
      <left/>
      <right style="medium">
        <color indexed="32"/>
      </right>
      <top style="medium">
        <color indexed="32"/>
      </top>
      <bottom style="thin">
        <color indexed="32"/>
      </bottom>
      <diagonal/>
    </border>
    <border>
      <left/>
      <right style="medium">
        <color indexed="32"/>
      </right>
      <top style="thin">
        <color indexed="32"/>
      </top>
      <bottom style="thin">
        <color indexed="3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medium">
        <color indexed="60"/>
      </left>
      <right style="dotted">
        <color indexed="32"/>
      </right>
      <top style="medium">
        <color indexed="60"/>
      </top>
      <bottom style="hair">
        <color indexed="32"/>
      </bottom>
      <diagonal/>
    </border>
    <border>
      <left style="dotted">
        <color indexed="32"/>
      </left>
      <right style="dotted">
        <color indexed="32"/>
      </right>
      <top style="medium">
        <color indexed="52"/>
      </top>
      <bottom style="hair">
        <color indexed="32"/>
      </bottom>
      <diagonal/>
    </border>
    <border>
      <left style="medium">
        <color indexed="60"/>
      </left>
      <right style="dotted">
        <color indexed="32"/>
      </right>
      <top style="hair">
        <color indexed="32"/>
      </top>
      <bottom style="hair">
        <color indexed="32"/>
      </bottom>
      <diagonal/>
    </border>
    <border>
      <left style="dotted">
        <color indexed="32"/>
      </left>
      <right style="dotted">
        <color indexed="32"/>
      </right>
      <top style="hair">
        <color indexed="32"/>
      </top>
      <bottom style="hair">
        <color indexed="32"/>
      </bottom>
      <diagonal/>
    </border>
    <border>
      <left style="medium">
        <color indexed="60"/>
      </left>
      <right style="dotted">
        <color indexed="32"/>
      </right>
      <top style="hair">
        <color indexed="32"/>
      </top>
      <bottom style="medium">
        <color indexed="60"/>
      </bottom>
      <diagonal/>
    </border>
    <border>
      <left style="dotted">
        <color indexed="32"/>
      </left>
      <right style="dotted">
        <color indexed="32"/>
      </right>
      <top style="hair">
        <color indexed="32"/>
      </top>
      <bottom style="medium">
        <color indexed="52"/>
      </bottom>
      <diagonal/>
    </border>
    <border>
      <left style="medium">
        <color indexed="62"/>
      </left>
      <right/>
      <top style="medium">
        <color indexed="62"/>
      </top>
      <bottom style="hair">
        <color indexed="32"/>
      </bottom>
      <diagonal/>
    </border>
    <border>
      <left style="dotted">
        <color indexed="62"/>
      </left>
      <right style="dotted">
        <color indexed="32"/>
      </right>
      <top style="medium">
        <color indexed="62"/>
      </top>
      <bottom style="hair">
        <color indexed="32"/>
      </bottom>
      <diagonal/>
    </border>
    <border>
      <left style="medium">
        <color indexed="62"/>
      </left>
      <right/>
      <top style="hair">
        <color indexed="32"/>
      </top>
      <bottom style="hair">
        <color indexed="32"/>
      </bottom>
      <diagonal/>
    </border>
    <border>
      <left style="dotted">
        <color indexed="62"/>
      </left>
      <right style="dotted">
        <color indexed="32"/>
      </right>
      <top style="hair">
        <color indexed="32"/>
      </top>
      <bottom style="hair">
        <color indexed="32"/>
      </bottom>
      <diagonal/>
    </border>
    <border>
      <left style="medium">
        <color indexed="62"/>
      </left>
      <right/>
      <top style="hair">
        <color indexed="32"/>
      </top>
      <bottom style="medium">
        <color indexed="62"/>
      </bottom>
      <diagonal/>
    </border>
    <border>
      <left style="dotted">
        <color indexed="62"/>
      </left>
      <right style="dotted">
        <color indexed="32"/>
      </right>
      <top style="hair">
        <color indexed="32"/>
      </top>
      <bottom style="medium">
        <color indexed="62"/>
      </bottom>
      <diagonal/>
    </border>
    <border>
      <left style="medium">
        <color indexed="51"/>
      </left>
      <right style="hair">
        <color indexed="32"/>
      </right>
      <top style="medium">
        <color indexed="51"/>
      </top>
      <bottom style="hair">
        <color indexed="32"/>
      </bottom>
      <diagonal/>
    </border>
    <border>
      <left style="hair">
        <color indexed="32"/>
      </left>
      <right style="hair">
        <color indexed="32"/>
      </right>
      <top style="medium">
        <color indexed="51"/>
      </top>
      <bottom style="hair">
        <color indexed="32"/>
      </bottom>
      <diagonal/>
    </border>
    <border>
      <left style="medium">
        <color indexed="51"/>
      </left>
      <right style="hair">
        <color indexed="32"/>
      </right>
      <top style="hair">
        <color indexed="32"/>
      </top>
      <bottom style="hair">
        <color indexed="32"/>
      </bottom>
      <diagonal/>
    </border>
    <border>
      <left style="hair">
        <color indexed="32"/>
      </left>
      <right style="hair">
        <color indexed="32"/>
      </right>
      <top/>
      <bottom style="hair">
        <color indexed="32"/>
      </bottom>
      <diagonal/>
    </border>
    <border>
      <left style="medium">
        <color indexed="51"/>
      </left>
      <right/>
      <top/>
      <bottom style="hair">
        <color indexed="32"/>
      </bottom>
      <diagonal/>
    </border>
    <border>
      <left style="hair">
        <color indexed="32"/>
      </left>
      <right style="hair">
        <color indexed="32"/>
      </right>
      <top/>
      <bottom/>
      <diagonal/>
    </border>
    <border>
      <left style="hair">
        <color indexed="32"/>
      </left>
      <right style="hair">
        <color indexed="32"/>
      </right>
      <top style="hair">
        <color indexed="32"/>
      </top>
      <bottom style="medium">
        <color indexed="51"/>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style="thin">
        <color indexed="32"/>
      </top>
      <bottom/>
      <diagonal/>
    </border>
    <border>
      <left style="thin">
        <color indexed="32"/>
      </left>
      <right style="thin">
        <color indexed="32"/>
      </right>
      <top/>
      <bottom/>
      <diagonal/>
    </border>
    <border>
      <left/>
      <right/>
      <top style="medium">
        <color indexed="60"/>
      </top>
      <bottom/>
      <diagonal/>
    </border>
    <border>
      <left style="medium">
        <color indexed="16"/>
      </left>
      <right style="medium">
        <color indexed="16"/>
      </right>
      <top style="medium">
        <color indexed="16"/>
      </top>
      <bottom style="thin">
        <color indexed="16"/>
      </bottom>
      <diagonal/>
    </border>
    <border>
      <left style="medium">
        <color indexed="32"/>
      </left>
      <right style="medium">
        <color indexed="32"/>
      </right>
      <top style="medium">
        <color indexed="32"/>
      </top>
      <bottom style="medium">
        <color indexed="32"/>
      </bottom>
      <diagonal/>
    </border>
    <border>
      <left style="medium">
        <color indexed="16"/>
      </left>
      <right style="medium">
        <color indexed="16"/>
      </right>
      <top style="medium">
        <color indexed="16"/>
      </top>
      <bottom style="thin">
        <color indexed="32"/>
      </bottom>
      <diagonal/>
    </border>
    <border>
      <left style="medium">
        <color indexed="48"/>
      </left>
      <right style="thin">
        <color indexed="32"/>
      </right>
      <top style="medium">
        <color indexed="48"/>
      </top>
      <bottom style="thin">
        <color indexed="32"/>
      </bottom>
      <diagonal/>
    </border>
    <border>
      <left style="medium">
        <color indexed="8"/>
      </left>
      <right style="thin">
        <color indexed="32"/>
      </right>
      <top style="thin">
        <color indexed="32"/>
      </top>
      <bottom style="medium">
        <color indexed="8"/>
      </bottom>
      <diagonal/>
    </border>
    <border>
      <left style="medium">
        <color indexed="51"/>
      </left>
      <right style="medium">
        <color indexed="51"/>
      </right>
      <top style="thin">
        <color indexed="32"/>
      </top>
      <bottom style="thin">
        <color indexed="32"/>
      </bottom>
      <diagonal/>
    </border>
    <border>
      <left style="medium">
        <color indexed="51"/>
      </left>
      <right style="thin">
        <color indexed="32"/>
      </right>
      <top style="thin">
        <color indexed="32"/>
      </top>
      <bottom style="thin">
        <color indexed="32"/>
      </bottom>
      <diagonal/>
    </border>
    <border>
      <left style="medium">
        <color indexed="51"/>
      </left>
      <right style="medium">
        <color indexed="51"/>
      </right>
      <top style="thin">
        <color indexed="32"/>
      </top>
      <bottom style="medium">
        <color indexed="51"/>
      </bottom>
      <diagonal/>
    </border>
    <border>
      <left style="medium">
        <color indexed="51"/>
      </left>
      <right style="medium">
        <color indexed="51"/>
      </right>
      <top style="medium">
        <color indexed="51"/>
      </top>
      <bottom style="medium">
        <color indexed="51"/>
      </bottom>
      <diagonal/>
    </border>
    <border>
      <left style="medium">
        <color indexed="32"/>
      </left>
      <right style="medium">
        <color indexed="32"/>
      </right>
      <top style="thin">
        <color indexed="32"/>
      </top>
      <bottom style="medium">
        <color indexed="32"/>
      </bottom>
      <diagonal/>
    </border>
    <border>
      <left style="thin">
        <color indexed="8"/>
      </left>
      <right style="thin">
        <color indexed="8"/>
      </right>
      <top style="thin">
        <color indexed="8"/>
      </top>
      <bottom style="thin">
        <color indexed="8"/>
      </bottom>
      <diagonal/>
    </border>
    <border>
      <left/>
      <right style="medium">
        <color indexed="60"/>
      </right>
      <top style="hair">
        <color indexed="23"/>
      </top>
      <bottom style="hair">
        <color indexed="23"/>
      </bottom>
      <diagonal/>
    </border>
    <border>
      <left style="medium">
        <color indexed="60"/>
      </left>
      <right style="medium">
        <color indexed="60"/>
      </right>
      <top/>
      <bottom style="hair">
        <color indexed="32"/>
      </bottom>
      <diagonal/>
    </border>
    <border>
      <left style="medium">
        <color indexed="60"/>
      </left>
      <right style="medium">
        <color indexed="60"/>
      </right>
      <top style="hair">
        <color indexed="32"/>
      </top>
      <bottom style="hair">
        <color indexed="32"/>
      </bottom>
      <diagonal/>
    </border>
    <border>
      <left/>
      <right style="medium">
        <color indexed="60"/>
      </right>
      <top style="hair">
        <color indexed="23"/>
      </top>
      <bottom style="medium">
        <color indexed="60"/>
      </bottom>
      <diagonal/>
    </border>
    <border>
      <left style="medium">
        <color indexed="60"/>
      </left>
      <right style="medium">
        <color indexed="60"/>
      </right>
      <top/>
      <bottom style="medium">
        <color indexed="60"/>
      </bottom>
      <diagonal/>
    </border>
    <border>
      <left/>
      <right style="medium">
        <color indexed="52"/>
      </right>
      <top/>
      <bottom style="medium">
        <color indexed="52"/>
      </bottom>
      <diagonal/>
    </border>
    <border>
      <left style="medium">
        <color indexed="18"/>
      </left>
      <right style="medium">
        <color indexed="18"/>
      </right>
      <top style="medium">
        <color indexed="18"/>
      </top>
      <bottom/>
      <diagonal/>
    </border>
    <border>
      <left style="medium">
        <color indexed="18"/>
      </left>
      <right/>
      <top style="medium">
        <color indexed="18"/>
      </top>
      <bottom style="medium">
        <color indexed="18"/>
      </bottom>
      <diagonal/>
    </border>
    <border>
      <left/>
      <right style="medium">
        <color indexed="62"/>
      </right>
      <top style="medium">
        <color indexed="62"/>
      </top>
      <bottom style="hair">
        <color indexed="23"/>
      </bottom>
      <diagonal/>
    </border>
    <border>
      <left style="medium">
        <color indexed="18"/>
      </left>
      <right style="medium">
        <color indexed="18"/>
      </right>
      <top style="medium">
        <color indexed="18"/>
      </top>
      <bottom style="hair">
        <color indexed="18"/>
      </bottom>
      <diagonal/>
    </border>
    <border>
      <left/>
      <right style="medium">
        <color indexed="62"/>
      </right>
      <top style="hair">
        <color indexed="23"/>
      </top>
      <bottom style="hair">
        <color indexed="23"/>
      </bottom>
      <diagonal/>
    </border>
    <border>
      <left style="medium">
        <color indexed="18"/>
      </left>
      <right style="medium">
        <color indexed="18"/>
      </right>
      <top style="hair">
        <color indexed="18"/>
      </top>
      <bottom style="hair">
        <color indexed="18"/>
      </bottom>
      <diagonal/>
    </border>
    <border>
      <left/>
      <right style="medium">
        <color indexed="62"/>
      </right>
      <top style="hair">
        <color indexed="23"/>
      </top>
      <bottom style="medium">
        <color indexed="62"/>
      </bottom>
      <diagonal/>
    </border>
    <border>
      <left style="medium">
        <color indexed="18"/>
      </left>
      <right style="medium">
        <color indexed="18"/>
      </right>
      <top style="hair">
        <color indexed="18"/>
      </top>
      <bottom style="medium">
        <color indexed="18"/>
      </bottom>
      <diagonal/>
    </border>
    <border>
      <left/>
      <right style="medium">
        <color indexed="52"/>
      </right>
      <top/>
      <bottom/>
      <diagonal/>
    </border>
    <border>
      <left style="hair">
        <color indexed="32"/>
      </left>
      <right style="medium">
        <color indexed="51"/>
      </right>
      <top style="medium">
        <color indexed="51"/>
      </top>
      <bottom style="hair">
        <color indexed="32"/>
      </bottom>
      <diagonal/>
    </border>
    <border>
      <left style="medium">
        <color indexed="51"/>
      </left>
      <right style="medium">
        <color indexed="51"/>
      </right>
      <top style="medium">
        <color indexed="51"/>
      </top>
      <bottom style="hair">
        <color indexed="51"/>
      </bottom>
      <diagonal/>
    </border>
    <border>
      <left style="hair">
        <color indexed="32"/>
      </left>
      <right style="medium">
        <color indexed="51"/>
      </right>
      <top style="hair">
        <color indexed="32"/>
      </top>
      <bottom style="hair">
        <color indexed="32"/>
      </bottom>
      <diagonal/>
    </border>
    <border>
      <left style="medium">
        <color indexed="51"/>
      </left>
      <right style="medium">
        <color indexed="51"/>
      </right>
      <top style="hair">
        <color indexed="51"/>
      </top>
      <bottom style="hair">
        <color indexed="51"/>
      </bottom>
      <diagonal/>
    </border>
    <border>
      <left style="medium">
        <color indexed="51"/>
      </left>
      <right style="medium">
        <color indexed="51"/>
      </right>
      <top style="hair">
        <color indexed="51"/>
      </top>
      <bottom style="medium">
        <color indexed="51"/>
      </bottom>
      <diagonal/>
    </border>
    <border>
      <left style="medium">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hair">
        <color indexed="57"/>
      </left>
      <right style="medium">
        <color indexed="57"/>
      </right>
      <top style="medium">
        <color indexed="57"/>
      </top>
      <bottom style="medium">
        <color indexed="57"/>
      </bottom>
      <diagonal/>
    </border>
    <border>
      <left style="thin">
        <color indexed="32"/>
      </left>
      <right/>
      <top style="medium">
        <color indexed="57"/>
      </top>
      <bottom/>
      <diagonal/>
    </border>
    <border>
      <left style="medium">
        <color indexed="32"/>
      </left>
      <right style="hair">
        <color indexed="32"/>
      </right>
      <top style="medium">
        <color indexed="57"/>
      </top>
      <bottom style="hair">
        <color indexed="32"/>
      </bottom>
      <diagonal/>
    </border>
    <border>
      <left style="hair">
        <color indexed="32"/>
      </left>
      <right style="hair">
        <color indexed="32"/>
      </right>
      <top style="medium">
        <color indexed="57"/>
      </top>
      <bottom style="hair">
        <color indexed="32"/>
      </bottom>
      <diagonal/>
    </border>
    <border>
      <left style="hair">
        <color indexed="32"/>
      </left>
      <right style="medium">
        <color indexed="32"/>
      </right>
      <top style="medium">
        <color indexed="57"/>
      </top>
      <bottom style="hair">
        <color indexed="32"/>
      </bottom>
      <diagonal/>
    </border>
    <border>
      <left/>
      <right style="medium">
        <color indexed="32"/>
      </right>
      <top style="hair">
        <color indexed="32"/>
      </top>
      <bottom style="hair">
        <color indexed="32"/>
      </bottom>
      <diagonal/>
    </border>
    <border>
      <left style="medium">
        <color indexed="32"/>
      </left>
      <right style="hair">
        <color indexed="32"/>
      </right>
      <top style="hair">
        <color indexed="32"/>
      </top>
      <bottom style="hair">
        <color indexed="32"/>
      </bottom>
      <diagonal/>
    </border>
    <border>
      <left style="hair">
        <color indexed="32"/>
      </left>
      <right style="hair">
        <color indexed="32"/>
      </right>
      <top style="hair">
        <color indexed="32"/>
      </top>
      <bottom style="hair">
        <color indexed="32"/>
      </bottom>
      <diagonal/>
    </border>
    <border>
      <left style="hair">
        <color indexed="32"/>
      </left>
      <right style="medium">
        <color indexed="32"/>
      </right>
      <top style="hair">
        <color indexed="32"/>
      </top>
      <bottom style="hair">
        <color indexed="32"/>
      </bottom>
      <diagonal/>
    </border>
    <border>
      <left/>
      <right style="medium">
        <color indexed="32"/>
      </right>
      <top style="hair">
        <color indexed="32"/>
      </top>
      <bottom style="medium">
        <color indexed="32"/>
      </bottom>
      <diagonal/>
    </border>
    <border>
      <left style="medium">
        <color indexed="32"/>
      </left>
      <right style="hair">
        <color indexed="32"/>
      </right>
      <top style="hair">
        <color indexed="32"/>
      </top>
      <bottom style="medium">
        <color indexed="32"/>
      </bottom>
      <diagonal/>
    </border>
    <border>
      <left style="hair">
        <color indexed="32"/>
      </left>
      <right style="hair">
        <color indexed="32"/>
      </right>
      <top style="hair">
        <color indexed="32"/>
      </top>
      <bottom style="medium">
        <color indexed="32"/>
      </bottom>
      <diagonal/>
    </border>
    <border>
      <left style="hair">
        <color indexed="32"/>
      </left>
      <right style="medium">
        <color indexed="32"/>
      </right>
      <top style="hair">
        <color indexed="32"/>
      </top>
      <bottom style="medium">
        <color indexed="32"/>
      </bottom>
      <diagonal/>
    </border>
    <border>
      <left style="medium">
        <color indexed="32"/>
      </left>
      <right style="medium">
        <color indexed="32"/>
      </right>
      <top style="medium">
        <color indexed="57"/>
      </top>
      <bottom style="hair">
        <color indexed="32"/>
      </bottom>
      <diagonal/>
    </border>
    <border>
      <left style="medium">
        <color indexed="32"/>
      </left>
      <right style="hair">
        <color indexed="32"/>
      </right>
      <top/>
      <bottom style="hair">
        <color indexed="32"/>
      </bottom>
      <diagonal/>
    </border>
    <border>
      <left style="hair">
        <color indexed="32"/>
      </left>
      <right style="medium">
        <color indexed="32"/>
      </right>
      <top/>
      <bottom style="hair">
        <color indexed="32"/>
      </bottom>
      <diagonal/>
    </border>
    <border>
      <left style="medium">
        <color indexed="32"/>
      </left>
      <right style="medium">
        <color indexed="32"/>
      </right>
      <top style="hair">
        <color indexed="32"/>
      </top>
      <bottom style="hair">
        <color indexed="32"/>
      </bottom>
      <diagonal/>
    </border>
    <border>
      <left style="medium">
        <color indexed="32"/>
      </left>
      <right style="medium">
        <color indexed="32"/>
      </right>
      <top style="hair">
        <color indexed="32"/>
      </top>
      <bottom style="medium">
        <color indexed="32"/>
      </bottom>
      <diagonal/>
    </border>
    <border>
      <left style="thin">
        <color indexed="58"/>
      </left>
      <right style="thin">
        <color indexed="58"/>
      </right>
      <top style="thin">
        <color indexed="58"/>
      </top>
      <bottom style="medium">
        <color indexed="64"/>
      </bottom>
      <diagonal/>
    </border>
    <border>
      <left style="medium">
        <color indexed="64"/>
      </left>
      <right style="medium">
        <color indexed="60"/>
      </right>
      <top style="medium">
        <color indexed="60"/>
      </top>
      <bottom style="medium">
        <color indexed="60"/>
      </bottom>
      <diagonal/>
    </border>
    <border>
      <left style="medium">
        <color indexed="64"/>
      </left>
      <right style="medium">
        <color indexed="60"/>
      </right>
      <top style="medium">
        <color indexed="60"/>
      </top>
      <bottom style="medium">
        <color indexed="64"/>
      </bottom>
      <diagonal/>
    </border>
    <border>
      <left style="thin">
        <color indexed="32"/>
      </left>
      <right style="medium">
        <color indexed="64"/>
      </right>
      <top style="thin">
        <color indexed="32"/>
      </top>
      <bottom style="thin">
        <color indexed="32"/>
      </bottom>
      <diagonal/>
    </border>
    <border>
      <left/>
      <right style="medium">
        <color indexed="64"/>
      </right>
      <top style="thin">
        <color indexed="32"/>
      </top>
      <bottom style="thin">
        <color indexed="32"/>
      </bottom>
      <diagonal/>
    </border>
    <border>
      <left/>
      <right style="medium">
        <color indexed="64"/>
      </right>
      <top style="thin">
        <color indexed="32"/>
      </top>
      <bottom style="medium">
        <color indexed="64"/>
      </bottom>
      <diagonal/>
    </border>
    <border>
      <left style="thin">
        <color indexed="64"/>
      </left>
      <right style="thin">
        <color indexed="64"/>
      </right>
      <top style="thin">
        <color indexed="64"/>
      </top>
      <bottom style="thin">
        <color indexed="64"/>
      </bottom>
      <diagonal/>
    </border>
    <border>
      <left style="medium">
        <color indexed="60"/>
      </left>
      <right/>
      <top/>
      <bottom/>
      <diagonal/>
    </border>
    <border>
      <left/>
      <right style="medium">
        <color indexed="60"/>
      </right>
      <top/>
      <bottom/>
      <diagonal/>
    </border>
    <border>
      <left style="medium">
        <color indexed="64"/>
      </left>
      <right style="thin">
        <color indexed="32"/>
      </right>
      <top style="thin">
        <color indexed="32"/>
      </top>
      <bottom/>
      <diagonal/>
    </border>
    <border>
      <left style="medium">
        <color indexed="64"/>
      </left>
      <right style="thin">
        <color indexed="32"/>
      </right>
      <top style="thin">
        <color indexed="53"/>
      </top>
      <bottom style="thin">
        <color indexed="32"/>
      </bottom>
      <diagonal/>
    </border>
    <border>
      <left style="medium">
        <color indexed="64"/>
      </left>
      <right style="thin">
        <color indexed="32"/>
      </right>
      <top style="thin">
        <color indexed="32"/>
      </top>
      <bottom style="thin">
        <color indexed="32"/>
      </bottom>
      <diagonal/>
    </border>
    <border>
      <left style="medium">
        <color indexed="32"/>
      </left>
      <right/>
      <top style="thin">
        <color indexed="32"/>
      </top>
      <bottom style="thin">
        <color indexed="32"/>
      </bottom>
      <diagonal/>
    </border>
    <border>
      <left style="medium">
        <color indexed="32"/>
      </left>
      <right/>
      <top style="medium">
        <color indexed="32"/>
      </top>
      <bottom style="thin">
        <color indexed="32"/>
      </bottom>
      <diagonal/>
    </border>
    <border>
      <left style="medium">
        <color indexed="32"/>
      </left>
      <right/>
      <top style="medium">
        <color indexed="32"/>
      </top>
      <bottom style="medium">
        <color indexed="32"/>
      </bottom>
      <diagonal/>
    </border>
    <border>
      <left/>
      <right/>
      <top style="medium">
        <color indexed="32"/>
      </top>
      <bottom style="medium">
        <color indexed="32"/>
      </bottom>
      <diagonal/>
    </border>
    <border>
      <left/>
      <right style="medium">
        <color indexed="32"/>
      </right>
      <top style="medium">
        <color indexed="32"/>
      </top>
      <bottom style="medium">
        <color indexed="32"/>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thin">
        <color indexed="28"/>
      </left>
      <right/>
      <top style="thin">
        <color indexed="28"/>
      </top>
      <bottom style="thin">
        <color indexed="28"/>
      </bottom>
      <diagonal/>
    </border>
  </borders>
  <cellStyleXfs count="40">
    <xf numFmtId="0" fontId="0" fillId="0" borderId="0"/>
    <xf numFmtId="164" fontId="101" fillId="0" borderId="0" applyFill="0" applyBorder="0" applyProtection="0"/>
    <xf numFmtId="165" fontId="101" fillId="0" borderId="0" applyFill="0" applyBorder="0" applyProtection="0"/>
    <xf numFmtId="165" fontId="1" fillId="0" borderId="0" applyFill="0" applyBorder="0" applyProtection="0"/>
    <xf numFmtId="166" fontId="1" fillId="0" borderId="0" applyFill="0" applyBorder="0" applyProtection="0"/>
    <xf numFmtId="165"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1" fillId="0" borderId="0"/>
    <xf numFmtId="165" fontId="101" fillId="0" borderId="0"/>
    <xf numFmtId="165" fontId="101" fillId="0" borderId="0"/>
    <xf numFmtId="165" fontId="101" fillId="0" borderId="0"/>
    <xf numFmtId="165" fontId="101" fillId="0" borderId="0"/>
    <xf numFmtId="165" fontId="101" fillId="0" borderId="0"/>
    <xf numFmtId="165" fontId="101" fillId="0" borderId="0"/>
    <xf numFmtId="165" fontId="101" fillId="0" borderId="0"/>
    <xf numFmtId="165" fontId="101" fillId="0" borderId="0"/>
    <xf numFmtId="0" fontId="1" fillId="0" borderId="0"/>
    <xf numFmtId="9" fontId="101" fillId="0" borderId="0" applyFill="0" applyBorder="0" applyProtection="0"/>
    <xf numFmtId="165" fontId="101" fillId="0" borderId="0" applyFill="0" applyBorder="0" applyProtection="0"/>
    <xf numFmtId="165" fontId="101" fillId="0" borderId="0" applyFill="0" applyBorder="0" applyProtection="0"/>
    <xf numFmtId="165" fontId="101" fillId="0" borderId="0" applyFill="0" applyBorder="0" applyProtection="0"/>
    <xf numFmtId="165" fontId="101" fillId="0" borderId="0" applyFill="0" applyBorder="0" applyProtection="0"/>
    <xf numFmtId="165" fontId="101" fillId="0" borderId="0" applyFill="0" applyBorder="0" applyProtection="0"/>
    <xf numFmtId="165" fontId="101" fillId="0" borderId="0" applyFill="0" applyBorder="0" applyProtection="0"/>
    <xf numFmtId="165" fontId="101" fillId="0" borderId="0" applyFill="0" applyBorder="0" applyProtection="0"/>
    <xf numFmtId="0" fontId="101" fillId="0" borderId="1" applyNumberFormat="0" applyFill="0" applyProtection="0"/>
    <xf numFmtId="0" fontId="101" fillId="0" borderId="1" applyNumberFormat="0" applyFill="0" applyProtection="0"/>
    <xf numFmtId="0" fontId="101" fillId="0" borderId="1" applyNumberFormat="0" applyFill="0" applyProtection="0"/>
    <xf numFmtId="0" fontId="101" fillId="0" borderId="1" applyNumberFormat="0" applyFill="0" applyProtection="0"/>
    <xf numFmtId="0" fontId="101" fillId="0" borderId="1" applyNumberFormat="0" applyFill="0" applyProtection="0"/>
    <xf numFmtId="0" fontId="101" fillId="0" borderId="1" applyNumberFormat="0" applyFill="0" applyProtection="0"/>
    <xf numFmtId="0" fontId="101" fillId="0" borderId="1" applyNumberFormat="0" applyFill="0" applyProtection="0"/>
    <xf numFmtId="0" fontId="101" fillId="0" borderId="1" applyNumberFormat="0" applyFill="0" applyProtection="0"/>
    <xf numFmtId="0" fontId="101" fillId="0" borderId="1" applyNumberFormat="0" applyFill="0" applyProtection="0"/>
  </cellStyleXfs>
  <cellXfs count="633">
    <xf numFmtId="0" fontId="0" fillId="0" borderId="0" xfId="0"/>
    <xf numFmtId="165" fontId="3" fillId="0" borderId="0" xfId="14" applyFont="1" applyAlignment="1">
      <alignment vertical="center"/>
    </xf>
    <xf numFmtId="0" fontId="5" fillId="0" borderId="0" xfId="0" applyFont="1"/>
    <xf numFmtId="165" fontId="5" fillId="0" borderId="0" xfId="0" applyNumberFormat="1" applyFont="1"/>
    <xf numFmtId="165" fontId="2" fillId="0" borderId="0" xfId="13" applyFont="1" applyAlignment="1">
      <alignment horizontal="center" vertical="center"/>
    </xf>
    <xf numFmtId="165" fontId="3" fillId="0" borderId="0" xfId="13" applyFont="1" applyAlignment="1">
      <alignment vertical="center"/>
    </xf>
    <xf numFmtId="0" fontId="12" fillId="0" borderId="0" xfId="0" applyFont="1"/>
    <xf numFmtId="0" fontId="0" fillId="0" borderId="0" xfId="0" applyAlignment="1">
      <alignment horizontal="center"/>
    </xf>
    <xf numFmtId="0" fontId="15" fillId="0" borderId="0" xfId="0" applyFont="1"/>
    <xf numFmtId="0" fontId="10"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8" fillId="0" borderId="2" xfId="0" applyFont="1" applyBorder="1" applyAlignment="1">
      <alignment vertical="center" wrapText="1"/>
    </xf>
    <xf numFmtId="0" fontId="8" fillId="0" borderId="3" xfId="0" applyFont="1" applyBorder="1" applyAlignment="1">
      <alignment vertical="center" wrapText="1"/>
    </xf>
    <xf numFmtId="0" fontId="10" fillId="0" borderId="3"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2" xfId="0" applyFont="1" applyBorder="1" applyAlignment="1">
      <alignment horizontal="justify" vertical="center" wrapText="1"/>
    </xf>
    <xf numFmtId="165" fontId="20" fillId="0" borderId="0" xfId="5" applyFont="1" applyAlignment="1">
      <alignment vertical="center"/>
    </xf>
    <xf numFmtId="165" fontId="21" fillId="0" borderId="0" xfId="0" applyNumberFormat="1" applyFont="1" applyAlignment="1">
      <alignment horizontal="right"/>
    </xf>
    <xf numFmtId="165" fontId="0" fillId="0" borderId="5" xfId="0" applyNumberFormat="1" applyBorder="1" applyAlignment="1" applyProtection="1">
      <alignment horizontal="center"/>
      <protection locked="0"/>
    </xf>
    <xf numFmtId="0" fontId="21" fillId="0" borderId="0" xfId="0" applyFont="1" applyAlignment="1">
      <alignment horizontal="right"/>
    </xf>
    <xf numFmtId="0" fontId="21" fillId="0" borderId="0" xfId="0" applyFont="1"/>
    <xf numFmtId="49" fontId="21" fillId="0" borderId="0" xfId="0" applyNumberFormat="1" applyFont="1" applyAlignment="1">
      <alignment horizontal="right"/>
    </xf>
    <xf numFmtId="167" fontId="0" fillId="0" borderId="0" xfId="0" applyNumberFormat="1"/>
    <xf numFmtId="167" fontId="0" fillId="0" borderId="5" xfId="32" applyNumberFormat="1" applyFont="1" applyBorder="1" applyAlignment="1" applyProtection="1">
      <alignment horizontal="center"/>
      <protection locked="0"/>
    </xf>
    <xf numFmtId="165" fontId="21" fillId="0" borderId="6" xfId="0" applyNumberFormat="1" applyFont="1" applyBorder="1" applyAlignment="1">
      <alignment horizontal="right"/>
    </xf>
    <xf numFmtId="165" fontId="21" fillId="0" borderId="0" xfId="0" applyNumberFormat="1" applyFont="1"/>
    <xf numFmtId="0" fontId="0" fillId="3" borderId="5" xfId="0" applyFill="1" applyBorder="1"/>
    <xf numFmtId="0" fontId="0" fillId="4" borderId="5" xfId="0" applyFill="1" applyBorder="1"/>
    <xf numFmtId="165" fontId="24" fillId="0" borderId="7" xfId="38" applyNumberFormat="1" applyFont="1" applyBorder="1"/>
    <xf numFmtId="165" fontId="101" fillId="0" borderId="7" xfId="38" applyNumberFormat="1" applyBorder="1" applyAlignment="1">
      <alignment vertical="center"/>
    </xf>
    <xf numFmtId="165" fontId="25" fillId="0" borderId="7" xfId="38" applyNumberFormat="1" applyFont="1" applyBorder="1" applyAlignment="1">
      <alignment horizontal="left" vertical="center"/>
    </xf>
    <xf numFmtId="165" fontId="101" fillId="3" borderId="8" xfId="38" applyNumberFormat="1" applyFill="1" applyBorder="1" applyAlignment="1">
      <alignment vertical="center"/>
    </xf>
    <xf numFmtId="165" fontId="26" fillId="0" borderId="0" xfId="38" applyNumberFormat="1" applyFont="1" applyBorder="1" applyAlignment="1" applyProtection="1">
      <alignment vertical="center"/>
      <protection locked="0"/>
    </xf>
    <xf numFmtId="165" fontId="27" fillId="0" borderId="5" xfId="0" applyNumberFormat="1" applyFont="1" applyBorder="1" applyAlignment="1" applyProtection="1">
      <alignment horizontal="center"/>
      <protection locked="0"/>
    </xf>
    <xf numFmtId="165" fontId="101" fillId="0" borderId="0" xfId="38" applyNumberFormat="1" applyBorder="1" applyAlignment="1">
      <alignment vertical="center"/>
    </xf>
    <xf numFmtId="165" fontId="0" fillId="0" borderId="0" xfId="38" applyNumberFormat="1" applyFont="1" applyBorder="1" applyAlignment="1">
      <alignment vertical="center"/>
    </xf>
    <xf numFmtId="165" fontId="101" fillId="0" borderId="0" xfId="38" applyNumberFormat="1" applyBorder="1" applyAlignment="1" applyProtection="1">
      <alignment vertical="center"/>
      <protection locked="0"/>
    </xf>
    <xf numFmtId="165" fontId="24" fillId="0" borderId="0" xfId="38" applyNumberFormat="1" applyFont="1" applyBorder="1"/>
    <xf numFmtId="0" fontId="22" fillId="5" borderId="0" xfId="0" applyFont="1" applyFill="1"/>
    <xf numFmtId="168" fontId="22" fillId="5" borderId="0" xfId="0" applyNumberFormat="1" applyFont="1" applyFill="1"/>
    <xf numFmtId="165" fontId="28" fillId="0" borderId="9" xfId="0" applyNumberFormat="1" applyFont="1" applyBorder="1" applyAlignment="1">
      <alignment horizontal="left"/>
    </xf>
    <xf numFmtId="0" fontId="28" fillId="6" borderId="10" xfId="0" applyFont="1" applyFill="1" applyBorder="1" applyAlignment="1" applyProtection="1">
      <alignment horizontal="center"/>
      <protection locked="0"/>
    </xf>
    <xf numFmtId="167" fontId="29" fillId="0" borderId="11" xfId="0" applyNumberFormat="1" applyFont="1" applyBorder="1" applyAlignment="1">
      <alignment horizontal="left"/>
    </xf>
    <xf numFmtId="169" fontId="29" fillId="3" borderId="12" xfId="0" applyNumberFormat="1" applyFont="1" applyFill="1" applyBorder="1" applyProtection="1">
      <protection locked="0"/>
    </xf>
    <xf numFmtId="170" fontId="29" fillId="3" borderId="10" xfId="0" applyNumberFormat="1" applyFont="1" applyFill="1" applyBorder="1" applyProtection="1">
      <protection locked="0"/>
    </xf>
    <xf numFmtId="0" fontId="29" fillId="0" borderId="9" xfId="0" applyFont="1" applyBorder="1" applyAlignment="1">
      <alignment horizontal="left"/>
    </xf>
    <xf numFmtId="170" fontId="29" fillId="3" borderId="12" xfId="0" applyNumberFormat="1" applyFont="1" applyFill="1" applyBorder="1" applyProtection="1">
      <protection locked="0"/>
    </xf>
    <xf numFmtId="167" fontId="29" fillId="0" borderId="13" xfId="0" applyNumberFormat="1" applyFont="1" applyBorder="1" applyAlignment="1">
      <alignment horizontal="left"/>
    </xf>
    <xf numFmtId="170" fontId="29" fillId="0" borderId="5" xfId="0" applyNumberFormat="1" applyFont="1" applyBorder="1"/>
    <xf numFmtId="171" fontId="29" fillId="0" borderId="5" xfId="0" applyNumberFormat="1" applyFont="1" applyBorder="1"/>
    <xf numFmtId="167" fontId="29" fillId="0" borderId="14" xfId="0" applyNumberFormat="1" applyFont="1" applyBorder="1" applyAlignment="1">
      <alignment horizontal="left"/>
    </xf>
    <xf numFmtId="170" fontId="29" fillId="0" borderId="15" xfId="0" applyNumberFormat="1" applyFont="1" applyBorder="1"/>
    <xf numFmtId="9" fontId="22" fillId="0" borderId="0" xfId="23" applyFont="1"/>
    <xf numFmtId="49" fontId="0" fillId="0" borderId="0" xfId="0" applyNumberFormat="1"/>
    <xf numFmtId="168" fontId="0" fillId="0" borderId="0" xfId="0" applyNumberFormat="1"/>
    <xf numFmtId="0" fontId="28" fillId="0" borderId="0" xfId="0" applyFont="1" applyAlignment="1">
      <alignment horizontal="center"/>
    </xf>
    <xf numFmtId="165" fontId="29" fillId="0" borderId="0" xfId="0" applyNumberFormat="1" applyFont="1"/>
    <xf numFmtId="165" fontId="30" fillId="0" borderId="16" xfId="0" applyNumberFormat="1" applyFont="1" applyBorder="1" applyAlignment="1">
      <alignment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1" fillId="0" borderId="0" xfId="0" applyFont="1" applyAlignment="1">
      <alignment horizontal="center"/>
    </xf>
    <xf numFmtId="0" fontId="31" fillId="0" borderId="0" xfId="0" applyFont="1" applyAlignment="1">
      <alignment horizontal="center" vertical="center"/>
    </xf>
    <xf numFmtId="0" fontId="32" fillId="0" borderId="0" xfId="0" applyFont="1" applyAlignment="1">
      <alignment horizontal="center"/>
    </xf>
    <xf numFmtId="165" fontId="32" fillId="0" borderId="19" xfId="0" applyNumberFormat="1" applyFont="1" applyBorder="1" applyAlignment="1" applyProtection="1">
      <alignment wrapText="1"/>
      <protection locked="0"/>
    </xf>
    <xf numFmtId="172" fontId="0" fillId="3" borderId="20" xfId="2" applyNumberFormat="1" applyFont="1" applyFill="1" applyBorder="1" applyProtection="1">
      <protection locked="0"/>
    </xf>
    <xf numFmtId="167" fontId="21" fillId="0" borderId="0" xfId="0" applyNumberFormat="1" applyFont="1" applyAlignment="1">
      <alignment horizontal="center"/>
    </xf>
    <xf numFmtId="173" fontId="0" fillId="0" borderId="0" xfId="0" applyNumberFormat="1" applyProtection="1">
      <protection locked="0"/>
    </xf>
    <xf numFmtId="173" fontId="0" fillId="0" borderId="0" xfId="0" applyNumberFormat="1"/>
    <xf numFmtId="165" fontId="32" fillId="0" borderId="19" xfId="0" applyNumberFormat="1" applyFont="1" applyBorder="1" applyProtection="1">
      <protection locked="0"/>
    </xf>
    <xf numFmtId="0" fontId="0" fillId="0" borderId="0" xfId="0" applyProtection="1">
      <protection locked="0"/>
    </xf>
    <xf numFmtId="174" fontId="0" fillId="0" borderId="0" xfId="0" applyNumberFormat="1" applyProtection="1">
      <protection locked="0"/>
    </xf>
    <xf numFmtId="169" fontId="0" fillId="3" borderId="20" xfId="2" applyNumberFormat="1" applyFont="1" applyFill="1" applyBorder="1" applyProtection="1">
      <protection locked="0"/>
    </xf>
    <xf numFmtId="170" fontId="0" fillId="0" borderId="0" xfId="0" applyNumberFormat="1" applyProtection="1">
      <protection locked="0"/>
    </xf>
    <xf numFmtId="49" fontId="32" fillId="0" borderId="19" xfId="0" applyNumberFormat="1" applyFont="1" applyBorder="1" applyProtection="1">
      <protection locked="0"/>
    </xf>
    <xf numFmtId="0" fontId="32" fillId="0" borderId="19" xfId="0" applyFont="1" applyBorder="1" applyAlignment="1" applyProtection="1">
      <alignment wrapText="1"/>
      <protection locked="0"/>
    </xf>
    <xf numFmtId="166" fontId="1" fillId="3" borderId="21" xfId="4" applyFill="1" applyBorder="1" applyProtection="1">
      <protection locked="0"/>
    </xf>
    <xf numFmtId="166" fontId="1" fillId="3" borderId="20" xfId="4" applyFill="1" applyBorder="1" applyProtection="1">
      <protection locked="0"/>
    </xf>
    <xf numFmtId="165" fontId="0" fillId="0" borderId="22" xfId="0" applyNumberFormat="1" applyBorder="1"/>
    <xf numFmtId="175" fontId="0" fillId="0" borderId="23" xfId="0" applyNumberFormat="1" applyBorder="1"/>
    <xf numFmtId="176" fontId="0" fillId="0" borderId="0" xfId="0" applyNumberFormat="1"/>
    <xf numFmtId="170" fontId="0" fillId="0" borderId="0" xfId="0" applyNumberFormat="1"/>
    <xf numFmtId="170" fontId="22" fillId="5" borderId="0" xfId="0" applyNumberFormat="1" applyFont="1" applyFill="1"/>
    <xf numFmtId="49" fontId="32" fillId="0" borderId="24" xfId="0" applyNumberFormat="1" applyFont="1" applyBorder="1" applyProtection="1">
      <protection locked="0"/>
    </xf>
    <xf numFmtId="170" fontId="31" fillId="0" borderId="0" xfId="0" applyNumberFormat="1" applyFont="1" applyAlignment="1">
      <alignment horizontal="right"/>
    </xf>
    <xf numFmtId="0" fontId="30" fillId="0" borderId="25" xfId="0" applyFont="1" applyBorder="1" applyAlignment="1">
      <alignment vertical="distributed" wrapText="1"/>
    </xf>
    <xf numFmtId="165" fontId="33" fillId="0" borderId="26" xfId="0" applyNumberFormat="1" applyFont="1" applyBorder="1" applyAlignment="1">
      <alignment horizontal="center" vertical="center" wrapText="1"/>
    </xf>
    <xf numFmtId="167" fontId="33" fillId="0" borderId="27" xfId="0" applyNumberFormat="1" applyFont="1" applyBorder="1" applyAlignment="1">
      <alignment horizontal="center" vertical="center" wrapText="1"/>
    </xf>
    <xf numFmtId="0" fontId="34" fillId="0" borderId="0" xfId="0" applyFont="1" applyAlignment="1">
      <alignment horizontal="center" vertical="center"/>
    </xf>
    <xf numFmtId="167" fontId="35" fillId="0" borderId="0" xfId="0" applyNumberFormat="1" applyFont="1" applyAlignment="1">
      <alignment horizontal="center" vertical="center" wrapText="1"/>
    </xf>
    <xf numFmtId="167" fontId="35" fillId="0" borderId="0" xfId="0" applyNumberFormat="1" applyFont="1" applyAlignment="1" applyProtection="1">
      <alignment horizontal="center" vertical="center" wrapText="1"/>
      <protection locked="0"/>
    </xf>
    <xf numFmtId="175" fontId="36" fillId="3" borderId="28" xfId="2" applyNumberFormat="1" applyFont="1" applyFill="1" applyBorder="1" applyProtection="1">
      <protection locked="0"/>
    </xf>
    <xf numFmtId="172" fontId="36" fillId="3" borderId="28" xfId="2" applyNumberFormat="1" applyFont="1" applyFill="1" applyBorder="1" applyProtection="1">
      <protection locked="0"/>
    </xf>
    <xf numFmtId="177" fontId="31" fillId="0" borderId="29" xfId="2" applyNumberFormat="1" applyFont="1" applyBorder="1"/>
    <xf numFmtId="0" fontId="31" fillId="0" borderId="0" xfId="0" applyFont="1" applyAlignment="1">
      <alignment horizontal="center"/>
    </xf>
    <xf numFmtId="0" fontId="31" fillId="0" borderId="0" xfId="0" applyFont="1" applyProtection="1">
      <protection locked="0"/>
    </xf>
    <xf numFmtId="168" fontId="22" fillId="0" borderId="0" xfId="0" applyNumberFormat="1" applyFont="1"/>
    <xf numFmtId="168" fontId="31" fillId="0" borderId="0" xfId="2" applyNumberFormat="1" applyFont="1" applyProtection="1">
      <protection locked="0"/>
    </xf>
    <xf numFmtId="176" fontId="31" fillId="0" borderId="0" xfId="23" applyNumberFormat="1" applyFont="1" applyAlignment="1">
      <alignment horizontal="center"/>
    </xf>
    <xf numFmtId="167" fontId="31" fillId="0" borderId="0" xfId="0" applyNumberFormat="1" applyFont="1" applyAlignment="1">
      <alignment horizontal="center"/>
    </xf>
    <xf numFmtId="176" fontId="31" fillId="0" borderId="0" xfId="23" applyNumberFormat="1" applyFont="1" applyAlignment="1" applyProtection="1">
      <alignment horizontal="center"/>
      <protection locked="0"/>
    </xf>
    <xf numFmtId="177" fontId="31" fillId="0" borderId="30" xfId="2" applyNumberFormat="1" applyFont="1" applyBorder="1"/>
    <xf numFmtId="175" fontId="36" fillId="3" borderId="31" xfId="2" applyNumberFormat="1" applyFont="1" applyFill="1" applyBorder="1" applyProtection="1">
      <protection locked="0"/>
    </xf>
    <xf numFmtId="0" fontId="37" fillId="0" borderId="0" xfId="0" applyFont="1" applyAlignment="1" applyProtection="1">
      <alignment horizontal="left"/>
      <protection locked="0"/>
    </xf>
    <xf numFmtId="0" fontId="31" fillId="0" borderId="0" xfId="0" applyFont="1"/>
    <xf numFmtId="165" fontId="31" fillId="0" borderId="32" xfId="0" applyNumberFormat="1" applyFont="1" applyBorder="1"/>
    <xf numFmtId="170" fontId="36" fillId="0" borderId="0" xfId="2" applyNumberFormat="1" applyFont="1" applyProtection="1">
      <protection locked="0"/>
    </xf>
    <xf numFmtId="170" fontId="31" fillId="0" borderId="0" xfId="2" applyNumberFormat="1" applyFont="1"/>
    <xf numFmtId="165" fontId="31" fillId="0" borderId="0" xfId="0" applyNumberFormat="1" applyFont="1"/>
    <xf numFmtId="178" fontId="0" fillId="0" borderId="0" xfId="0" applyNumberFormat="1"/>
    <xf numFmtId="179" fontId="0" fillId="0" borderId="0" xfId="0" applyNumberFormat="1"/>
    <xf numFmtId="167" fontId="32" fillId="0" borderId="33" xfId="0" applyNumberFormat="1" applyFont="1" applyBorder="1"/>
    <xf numFmtId="165" fontId="32" fillId="0" borderId="5" xfId="0" applyNumberFormat="1" applyFont="1" applyBorder="1" applyAlignment="1">
      <alignment horizontal="center"/>
    </xf>
    <xf numFmtId="165" fontId="32" fillId="0" borderId="34" xfId="0" applyNumberFormat="1" applyFont="1" applyBorder="1" applyAlignment="1">
      <alignment horizontal="center"/>
    </xf>
    <xf numFmtId="165" fontId="32" fillId="0" borderId="33" xfId="0" applyNumberFormat="1" applyFont="1" applyBorder="1"/>
    <xf numFmtId="1" fontId="0" fillId="3" borderId="5" xfId="0" applyNumberFormat="1" applyFill="1" applyBorder="1" applyAlignment="1" applyProtection="1">
      <alignment horizontal="center"/>
      <protection locked="0"/>
    </xf>
    <xf numFmtId="1" fontId="0" fillId="3" borderId="34" xfId="0" applyNumberFormat="1" applyFill="1" applyBorder="1" applyAlignment="1" applyProtection="1">
      <alignment horizontal="center"/>
      <protection locked="0"/>
    </xf>
    <xf numFmtId="165" fontId="32" fillId="0" borderId="35" xfId="0" applyNumberFormat="1" applyFont="1" applyBorder="1"/>
    <xf numFmtId="165" fontId="32" fillId="0" borderId="36" xfId="0" applyNumberFormat="1" applyFont="1" applyBorder="1"/>
    <xf numFmtId="1" fontId="0" fillId="3" borderId="15" xfId="0" applyNumberFormat="1" applyFill="1" applyBorder="1" applyAlignment="1" applyProtection="1">
      <alignment horizontal="center"/>
      <protection locked="0"/>
    </xf>
    <xf numFmtId="1" fontId="0" fillId="3" borderId="37" xfId="0" applyNumberFormat="1" applyFill="1" applyBorder="1" applyAlignment="1" applyProtection="1">
      <alignment horizontal="center"/>
      <protection locked="0"/>
    </xf>
    <xf numFmtId="165" fontId="32" fillId="0" borderId="38" xfId="0" applyNumberFormat="1" applyFont="1" applyBorder="1"/>
    <xf numFmtId="0" fontId="0" fillId="0" borderId="39" xfId="0" applyBorder="1"/>
    <xf numFmtId="165" fontId="38" fillId="0" borderId="39" xfId="38" applyNumberFormat="1" applyFont="1" applyBorder="1"/>
    <xf numFmtId="165" fontId="26" fillId="0" borderId="39" xfId="38" applyNumberFormat="1" applyFont="1" applyBorder="1" applyAlignment="1">
      <alignment vertical="center"/>
    </xf>
    <xf numFmtId="165" fontId="39" fillId="0" borderId="39" xfId="38" applyNumberFormat="1" applyFont="1" applyBorder="1" applyAlignment="1">
      <alignment vertical="center"/>
    </xf>
    <xf numFmtId="165" fontId="26" fillId="0" borderId="39" xfId="38" applyNumberFormat="1" applyFont="1" applyBorder="1" applyAlignment="1">
      <alignment horizontal="center" vertical="center"/>
    </xf>
    <xf numFmtId="165" fontId="26" fillId="4" borderId="40" xfId="38" applyNumberFormat="1" applyFont="1" applyFill="1" applyBorder="1" applyAlignment="1">
      <alignment horizontal="center" vertical="center"/>
    </xf>
    <xf numFmtId="165" fontId="26" fillId="0" borderId="41" xfId="38" applyNumberFormat="1" applyFont="1" applyBorder="1" applyAlignment="1">
      <alignment vertical="center"/>
    </xf>
    <xf numFmtId="165" fontId="26" fillId="0" borderId="0" xfId="38" applyNumberFormat="1" applyFont="1" applyBorder="1" applyAlignment="1" applyProtection="1">
      <alignment horizontal="center" vertical="center"/>
      <protection locked="0"/>
    </xf>
    <xf numFmtId="165" fontId="38" fillId="0" borderId="0" xfId="38" applyNumberFormat="1" applyFont="1" applyBorder="1"/>
    <xf numFmtId="165" fontId="26" fillId="0" borderId="0" xfId="38" applyNumberFormat="1" applyFont="1" applyBorder="1" applyAlignment="1">
      <alignment vertical="center"/>
    </xf>
    <xf numFmtId="165" fontId="40" fillId="0" borderId="0" xfId="38" applyNumberFormat="1" applyFont="1" applyBorder="1" applyAlignment="1">
      <alignment vertical="center"/>
    </xf>
    <xf numFmtId="0" fontId="16" fillId="0" borderId="0" xfId="0" applyFont="1" applyAlignment="1">
      <alignment horizontal="center"/>
    </xf>
    <xf numFmtId="165" fontId="16" fillId="0" borderId="42" xfId="0" applyNumberFormat="1" applyFont="1" applyBorder="1" applyAlignment="1">
      <alignment horizontal="center"/>
    </xf>
    <xf numFmtId="165" fontId="16" fillId="0" borderId="42" xfId="0" applyNumberFormat="1" applyFont="1" applyBorder="1" applyAlignment="1">
      <alignment horizontal="center" wrapText="1"/>
    </xf>
    <xf numFmtId="165" fontId="16" fillId="0" borderId="43" xfId="0" applyNumberFormat="1" applyFont="1" applyBorder="1" applyAlignment="1">
      <alignment horizontal="center"/>
    </xf>
    <xf numFmtId="0" fontId="26" fillId="0" borderId="0" xfId="0" applyFont="1" applyAlignment="1">
      <alignment horizontal="center" vertical="center"/>
    </xf>
    <xf numFmtId="165" fontId="0" fillId="0" borderId="44" xfId="0" applyNumberFormat="1" applyBorder="1" applyAlignment="1">
      <alignment horizontal="left"/>
    </xf>
    <xf numFmtId="1" fontId="16" fillId="4" borderId="5" xfId="0" applyNumberFormat="1" applyFont="1" applyFill="1" applyBorder="1" applyAlignment="1" applyProtection="1">
      <alignment horizontal="center"/>
      <protection locked="0"/>
    </xf>
    <xf numFmtId="1" fontId="36" fillId="4" borderId="5" xfId="0" applyNumberFormat="1" applyFont="1" applyFill="1" applyBorder="1" applyAlignment="1" applyProtection="1">
      <alignment horizontal="center"/>
      <protection locked="0"/>
    </xf>
    <xf numFmtId="1" fontId="36" fillId="5" borderId="45" xfId="0" applyNumberFormat="1" applyFont="1" applyFill="1" applyBorder="1" applyAlignment="1">
      <alignment horizontal="center"/>
    </xf>
    <xf numFmtId="0" fontId="0" fillId="0" borderId="0" xfId="0" applyAlignment="1" applyProtection="1">
      <alignment horizontal="left" vertical="top"/>
      <protection locked="0"/>
    </xf>
    <xf numFmtId="165" fontId="0" fillId="0" borderId="46" xfId="0" applyNumberFormat="1" applyBorder="1" applyAlignment="1">
      <alignment horizontal="left"/>
    </xf>
    <xf numFmtId="1" fontId="41" fillId="4" borderId="47" xfId="0" applyNumberFormat="1" applyFont="1" applyFill="1" applyBorder="1" applyAlignment="1" applyProtection="1">
      <alignment horizontal="center"/>
      <protection locked="0"/>
    </xf>
    <xf numFmtId="1" fontId="36" fillId="4" borderId="47" xfId="0" applyNumberFormat="1" applyFont="1" applyFill="1" applyBorder="1" applyAlignment="1" applyProtection="1">
      <alignment horizontal="center"/>
      <protection locked="0"/>
    </xf>
    <xf numFmtId="1" fontId="36" fillId="5" borderId="48" xfId="0" applyNumberFormat="1" applyFont="1" applyFill="1" applyBorder="1" applyAlignment="1">
      <alignment horizontal="center"/>
    </xf>
    <xf numFmtId="0" fontId="42" fillId="0" borderId="0" xfId="0" applyFont="1"/>
    <xf numFmtId="0" fontId="0" fillId="0" borderId="49" xfId="0" applyBorder="1"/>
    <xf numFmtId="165" fontId="0" fillId="0" borderId="42" xfId="0" applyNumberFormat="1" applyBorder="1" applyAlignment="1">
      <alignment horizontal="center"/>
    </xf>
    <xf numFmtId="165" fontId="0" fillId="0" borderId="43" xfId="0" applyNumberFormat="1" applyBorder="1" applyAlignment="1">
      <alignment horizontal="center"/>
    </xf>
    <xf numFmtId="0" fontId="16" fillId="4" borderId="47" xfId="0" applyFont="1" applyFill="1" applyBorder="1" applyAlignment="1" applyProtection="1">
      <alignment horizontal="center"/>
      <protection locked="0"/>
    </xf>
    <xf numFmtId="0" fontId="0" fillId="0" borderId="48" xfId="0" applyBorder="1" applyAlignment="1">
      <alignment horizontal="center"/>
    </xf>
    <xf numFmtId="167" fontId="0" fillId="0" borderId="0" xfId="0" applyNumberFormat="1" applyAlignment="1">
      <alignment horizontal="left"/>
    </xf>
    <xf numFmtId="0" fontId="16" fillId="0" borderId="0" xfId="0" applyFont="1"/>
    <xf numFmtId="165" fontId="0" fillId="0" borderId="43" xfId="0" applyNumberFormat="1" applyBorder="1" applyAlignment="1">
      <alignment horizontal="center" wrapText="1"/>
    </xf>
    <xf numFmtId="0" fontId="43" fillId="0" borderId="0" xfId="0" applyFont="1" applyAlignment="1">
      <alignment horizontal="center" wrapText="1"/>
    </xf>
    <xf numFmtId="0" fontId="0" fillId="4" borderId="48" xfId="0" applyFill="1" applyBorder="1" applyAlignment="1" applyProtection="1">
      <alignment horizontal="center"/>
      <protection locked="0"/>
    </xf>
    <xf numFmtId="167" fontId="0" fillId="0" borderId="0" xfId="0" applyNumberFormat="1" applyAlignment="1" applyProtection="1">
      <alignment horizontal="center"/>
      <protection locked="0"/>
    </xf>
    <xf numFmtId="165" fontId="28" fillId="0" borderId="42" xfId="0" applyNumberFormat="1" applyFont="1" applyBorder="1" applyAlignment="1">
      <alignment horizontal="center"/>
    </xf>
    <xf numFmtId="165" fontId="28" fillId="0" borderId="43" xfId="0" applyNumberFormat="1" applyFont="1" applyBorder="1" applyAlignment="1">
      <alignment horizontal="center"/>
    </xf>
    <xf numFmtId="1" fontId="0" fillId="4" borderId="5" xfId="0" applyNumberFormat="1" applyFill="1" applyBorder="1" applyAlignment="1" applyProtection="1">
      <alignment horizontal="center"/>
      <protection locked="0"/>
    </xf>
    <xf numFmtId="1" fontId="0" fillId="0" borderId="45" xfId="0" applyNumberFormat="1" applyBorder="1" applyAlignment="1">
      <alignment horizontal="center"/>
    </xf>
    <xf numFmtId="1" fontId="16" fillId="4" borderId="50" xfId="0" applyNumberFormat="1" applyFont="1" applyFill="1" applyBorder="1" applyAlignment="1" applyProtection="1">
      <alignment horizontal="center"/>
      <protection locked="0"/>
    </xf>
    <xf numFmtId="1" fontId="0" fillId="4" borderId="50" xfId="0" applyNumberFormat="1" applyFill="1" applyBorder="1" applyAlignment="1" applyProtection="1">
      <alignment horizontal="center"/>
      <protection locked="0"/>
    </xf>
    <xf numFmtId="165" fontId="41" fillId="0" borderId="51" xfId="0" applyNumberFormat="1" applyFont="1" applyBorder="1" applyAlignment="1">
      <alignment horizontal="left"/>
    </xf>
    <xf numFmtId="0" fontId="0" fillId="0" borderId="52" xfId="0" applyBorder="1"/>
    <xf numFmtId="0" fontId="28" fillId="6" borderId="53" xfId="0" applyFont="1" applyFill="1" applyBorder="1" applyAlignment="1" applyProtection="1">
      <alignment horizontal="center"/>
      <protection locked="0"/>
    </xf>
    <xf numFmtId="0" fontId="28" fillId="6" borderId="54" xfId="0" applyFont="1" applyFill="1" applyBorder="1" applyAlignment="1" applyProtection="1">
      <alignment horizontal="center"/>
      <protection locked="0"/>
    </xf>
    <xf numFmtId="0" fontId="0" fillId="0" borderId="55" xfId="0" applyBorder="1" applyAlignment="1">
      <alignment horizontal="left"/>
    </xf>
    <xf numFmtId="170" fontId="0" fillId="4" borderId="28" xfId="0" applyNumberFormat="1" applyFill="1" applyBorder="1" applyAlignment="1">
      <alignment horizontal="right" wrapText="1"/>
    </xf>
    <xf numFmtId="170" fontId="0" fillId="4" borderId="5" xfId="0" applyNumberFormat="1" applyFill="1" applyBorder="1" applyAlignment="1" applyProtection="1">
      <alignment horizontal="right" wrapText="1"/>
      <protection locked="0"/>
    </xf>
    <xf numFmtId="0" fontId="0" fillId="0" borderId="56" xfId="0" applyBorder="1" applyAlignment="1">
      <alignment horizontal="left"/>
    </xf>
    <xf numFmtId="170" fontId="0" fillId="0" borderId="28" xfId="0" applyNumberFormat="1" applyBorder="1" applyAlignment="1">
      <alignment horizontal="right" wrapText="1"/>
    </xf>
    <xf numFmtId="170" fontId="0" fillId="0" borderId="5" xfId="0" applyNumberFormat="1" applyBorder="1" applyAlignment="1">
      <alignment horizontal="right" wrapText="1"/>
    </xf>
    <xf numFmtId="0" fontId="0" fillId="0" borderId="35" xfId="0" applyBorder="1" applyAlignment="1">
      <alignment horizontal="left" wrapText="1"/>
    </xf>
    <xf numFmtId="0" fontId="0" fillId="0" borderId="0" xfId="0" applyAlignment="1">
      <alignment horizontal="center" wrapText="1"/>
    </xf>
    <xf numFmtId="165" fontId="0" fillId="0" borderId="0" xfId="2" applyFont="1"/>
    <xf numFmtId="165" fontId="0" fillId="0" borderId="0" xfId="0" applyNumberFormat="1"/>
    <xf numFmtId="165" fontId="0" fillId="0" borderId="57" xfId="0" applyNumberFormat="1" applyBorder="1" applyAlignment="1">
      <alignment horizontal="left"/>
    </xf>
    <xf numFmtId="165" fontId="44" fillId="0" borderId="58" xfId="0" applyNumberFormat="1" applyFont="1" applyBorder="1" applyAlignment="1">
      <alignment horizontal="center" wrapText="1"/>
    </xf>
    <xf numFmtId="165" fontId="44" fillId="0" borderId="59" xfId="0" applyNumberFormat="1" applyFont="1" applyBorder="1" applyAlignment="1">
      <alignment horizontal="center" wrapText="1"/>
    </xf>
    <xf numFmtId="165" fontId="0" fillId="4" borderId="5" xfId="0" applyNumberFormat="1" applyFill="1" applyBorder="1" applyProtection="1">
      <protection locked="0"/>
    </xf>
    <xf numFmtId="0" fontId="0" fillId="4" borderId="28" xfId="0" applyFill="1" applyBorder="1" applyAlignment="1">
      <alignment horizontal="center" vertical="center"/>
    </xf>
    <xf numFmtId="0" fontId="0" fillId="0" borderId="5" xfId="0" applyBorder="1" applyAlignment="1">
      <alignment horizontal="center" vertical="center"/>
    </xf>
    <xf numFmtId="180" fontId="0" fillId="4" borderId="28" xfId="0" applyNumberFormat="1" applyFill="1" applyBorder="1" applyAlignment="1">
      <alignment horizontal="center" vertical="center"/>
    </xf>
    <xf numFmtId="1" fontId="0" fillId="0" borderId="5" xfId="0" applyNumberFormat="1" applyBorder="1" applyAlignment="1">
      <alignment horizontal="center" vertical="center"/>
    </xf>
    <xf numFmtId="170" fontId="0" fillId="4" borderId="28" xfId="0" applyNumberFormat="1" applyFill="1" applyBorder="1" applyAlignment="1">
      <alignment horizontal="center" vertical="center"/>
    </xf>
    <xf numFmtId="181" fontId="0" fillId="0" borderId="5" xfId="0" applyNumberFormat="1" applyBorder="1" applyAlignment="1">
      <alignment horizontal="center" vertical="center"/>
    </xf>
    <xf numFmtId="181" fontId="0" fillId="0" borderId="60" xfId="0" applyNumberFormat="1" applyBorder="1" applyAlignment="1">
      <alignment horizontal="center" vertical="center"/>
    </xf>
    <xf numFmtId="49" fontId="0" fillId="4" borderId="50" xfId="0" applyNumberFormat="1" applyFill="1" applyBorder="1" applyAlignment="1" applyProtection="1">
      <alignment horizontal="left"/>
      <protection locked="0"/>
    </xf>
    <xf numFmtId="0" fontId="0" fillId="4" borderId="61" xfId="0" applyFill="1" applyBorder="1" applyAlignment="1">
      <alignment horizontal="center" vertical="center"/>
    </xf>
    <xf numFmtId="170" fontId="0" fillId="4" borderId="61" xfId="0" applyNumberFormat="1" applyFill="1" applyBorder="1" applyAlignment="1">
      <alignment horizontal="center" vertical="center"/>
    </xf>
    <xf numFmtId="49" fontId="0" fillId="4" borderId="62" xfId="0" applyNumberFormat="1" applyFill="1" applyBorder="1" applyAlignment="1" applyProtection="1">
      <alignment horizontal="left"/>
      <protection locked="0"/>
    </xf>
    <xf numFmtId="0" fontId="0" fillId="4" borderId="63" xfId="0" applyFill="1" applyBorder="1" applyAlignment="1">
      <alignment horizontal="center" vertical="center"/>
    </xf>
    <xf numFmtId="170" fontId="0" fillId="4" borderId="63" xfId="0" applyNumberFormat="1" applyFill="1" applyBorder="1" applyAlignment="1">
      <alignment horizontal="center" vertical="center"/>
    </xf>
    <xf numFmtId="49" fontId="0" fillId="4" borderId="64" xfId="0" applyNumberFormat="1" applyFill="1" applyBorder="1" applyAlignment="1">
      <alignment horizontal="left"/>
    </xf>
    <xf numFmtId="0" fontId="0" fillId="4" borderId="65" xfId="0" applyFill="1" applyBorder="1" applyAlignment="1">
      <alignment horizontal="center" vertical="center"/>
    </xf>
    <xf numFmtId="0" fontId="0" fillId="0" borderId="66" xfId="0" applyBorder="1" applyAlignment="1">
      <alignment horizontal="center" vertical="center"/>
    </xf>
    <xf numFmtId="180" fontId="0" fillId="4" borderId="67" xfId="0" applyNumberFormat="1" applyFill="1" applyBorder="1" applyAlignment="1">
      <alignment horizontal="center" vertical="center"/>
    </xf>
    <xf numFmtId="1" fontId="0" fillId="0" borderId="66" xfId="0" applyNumberFormat="1" applyBorder="1" applyAlignment="1">
      <alignment horizontal="center" vertical="center"/>
    </xf>
    <xf numFmtId="170" fontId="0" fillId="4" borderId="67" xfId="0" applyNumberFormat="1" applyFill="1" applyBorder="1" applyAlignment="1">
      <alignment horizontal="center" vertical="center"/>
    </xf>
    <xf numFmtId="181" fontId="0" fillId="0" borderId="66" xfId="0" applyNumberFormat="1" applyBorder="1" applyAlignment="1">
      <alignment horizontal="center" vertical="center"/>
    </xf>
    <xf numFmtId="0" fontId="0" fillId="4" borderId="67" xfId="0" applyFill="1" applyBorder="1" applyAlignment="1">
      <alignment horizontal="center" vertical="center"/>
    </xf>
    <xf numFmtId="181" fontId="0" fillId="0" borderId="68" xfId="0" applyNumberFormat="1" applyBorder="1" applyAlignment="1">
      <alignment horizontal="center" vertical="center"/>
    </xf>
    <xf numFmtId="0" fontId="45" fillId="0" borderId="0" xfId="0" applyFont="1"/>
    <xf numFmtId="165" fontId="46" fillId="0" borderId="69" xfId="38" applyNumberFormat="1" applyFont="1" applyBorder="1"/>
    <xf numFmtId="165" fontId="47" fillId="0" borderId="69" xfId="38" applyNumberFormat="1" applyFont="1" applyBorder="1"/>
    <xf numFmtId="165" fontId="26" fillId="0" borderId="69" xfId="38" applyNumberFormat="1" applyFont="1" applyBorder="1" applyAlignment="1">
      <alignment vertical="center"/>
    </xf>
    <xf numFmtId="165" fontId="48" fillId="0" borderId="69" xfId="38" applyNumberFormat="1" applyFont="1" applyBorder="1" applyAlignment="1">
      <alignment vertical="center"/>
    </xf>
    <xf numFmtId="165" fontId="49" fillId="0" borderId="69" xfId="38" applyNumberFormat="1" applyFont="1" applyBorder="1" applyAlignment="1">
      <alignment vertical="center"/>
    </xf>
    <xf numFmtId="0" fontId="0" fillId="0" borderId="69" xfId="0" applyBorder="1"/>
    <xf numFmtId="165" fontId="47" fillId="0" borderId="69" xfId="38" applyNumberFormat="1" applyFont="1" applyBorder="1" applyAlignment="1">
      <alignment vertical="center"/>
    </xf>
    <xf numFmtId="165" fontId="50" fillId="0" borderId="70" xfId="0" applyNumberFormat="1" applyFont="1" applyBorder="1" applyAlignment="1">
      <alignment horizontal="center" vertical="center"/>
    </xf>
    <xf numFmtId="165" fontId="50" fillId="0" borderId="71" xfId="0" applyNumberFormat="1" applyFont="1" applyBorder="1" applyAlignment="1">
      <alignment horizontal="center" vertical="center" wrapText="1"/>
    </xf>
    <xf numFmtId="0" fontId="1" fillId="0" borderId="72" xfId="0" applyFont="1" applyBorder="1" applyAlignment="1">
      <alignment horizontal="center"/>
    </xf>
    <xf numFmtId="0" fontId="16" fillId="6" borderId="73" xfId="0" applyFont="1" applyFill="1" applyBorder="1" applyAlignment="1" applyProtection="1">
      <alignment horizontal="center"/>
      <protection locked="0"/>
    </xf>
    <xf numFmtId="165" fontId="50" fillId="0" borderId="74" xfId="0" applyNumberFormat="1" applyFont="1" applyBorder="1" applyAlignment="1">
      <alignment horizontal="center" vertical="center"/>
    </xf>
    <xf numFmtId="0" fontId="50" fillId="0" borderId="75" xfId="0" applyFont="1" applyBorder="1" applyAlignment="1">
      <alignment horizontal="center" vertical="center"/>
    </xf>
    <xf numFmtId="165" fontId="50" fillId="0" borderId="76" xfId="0" applyNumberFormat="1" applyFont="1" applyBorder="1" applyAlignment="1">
      <alignment horizontal="center" vertical="center"/>
    </xf>
    <xf numFmtId="165" fontId="50" fillId="0" borderId="77" xfId="0" applyNumberFormat="1" applyFont="1" applyBorder="1" applyAlignment="1">
      <alignment horizontal="center" vertical="center" wrapText="1"/>
    </xf>
    <xf numFmtId="0" fontId="1" fillId="0" borderId="78" xfId="0" applyFont="1" applyBorder="1" applyAlignment="1">
      <alignment horizontal="center"/>
    </xf>
    <xf numFmtId="0" fontId="16" fillId="6" borderId="0" xfId="0" applyFont="1" applyFill="1" applyAlignment="1" applyProtection="1">
      <alignment horizontal="center"/>
      <protection locked="0"/>
    </xf>
    <xf numFmtId="0" fontId="16" fillId="6" borderId="79" xfId="0" applyFont="1" applyFill="1" applyBorder="1" applyAlignment="1" applyProtection="1">
      <alignment horizontal="center"/>
      <protection locked="0"/>
    </xf>
    <xf numFmtId="49" fontId="1" fillId="0" borderId="5" xfId="0" applyNumberFormat="1" applyFont="1" applyBorder="1" applyAlignment="1">
      <alignment horizontal="left"/>
    </xf>
    <xf numFmtId="170" fontId="1" fillId="2" borderId="28" xfId="0" applyNumberFormat="1" applyFont="1" applyFill="1" applyBorder="1" applyAlignment="1">
      <alignment horizontal="center" vertical="center" wrapText="1"/>
    </xf>
    <xf numFmtId="182" fontId="1" fillId="2" borderId="5" xfId="0" applyNumberFormat="1" applyFont="1" applyFill="1" applyBorder="1" applyAlignment="1">
      <alignment horizontal="center" vertical="center" wrapText="1"/>
    </xf>
    <xf numFmtId="181" fontId="1" fillId="2" borderId="28" xfId="0" applyNumberFormat="1" applyFont="1" applyFill="1" applyBorder="1" applyAlignment="1">
      <alignment horizontal="center" vertical="center" wrapText="1"/>
    </xf>
    <xf numFmtId="170" fontId="1" fillId="2" borderId="5" xfId="0" applyNumberFormat="1" applyFont="1" applyFill="1" applyBorder="1" applyAlignment="1">
      <alignment horizontal="center" vertical="center" wrapText="1"/>
    </xf>
    <xf numFmtId="173" fontId="1" fillId="2" borderId="5" xfId="0" applyNumberFormat="1" applyFont="1" applyFill="1" applyBorder="1" applyAlignment="1">
      <alignment horizontal="center" vertical="center" wrapText="1"/>
    </xf>
    <xf numFmtId="170" fontId="1" fillId="2" borderId="5" xfId="0" applyNumberFormat="1" applyFont="1" applyFill="1" applyBorder="1" applyAlignment="1" applyProtection="1">
      <alignment vertical="center"/>
      <protection locked="0"/>
    </xf>
    <xf numFmtId="49" fontId="1" fillId="7" borderId="5" xfId="0" applyNumberFormat="1" applyFont="1" applyFill="1" applyBorder="1" applyAlignment="1">
      <alignment horizontal="left"/>
    </xf>
    <xf numFmtId="170" fontId="1" fillId="8" borderId="5" xfId="0" applyNumberFormat="1" applyFont="1" applyFill="1" applyBorder="1" applyAlignment="1" applyProtection="1">
      <alignment vertical="center"/>
      <protection locked="0"/>
    </xf>
    <xf numFmtId="183" fontId="1" fillId="2" borderId="5" xfId="0" applyNumberFormat="1" applyFont="1" applyFill="1" applyBorder="1" applyAlignment="1">
      <alignment horizontal="center" vertical="center" wrapText="1"/>
    </xf>
    <xf numFmtId="1" fontId="101" fillId="2" borderId="28" xfId="23" applyNumberFormat="1" applyFill="1" applyBorder="1" applyAlignment="1">
      <alignment horizontal="center" vertical="center" wrapText="1"/>
    </xf>
    <xf numFmtId="1" fontId="51" fillId="2" borderId="28" xfId="0" applyNumberFormat="1" applyFont="1" applyFill="1" applyBorder="1" applyAlignment="1">
      <alignment horizontal="center" vertical="center" wrapText="1"/>
    </xf>
    <xf numFmtId="170" fontId="1" fillId="8" borderId="5" xfId="0" applyNumberFormat="1" applyFont="1" applyFill="1" applyBorder="1" applyAlignment="1" applyProtection="1">
      <alignment horizontal="right" vertical="center"/>
      <protection locked="0"/>
    </xf>
    <xf numFmtId="1" fontId="1" fillId="2" borderId="28" xfId="0" applyNumberFormat="1" applyFont="1" applyFill="1" applyBorder="1" applyAlignment="1">
      <alignment horizontal="center" vertical="center" wrapText="1"/>
    </xf>
    <xf numFmtId="184" fontId="51" fillId="2" borderId="28" xfId="0" applyNumberFormat="1" applyFont="1" applyFill="1" applyBorder="1" applyAlignment="1">
      <alignment horizontal="center" vertical="center" wrapText="1"/>
    </xf>
    <xf numFmtId="9" fontId="1" fillId="2" borderId="28" xfId="0" applyNumberFormat="1" applyFont="1" applyFill="1" applyBorder="1" applyAlignment="1">
      <alignment horizontal="center" vertical="center" wrapText="1"/>
    </xf>
    <xf numFmtId="49" fontId="50" fillId="0" borderId="70" xfId="0" applyNumberFormat="1" applyFont="1" applyBorder="1" applyAlignment="1">
      <alignment horizontal="center" vertical="center"/>
    </xf>
    <xf numFmtId="49" fontId="50" fillId="0" borderId="71" xfId="0" applyNumberFormat="1" applyFont="1" applyBorder="1" applyAlignment="1">
      <alignment horizontal="center" vertical="center" wrapText="1"/>
    </xf>
    <xf numFmtId="49" fontId="1" fillId="5" borderId="80" xfId="0" applyNumberFormat="1" applyFont="1" applyFill="1" applyBorder="1"/>
    <xf numFmtId="170" fontId="1" fillId="0" borderId="28" xfId="0" applyNumberFormat="1" applyFont="1" applyBorder="1" applyAlignment="1">
      <alignment vertical="center"/>
    </xf>
    <xf numFmtId="170" fontId="1" fillId="0" borderId="5" xfId="0" applyNumberFormat="1" applyFont="1" applyBorder="1" applyAlignment="1">
      <alignment vertical="center"/>
    </xf>
    <xf numFmtId="49" fontId="1" fillId="5" borderId="2" xfId="0" applyNumberFormat="1" applyFont="1" applyFill="1" applyBorder="1"/>
    <xf numFmtId="49" fontId="1" fillId="7" borderId="5" xfId="0" applyNumberFormat="1" applyFont="1" applyFill="1" applyBorder="1"/>
    <xf numFmtId="170" fontId="1" fillId="7" borderId="5" xfId="0" applyNumberFormat="1" applyFont="1" applyFill="1" applyBorder="1" applyAlignment="1">
      <alignment vertical="center"/>
    </xf>
    <xf numFmtId="49" fontId="1" fillId="5" borderId="81" xfId="0" applyNumberFormat="1" applyFont="1" applyFill="1" applyBorder="1"/>
    <xf numFmtId="170" fontId="1" fillId="0" borderId="82" xfId="0" applyNumberFormat="1" applyFont="1" applyBorder="1" applyAlignment="1">
      <alignment vertical="center"/>
    </xf>
    <xf numFmtId="165" fontId="53" fillId="0" borderId="0" xfId="5" applyFont="1" applyAlignment="1">
      <alignment vertical="center"/>
    </xf>
    <xf numFmtId="0" fontId="36" fillId="0" borderId="0" xfId="0" applyFont="1"/>
    <xf numFmtId="165" fontId="54" fillId="0" borderId="0" xfId="17" applyFont="1" applyAlignment="1">
      <alignment horizontal="right" vertical="center"/>
    </xf>
    <xf numFmtId="0" fontId="22" fillId="0" borderId="0" xfId="0" applyFont="1" applyAlignment="1">
      <alignment horizontal="center"/>
    </xf>
    <xf numFmtId="0" fontId="41" fillId="0" borderId="0" xfId="0" applyFont="1" applyAlignment="1">
      <alignment horizontal="left"/>
    </xf>
    <xf numFmtId="0" fontId="55" fillId="0" borderId="0" xfId="0" applyFont="1"/>
    <xf numFmtId="0" fontId="22" fillId="0" borderId="0" xfId="0" applyFont="1"/>
    <xf numFmtId="165" fontId="56" fillId="0" borderId="0" xfId="17" applyFont="1"/>
    <xf numFmtId="165" fontId="56" fillId="0" borderId="0" xfId="17" applyFont="1" applyAlignment="1">
      <alignment horizontal="center"/>
    </xf>
    <xf numFmtId="165" fontId="56" fillId="0" borderId="0" xfId="17" applyFont="1" applyAlignment="1">
      <alignment horizontal="right"/>
    </xf>
    <xf numFmtId="165" fontId="101" fillId="0" borderId="0" xfId="16"/>
    <xf numFmtId="0" fontId="22" fillId="0" borderId="0" xfId="0" applyFont="1" applyAlignment="1">
      <alignment horizontal="left" indent="1"/>
    </xf>
    <xf numFmtId="0" fontId="57" fillId="0" borderId="0" xfId="0" applyFont="1" applyAlignment="1">
      <alignment horizontal="left" indent="1"/>
    </xf>
    <xf numFmtId="165" fontId="0" fillId="0" borderId="83" xfId="32" applyNumberFormat="1" applyFont="1" applyBorder="1" applyAlignment="1">
      <alignment horizontal="right"/>
    </xf>
    <xf numFmtId="14" fontId="17" fillId="4" borderId="83" xfId="32" applyNumberFormat="1" applyFont="1" applyFill="1" applyBorder="1" applyAlignment="1">
      <alignment horizontal="center" vertical="center"/>
    </xf>
    <xf numFmtId="165" fontId="54" fillId="0" borderId="83" xfId="32" applyNumberFormat="1" applyFont="1" applyBorder="1" applyAlignment="1">
      <alignment horizontal="right"/>
    </xf>
    <xf numFmtId="165" fontId="17" fillId="4" borderId="83" xfId="32" applyNumberFormat="1" applyFont="1" applyFill="1" applyBorder="1" applyAlignment="1">
      <alignment horizontal="center" vertical="center"/>
    </xf>
    <xf numFmtId="167" fontId="17" fillId="4" borderId="83" xfId="32" applyNumberFormat="1" applyFont="1" applyFill="1" applyBorder="1" applyAlignment="1">
      <alignment horizontal="center" vertical="center"/>
    </xf>
    <xf numFmtId="165" fontId="22" fillId="0" borderId="0" xfId="16" applyFont="1"/>
    <xf numFmtId="167" fontId="17" fillId="4" borderId="83" xfId="32" applyNumberFormat="1" applyFont="1" applyFill="1" applyBorder="1" applyAlignment="1">
      <alignment horizontal="center"/>
    </xf>
    <xf numFmtId="0" fontId="58" fillId="0" borderId="0" xfId="0" applyFont="1"/>
    <xf numFmtId="0" fontId="57" fillId="0" borderId="0" xfId="16" applyNumberFormat="1" applyFont="1"/>
    <xf numFmtId="165" fontId="59" fillId="0" borderId="0" xfId="16" applyFont="1"/>
    <xf numFmtId="165" fontId="22" fillId="0" borderId="0" xfId="18" applyFont="1"/>
    <xf numFmtId="165" fontId="59" fillId="0" borderId="0" xfId="18" applyFont="1"/>
    <xf numFmtId="165" fontId="3" fillId="0" borderId="0" xfId="5" applyFont="1" applyAlignment="1">
      <alignment vertical="center"/>
    </xf>
    <xf numFmtId="165" fontId="29" fillId="0" borderId="0" xfId="0" applyNumberFormat="1" applyFont="1" applyAlignment="1">
      <alignment horizontal="right"/>
    </xf>
    <xf numFmtId="0" fontId="29" fillId="0" borderId="0" xfId="0" applyFont="1" applyAlignment="1">
      <alignment horizontal="center"/>
    </xf>
    <xf numFmtId="167" fontId="29" fillId="0" borderId="0" xfId="0" applyNumberFormat="1" applyFont="1" applyAlignment="1">
      <alignment horizontal="center"/>
    </xf>
    <xf numFmtId="168" fontId="29" fillId="0" borderId="0" xfId="2" applyNumberFormat="1" applyFont="1" applyAlignment="1">
      <alignment horizontal="left"/>
    </xf>
    <xf numFmtId="0" fontId="56" fillId="0" borderId="0" xfId="0" applyFont="1" applyAlignment="1">
      <alignment horizontal="center"/>
    </xf>
    <xf numFmtId="167" fontId="29" fillId="0" borderId="0" xfId="0" applyNumberFormat="1" applyFont="1" applyAlignment="1">
      <alignment horizontal="right"/>
    </xf>
    <xf numFmtId="167" fontId="29" fillId="0" borderId="0" xfId="0" applyNumberFormat="1" applyFont="1" applyAlignment="1">
      <alignment horizontal="left"/>
    </xf>
    <xf numFmtId="165" fontId="61" fillId="0" borderId="0" xfId="0" applyNumberFormat="1" applyFont="1"/>
    <xf numFmtId="0" fontId="44" fillId="0" borderId="0" xfId="0" applyFont="1"/>
    <xf numFmtId="0" fontId="64" fillId="2" borderId="0" xfId="0" applyFont="1" applyFill="1" applyAlignment="1" applyProtection="1">
      <alignment horizontal="left" vertical="center"/>
      <protection locked="0"/>
    </xf>
    <xf numFmtId="165" fontId="64" fillId="0" borderId="0" xfId="0" applyNumberFormat="1" applyFont="1"/>
    <xf numFmtId="0" fontId="0" fillId="0" borderId="0" xfId="0" applyAlignment="1">
      <alignment horizontal="left" wrapText="1"/>
    </xf>
    <xf numFmtId="0" fontId="44" fillId="0" borderId="0" xfId="0" applyFont="1" applyAlignment="1" applyProtection="1">
      <alignment horizontal="left"/>
      <protection locked="0"/>
    </xf>
    <xf numFmtId="165" fontId="65" fillId="0" borderId="0" xfId="0" applyNumberFormat="1" applyFont="1" applyAlignment="1">
      <alignment vertical="center" wrapText="1"/>
    </xf>
    <xf numFmtId="165" fontId="65" fillId="0" borderId="52" xfId="0" applyNumberFormat="1" applyFont="1" applyBorder="1" applyAlignment="1">
      <alignment horizontal="center" wrapText="1"/>
    </xf>
    <xf numFmtId="165" fontId="65" fillId="0" borderId="84" xfId="0" applyNumberFormat="1" applyFont="1" applyBorder="1" applyAlignment="1">
      <alignment horizontal="center" wrapText="1"/>
    </xf>
    <xf numFmtId="0" fontId="65" fillId="0" borderId="0" xfId="0" applyFont="1" applyAlignment="1">
      <alignment wrapText="1"/>
    </xf>
    <xf numFmtId="165" fontId="3" fillId="0" borderId="0" xfId="15" applyFont="1" applyAlignment="1">
      <alignment vertical="center"/>
    </xf>
    <xf numFmtId="0" fontId="0" fillId="0" borderId="0" xfId="0" applyAlignment="1">
      <alignment horizontal="left"/>
    </xf>
    <xf numFmtId="187" fontId="0" fillId="0" borderId="0" xfId="0" applyNumberFormat="1"/>
    <xf numFmtId="178" fontId="101" fillId="0" borderId="0" xfId="32" applyNumberFormat="1" applyBorder="1" applyAlignment="1" applyProtection="1">
      <alignment horizontal="center"/>
      <protection locked="0"/>
    </xf>
    <xf numFmtId="167" fontId="0" fillId="0" borderId="0" xfId="0" applyNumberFormat="1" applyAlignment="1">
      <alignment horizontal="center"/>
    </xf>
    <xf numFmtId="1" fontId="36" fillId="0" borderId="0" xfId="0" applyNumberFormat="1" applyFont="1" applyAlignment="1">
      <alignment horizontal="center"/>
    </xf>
    <xf numFmtId="1" fontId="41" fillId="5" borderId="0" xfId="0" applyNumberFormat="1" applyFont="1" applyFill="1" applyAlignment="1">
      <alignment horizontal="center"/>
    </xf>
    <xf numFmtId="0" fontId="67" fillId="0" borderId="0" xfId="0" applyFont="1"/>
    <xf numFmtId="0" fontId="29" fillId="0" borderId="0" xfId="0" applyFont="1" applyAlignment="1">
      <alignment wrapText="1"/>
    </xf>
    <xf numFmtId="0" fontId="44" fillId="0" borderId="52" xfId="0" applyFont="1" applyBorder="1" applyAlignment="1">
      <alignment horizontal="center" vertical="center" wrapText="1"/>
    </xf>
    <xf numFmtId="0" fontId="44" fillId="0" borderId="87" xfId="0" applyFont="1" applyBorder="1" applyAlignment="1">
      <alignment horizontal="center" vertical="center" wrapText="1"/>
    </xf>
    <xf numFmtId="0" fontId="44" fillId="0" borderId="88" xfId="0" applyFont="1" applyBorder="1" applyAlignment="1">
      <alignment horizontal="center" vertical="center" wrapText="1"/>
    </xf>
    <xf numFmtId="0" fontId="44" fillId="0" borderId="89" xfId="0" applyFont="1" applyBorder="1" applyAlignment="1">
      <alignment horizontal="center" vertical="center" wrapText="1"/>
    </xf>
    <xf numFmtId="0" fontId="44" fillId="0" borderId="86" xfId="0" applyFont="1" applyBorder="1" applyAlignment="1">
      <alignment horizontal="left" vertical="center"/>
    </xf>
    <xf numFmtId="181" fontId="44" fillId="0" borderId="86" xfId="0" applyNumberFormat="1" applyFont="1" applyBorder="1" applyAlignment="1">
      <alignment horizontal="center" vertical="center"/>
    </xf>
    <xf numFmtId="0" fontId="44" fillId="0" borderId="86" xfId="0" applyFont="1" applyBorder="1" applyAlignment="1">
      <alignment horizontal="center" vertical="center"/>
    </xf>
    <xf numFmtId="181" fontId="22" fillId="9" borderId="90" xfId="0" applyNumberFormat="1" applyFont="1" applyFill="1" applyBorder="1" applyAlignment="1">
      <alignment horizontal="center"/>
    </xf>
    <xf numFmtId="181" fontId="36" fillId="9" borderId="90" xfId="0" applyNumberFormat="1" applyFont="1" applyFill="1" applyBorder="1" applyAlignment="1">
      <alignment horizontal="center"/>
    </xf>
    <xf numFmtId="167" fontId="29" fillId="0" borderId="0" xfId="0" applyNumberFormat="1" applyFont="1"/>
    <xf numFmtId="0" fontId="69" fillId="0" borderId="0" xfId="0" applyFont="1"/>
    <xf numFmtId="165" fontId="16" fillId="0" borderId="0" xfId="0" applyNumberFormat="1" applyFont="1" applyAlignment="1">
      <alignment horizontal="center"/>
    </xf>
    <xf numFmtId="165" fontId="0" fillId="0" borderId="0" xfId="0" applyNumberFormat="1" applyAlignment="1">
      <alignment horizontal="right"/>
    </xf>
    <xf numFmtId="167" fontId="28" fillId="0" borderId="0" xfId="0" applyNumberFormat="1" applyFont="1" applyAlignment="1">
      <alignment horizontal="center"/>
    </xf>
    <xf numFmtId="170" fontId="22" fillId="5" borderId="91" xfId="0" applyNumberFormat="1" applyFont="1" applyFill="1" applyBorder="1" applyAlignment="1">
      <alignment horizontal="right"/>
    </xf>
    <xf numFmtId="170" fontId="22" fillId="5" borderId="92" xfId="2" applyNumberFormat="1" applyFont="1" applyFill="1" applyBorder="1"/>
    <xf numFmtId="9" fontId="22" fillId="5" borderId="92" xfId="23" applyFont="1" applyFill="1" applyBorder="1"/>
    <xf numFmtId="170" fontId="22" fillId="5" borderId="92" xfId="0" applyNumberFormat="1" applyFont="1" applyFill="1" applyBorder="1" applyAlignment="1">
      <alignment horizontal="right"/>
    </xf>
    <xf numFmtId="0" fontId="22" fillId="5" borderId="91" xfId="0" applyFont="1" applyFill="1" applyBorder="1"/>
    <xf numFmtId="9" fontId="22" fillId="5" borderId="92" xfId="23" applyFont="1" applyFill="1" applyBorder="1" applyAlignment="1">
      <alignment horizontal="center"/>
    </xf>
    <xf numFmtId="170" fontId="22" fillId="0" borderId="0" xfId="0" applyNumberFormat="1" applyFont="1"/>
    <xf numFmtId="170" fontId="22" fillId="5" borderId="92" xfId="0" applyNumberFormat="1" applyFont="1" applyFill="1" applyBorder="1"/>
    <xf numFmtId="165" fontId="22" fillId="0" borderId="0" xfId="0" applyNumberFormat="1" applyFont="1"/>
    <xf numFmtId="0" fontId="70" fillId="0" borderId="0" xfId="0" applyFont="1"/>
    <xf numFmtId="0" fontId="70" fillId="0" borderId="0" xfId="0" applyFont="1" applyAlignment="1">
      <alignment horizontal="right"/>
    </xf>
    <xf numFmtId="165" fontId="19" fillId="0" borderId="0" xfId="15" applyFont="1" applyAlignment="1">
      <alignment vertical="center"/>
    </xf>
    <xf numFmtId="0" fontId="71" fillId="0" borderId="0" xfId="0" applyFont="1" applyAlignment="1">
      <alignment horizontal="left" vertical="center"/>
    </xf>
    <xf numFmtId="0" fontId="71" fillId="0" borderId="0" xfId="0" applyFont="1" applyAlignment="1">
      <alignment horizontal="left"/>
    </xf>
    <xf numFmtId="188" fontId="71" fillId="0" borderId="0" xfId="0" applyNumberFormat="1" applyFont="1" applyAlignment="1">
      <alignment horizontal="left"/>
    </xf>
    <xf numFmtId="0" fontId="73" fillId="0" borderId="0" xfId="0" applyFont="1"/>
    <xf numFmtId="0" fontId="76" fillId="0" borderId="0" xfId="0" applyFont="1" applyAlignment="1">
      <alignment horizontal="right"/>
    </xf>
    <xf numFmtId="0" fontId="50" fillId="0" borderId="93" xfId="0" applyFont="1" applyBorder="1" applyAlignment="1">
      <alignment horizontal="center" vertical="center" wrapText="1"/>
    </xf>
    <xf numFmtId="0" fontId="77" fillId="0" borderId="94" xfId="0" applyFont="1" applyBorder="1" applyAlignment="1">
      <alignment horizontal="right"/>
    </xf>
    <xf numFmtId="9" fontId="79" fillId="0" borderId="0" xfId="0" applyNumberFormat="1" applyFont="1"/>
    <xf numFmtId="0" fontId="50" fillId="0" borderId="95" xfId="0" applyFont="1" applyBorder="1" applyAlignment="1">
      <alignment horizontal="center"/>
    </xf>
    <xf numFmtId="0" fontId="77" fillId="0" borderId="96" xfId="0" applyFont="1" applyBorder="1" applyAlignment="1">
      <alignment horizontal="right"/>
    </xf>
    <xf numFmtId="0" fontId="50" fillId="0" borderId="97" xfId="0" applyFont="1" applyBorder="1" applyAlignment="1">
      <alignment horizontal="center"/>
    </xf>
    <xf numFmtId="0" fontId="77" fillId="0" borderId="98" xfId="0" applyFont="1" applyBorder="1" applyAlignment="1">
      <alignment horizontal="right"/>
    </xf>
    <xf numFmtId="0" fontId="80" fillId="0" borderId="0" xfId="0" applyFont="1" applyAlignment="1">
      <alignment horizontal="center"/>
    </xf>
    <xf numFmtId="0" fontId="77" fillId="0" borderId="0" xfId="0" applyFont="1" applyAlignment="1">
      <alignment horizontal="right"/>
    </xf>
    <xf numFmtId="0" fontId="10" fillId="0" borderId="0" xfId="0" applyFont="1" applyAlignment="1">
      <alignment horizontal="center" vertical="center"/>
    </xf>
    <xf numFmtId="9" fontId="79" fillId="0" borderId="0" xfId="0" applyNumberFormat="1" applyFont="1" applyAlignment="1">
      <alignment horizontal="center"/>
    </xf>
    <xf numFmtId="189" fontId="81" fillId="5" borderId="0" xfId="0" applyNumberFormat="1" applyFont="1" applyFill="1" applyAlignment="1">
      <alignment vertical="center"/>
    </xf>
    <xf numFmtId="0" fontId="77" fillId="5" borderId="0" xfId="0" applyFont="1" applyFill="1" applyAlignment="1">
      <alignment horizontal="right"/>
    </xf>
    <xf numFmtId="0" fontId="10" fillId="5" borderId="0" xfId="0" applyFont="1" applyFill="1" applyAlignment="1">
      <alignment horizontal="center" vertical="center"/>
    </xf>
    <xf numFmtId="0" fontId="82" fillId="5" borderId="0" xfId="0" applyFont="1" applyFill="1" applyAlignment="1">
      <alignment horizontal="center" vertical="center"/>
    </xf>
    <xf numFmtId="181" fontId="81" fillId="5" borderId="0" xfId="23" applyNumberFormat="1" applyFont="1" applyFill="1" applyAlignment="1">
      <alignment horizontal="right"/>
    </xf>
    <xf numFmtId="9" fontId="83" fillId="5" borderId="0" xfId="0" applyNumberFormat="1" applyFont="1" applyFill="1"/>
    <xf numFmtId="0" fontId="84" fillId="5" borderId="0" xfId="0" applyFont="1" applyFill="1" applyAlignment="1">
      <alignment horizontal="center" vertical="center"/>
    </xf>
    <xf numFmtId="9" fontId="83" fillId="5" borderId="0" xfId="0" applyNumberFormat="1" applyFont="1" applyFill="1" applyAlignment="1">
      <alignment horizontal="left"/>
    </xf>
    <xf numFmtId="0" fontId="44" fillId="0" borderId="0" xfId="0" applyFont="1" applyAlignment="1">
      <alignment horizontal="center" vertical="center"/>
    </xf>
    <xf numFmtId="0" fontId="81" fillId="5" borderId="0" xfId="0" applyFont="1" applyFill="1" applyAlignment="1">
      <alignment horizontal="left" vertical="center"/>
    </xf>
    <xf numFmtId="170" fontId="85" fillId="0" borderId="0" xfId="0" applyNumberFormat="1" applyFont="1" applyAlignment="1">
      <alignment horizontal="right" vertical="center"/>
    </xf>
    <xf numFmtId="0" fontId="86" fillId="5" borderId="0" xfId="0" applyFont="1" applyFill="1" applyAlignment="1">
      <alignment horizontal="left" vertical="center"/>
    </xf>
    <xf numFmtId="0" fontId="50" fillId="0" borderId="99" xfId="0" applyFont="1" applyBorder="1" applyAlignment="1">
      <alignment horizontal="center"/>
    </xf>
    <xf numFmtId="0" fontId="77" fillId="0" borderId="100" xfId="0" applyFont="1" applyBorder="1" applyAlignment="1">
      <alignment horizontal="right"/>
    </xf>
    <xf numFmtId="9" fontId="83" fillId="0" borderId="0" xfId="0" applyNumberFormat="1" applyFont="1"/>
    <xf numFmtId="0" fontId="50" fillId="0" borderId="101" xfId="0" applyFont="1" applyBorder="1" applyAlignment="1">
      <alignment horizontal="center"/>
    </xf>
    <xf numFmtId="0" fontId="77" fillId="0" borderId="102" xfId="0" applyFont="1" applyBorder="1" applyAlignment="1">
      <alignment horizontal="right"/>
    </xf>
    <xf numFmtId="0" fontId="50" fillId="0" borderId="101" xfId="0" applyFont="1" applyBorder="1" applyAlignment="1">
      <alignment horizontal="center" vertical="center"/>
    </xf>
    <xf numFmtId="0" fontId="50" fillId="0" borderId="103" xfId="0" applyFont="1" applyBorder="1" applyAlignment="1">
      <alignment horizontal="center" vertical="center"/>
    </xf>
    <xf numFmtId="0" fontId="77" fillId="0" borderId="104" xfId="0" applyFont="1" applyBorder="1" applyAlignment="1">
      <alignment horizontal="right"/>
    </xf>
    <xf numFmtId="0" fontId="88" fillId="0" borderId="0" xfId="0" applyFont="1"/>
    <xf numFmtId="0" fontId="89" fillId="0" borderId="0" xfId="0" applyFont="1"/>
    <xf numFmtId="0" fontId="90" fillId="0" borderId="0" xfId="0" applyFont="1" applyAlignment="1">
      <alignment horizontal="center" vertical="center"/>
    </xf>
    <xf numFmtId="0" fontId="91" fillId="0" borderId="0" xfId="0" applyFont="1" applyAlignment="1">
      <alignment horizontal="center" vertical="center"/>
    </xf>
    <xf numFmtId="0" fontId="91" fillId="0" borderId="0" xfId="0" applyFont="1" applyAlignment="1">
      <alignment horizontal="right" vertical="center" indent="1"/>
    </xf>
    <xf numFmtId="0" fontId="92" fillId="0" borderId="0" xfId="0" applyFont="1" applyAlignment="1">
      <alignment horizontal="center"/>
    </xf>
    <xf numFmtId="0" fontId="93" fillId="0" borderId="105" xfId="0" applyFont="1" applyBorder="1" applyAlignment="1">
      <alignment horizontal="center" vertical="center"/>
    </xf>
    <xf numFmtId="0" fontId="44" fillId="0" borderId="106" xfId="0" applyFont="1" applyBorder="1" applyAlignment="1">
      <alignment vertical="center"/>
    </xf>
    <xf numFmtId="0" fontId="93" fillId="0" borderId="107" xfId="0" applyFont="1" applyBorder="1" applyAlignment="1">
      <alignment horizontal="center" vertical="center"/>
    </xf>
    <xf numFmtId="0" fontId="44" fillId="0" borderId="108" xfId="0" applyFont="1" applyBorder="1" applyAlignment="1">
      <alignment vertical="center"/>
    </xf>
    <xf numFmtId="0" fontId="93" fillId="0" borderId="109" xfId="0" applyFont="1" applyBorder="1" applyAlignment="1">
      <alignment horizontal="center" vertical="center"/>
    </xf>
    <xf numFmtId="0" fontId="44" fillId="0" borderId="110" xfId="0" applyFont="1" applyBorder="1" applyAlignment="1">
      <alignment vertical="center"/>
    </xf>
    <xf numFmtId="0" fontId="44" fillId="0" borderId="111" xfId="0" applyFont="1" applyBorder="1" applyAlignment="1">
      <alignment vertical="center"/>
    </xf>
    <xf numFmtId="0" fontId="4" fillId="0" borderId="0" xfId="0" applyFont="1" applyAlignment="1">
      <alignment horizontal="center"/>
    </xf>
    <xf numFmtId="0" fontId="72" fillId="6" borderId="112" xfId="0" applyFont="1" applyFill="1" applyBorder="1" applyAlignment="1">
      <alignment vertical="center"/>
    </xf>
    <xf numFmtId="0" fontId="32" fillId="0" borderId="0" xfId="0" applyFont="1"/>
    <xf numFmtId="0" fontId="94" fillId="0" borderId="0" xfId="22" applyFont="1" applyAlignment="1">
      <alignment horizontal="center" vertical="center" wrapText="1"/>
    </xf>
    <xf numFmtId="0" fontId="94" fillId="11" borderId="113" xfId="22" applyFont="1" applyFill="1" applyBorder="1" applyAlignment="1">
      <alignment horizontal="center" vertical="center" wrapText="1"/>
    </xf>
    <xf numFmtId="0" fontId="96" fillId="0" borderId="0" xfId="0" applyFont="1"/>
    <xf numFmtId="0" fontId="96" fillId="0" borderId="0" xfId="0" applyFont="1" applyAlignment="1">
      <alignment horizontal="center"/>
    </xf>
    <xf numFmtId="0" fontId="97" fillId="0" borderId="0" xfId="0" applyFont="1"/>
    <xf numFmtId="0" fontId="98" fillId="6" borderId="112" xfId="0" applyFont="1" applyFill="1" applyBorder="1" applyAlignment="1">
      <alignment vertical="center"/>
    </xf>
    <xf numFmtId="0" fontId="30" fillId="0" borderId="0" xfId="0" applyFont="1"/>
    <xf numFmtId="0" fontId="99" fillId="6" borderId="5" xfId="0" applyFont="1" applyFill="1" applyBorder="1" applyAlignment="1">
      <alignment horizontal="center"/>
    </xf>
    <xf numFmtId="0" fontId="0" fillId="0" borderId="5" xfId="0" applyBorder="1"/>
    <xf numFmtId="0" fontId="0" fillId="0" borderId="5" xfId="0" applyBorder="1" applyAlignment="1">
      <alignment horizontal="center"/>
    </xf>
    <xf numFmtId="0" fontId="59" fillId="0" borderId="5" xfId="0" applyFont="1" applyBorder="1" applyAlignment="1">
      <alignment horizontal="center"/>
    </xf>
    <xf numFmtId="0" fontId="100" fillId="0" borderId="5" xfId="0" applyFont="1" applyBorder="1" applyAlignment="1">
      <alignment horizontal="left" indent="1"/>
    </xf>
    <xf numFmtId="0" fontId="59" fillId="0" borderId="0" xfId="0" applyFont="1"/>
    <xf numFmtId="0" fontId="59" fillId="0" borderId="5" xfId="0" applyFont="1" applyBorder="1"/>
    <xf numFmtId="165" fontId="59" fillId="0" borderId="5" xfId="18" applyFont="1" applyBorder="1"/>
    <xf numFmtId="10" fontId="101" fillId="2" borderId="28" xfId="23" applyNumberFormat="1" applyFill="1" applyBorder="1" applyAlignment="1">
      <alignment horizontal="center" vertical="center" wrapText="1"/>
    </xf>
    <xf numFmtId="10" fontId="101" fillId="2" borderId="28" xfId="23" applyNumberFormat="1" applyFill="1" applyBorder="1" applyAlignment="1">
      <alignment horizontal="center" vertical="center"/>
    </xf>
    <xf numFmtId="3" fontId="101" fillId="2" borderId="28" xfId="23" applyNumberFormat="1" applyFill="1" applyBorder="1" applyAlignment="1">
      <alignment horizontal="center" vertical="center" wrapText="1"/>
    </xf>
    <xf numFmtId="2" fontId="1" fillId="0" borderId="28" xfId="0" applyNumberFormat="1" applyFont="1" applyBorder="1" applyAlignment="1">
      <alignment vertical="center"/>
    </xf>
    <xf numFmtId="166" fontId="102" fillId="0" borderId="5" xfId="4" applyFont="1" applyBorder="1"/>
    <xf numFmtId="166" fontId="102" fillId="0" borderId="15" xfId="4" applyFont="1" applyBorder="1"/>
    <xf numFmtId="172" fontId="36" fillId="3" borderId="168" xfId="2" applyNumberFormat="1" applyFont="1" applyFill="1" applyBorder="1" applyProtection="1">
      <protection locked="0"/>
    </xf>
    <xf numFmtId="0" fontId="32" fillId="0" borderId="169" xfId="0" applyFont="1" applyBorder="1" applyAlignment="1">
      <alignment vertical="distributed" wrapText="1"/>
    </xf>
    <xf numFmtId="0" fontId="32" fillId="0" borderId="170" xfId="0" applyFont="1" applyBorder="1" applyAlignment="1">
      <alignment vertical="distributed" wrapText="1"/>
    </xf>
    <xf numFmtId="177" fontId="31" fillId="0" borderId="171" xfId="2" applyNumberFormat="1" applyFont="1" applyBorder="1"/>
    <xf numFmtId="177" fontId="31" fillId="0" borderId="172" xfId="2" applyNumberFormat="1" applyFont="1" applyBorder="1"/>
    <xf numFmtId="177" fontId="31" fillId="0" borderId="173" xfId="2" applyNumberFormat="1" applyFont="1" applyBorder="1"/>
    <xf numFmtId="166" fontId="1" fillId="4" borderId="28" xfId="4" applyFill="1" applyBorder="1"/>
    <xf numFmtId="166" fontId="1" fillId="0" borderId="28" xfId="4" applyBorder="1"/>
    <xf numFmtId="168" fontId="103" fillId="0" borderId="0" xfId="0" applyNumberFormat="1" applyFont="1"/>
    <xf numFmtId="0" fontId="62" fillId="2" borderId="0" xfId="0" applyFont="1" applyFill="1" applyAlignment="1" applyProtection="1">
      <alignment horizontal="left" vertical="center"/>
      <protection locked="0"/>
    </xf>
    <xf numFmtId="0" fontId="63" fillId="2" borderId="0" xfId="0" applyFont="1" applyFill="1" applyAlignment="1" applyProtection="1">
      <alignment horizontal="left" vertical="center" wrapText="1"/>
      <protection locked="0"/>
    </xf>
    <xf numFmtId="0" fontId="0" fillId="0" borderId="0" xfId="0" applyFill="1"/>
    <xf numFmtId="165" fontId="3" fillId="0" borderId="0" xfId="5" applyFont="1" applyFill="1" applyAlignment="1">
      <alignment vertical="center"/>
    </xf>
    <xf numFmtId="0" fontId="63" fillId="0" borderId="0" xfId="0" applyFont="1" applyFill="1" applyBorder="1" applyAlignment="1" applyProtection="1">
      <alignment horizontal="center" vertical="top" wrapText="1"/>
      <protection locked="0"/>
    </xf>
    <xf numFmtId="0" fontId="22" fillId="0" borderId="0" xfId="0" applyFont="1" applyFill="1"/>
    <xf numFmtId="190" fontId="101" fillId="2" borderId="28" xfId="23" applyNumberFormat="1" applyFill="1" applyBorder="1" applyAlignment="1">
      <alignment horizontal="center" vertical="center"/>
    </xf>
    <xf numFmtId="190" fontId="101" fillId="2" borderId="28" xfId="23" applyNumberFormat="1" applyFill="1" applyBorder="1" applyAlignment="1">
      <alignment horizontal="center" vertical="center" wrapText="1"/>
    </xf>
    <xf numFmtId="165" fontId="0" fillId="0" borderId="83" xfId="32" applyNumberFormat="1" applyFont="1" applyBorder="1" applyAlignment="1">
      <alignment horizontal="center" vertical="center" wrapText="1"/>
    </xf>
    <xf numFmtId="0" fontId="29" fillId="0" borderId="114" xfId="0" applyFont="1" applyBorder="1" applyAlignment="1">
      <alignment vertical="center" wrapText="1"/>
    </xf>
    <xf numFmtId="1" fontId="61" fillId="0" borderId="35" xfId="0" applyNumberFormat="1" applyFont="1" applyBorder="1" applyAlignment="1">
      <alignment horizontal="center" vertical="center"/>
    </xf>
    <xf numFmtId="1" fontId="28" fillId="3" borderId="85" xfId="0" applyNumberFormat="1" applyFont="1" applyFill="1" applyBorder="1" applyAlignment="1">
      <alignment horizontal="center" vertical="center"/>
    </xf>
    <xf numFmtId="184" fontId="101" fillId="2" borderId="28" xfId="23" applyNumberFormat="1" applyFill="1" applyBorder="1" applyAlignment="1">
      <alignment horizontal="center" vertical="center"/>
    </xf>
    <xf numFmtId="1" fontId="101" fillId="2" borderId="28" xfId="23" applyNumberFormat="1" applyFill="1" applyBorder="1" applyAlignment="1">
      <alignment horizontal="center" vertical="center"/>
    </xf>
    <xf numFmtId="165" fontId="29" fillId="0" borderId="0" xfId="0" applyNumberFormat="1" applyFont="1" applyAlignment="1">
      <alignment horizontal="right"/>
    </xf>
    <xf numFmtId="186" fontId="17" fillId="4" borderId="83" xfId="32" applyNumberFormat="1" applyFont="1" applyFill="1" applyBorder="1" applyAlignment="1">
      <alignment horizontal="center" vertical="center"/>
    </xf>
    <xf numFmtId="170" fontId="17" fillId="4" borderId="83" xfId="32" applyNumberFormat="1" applyFont="1" applyFill="1" applyBorder="1" applyAlignment="1">
      <alignment horizontal="center" vertical="center"/>
    </xf>
    <xf numFmtId="0" fontId="30" fillId="0" borderId="175" xfId="0" applyFont="1" applyBorder="1" applyAlignment="1">
      <alignment vertical="distributed" wrapText="1"/>
    </xf>
    <xf numFmtId="167" fontId="33" fillId="0" borderId="176" xfId="0" applyNumberFormat="1" applyFont="1" applyBorder="1" applyAlignment="1">
      <alignment horizontal="center" vertical="center" wrapText="1"/>
    </xf>
    <xf numFmtId="165" fontId="31" fillId="0" borderId="177" xfId="0" applyNumberFormat="1" applyFont="1" applyBorder="1"/>
    <xf numFmtId="165" fontId="31" fillId="0" borderId="178" xfId="0" applyNumberFormat="1" applyFont="1" applyBorder="1"/>
    <xf numFmtId="165" fontId="31" fillId="5" borderId="179" xfId="0" applyNumberFormat="1" applyFont="1" applyFill="1" applyBorder="1" applyAlignment="1">
      <alignment wrapText="1"/>
    </xf>
    <xf numFmtId="172" fontId="36" fillId="0" borderId="175" xfId="2" applyNumberFormat="1" applyFont="1" applyFill="1" applyBorder="1" applyProtection="1">
      <protection locked="0"/>
    </xf>
    <xf numFmtId="0" fontId="64" fillId="2" borderId="188" xfId="0" applyFont="1" applyFill="1" applyBorder="1" applyAlignment="1" applyProtection="1">
      <alignment horizontal="left" vertical="center"/>
      <protection locked="0"/>
    </xf>
    <xf numFmtId="165" fontId="107" fillId="2" borderId="0" xfId="0" applyNumberFormat="1" applyFont="1" applyFill="1" applyAlignment="1" applyProtection="1">
      <alignment horizontal="left" vertical="center"/>
      <protection locked="0"/>
    </xf>
    <xf numFmtId="0" fontId="108" fillId="18" borderId="5" xfId="0" applyFont="1" applyFill="1" applyBorder="1" applyAlignment="1">
      <alignment horizontal="center" vertical="center" wrapText="1"/>
    </xf>
    <xf numFmtId="9" fontId="110" fillId="10" borderId="2" xfId="23" applyFont="1" applyFill="1" applyBorder="1" applyAlignment="1">
      <alignment horizontal="center" vertical="center" wrapText="1"/>
    </xf>
    <xf numFmtId="10" fontId="108" fillId="0" borderId="5" xfId="23" applyNumberFormat="1" applyFont="1" applyBorder="1" applyAlignment="1">
      <alignment horizontal="center" vertical="center"/>
    </xf>
    <xf numFmtId="1" fontId="108" fillId="0" borderId="5" xfId="0" applyNumberFormat="1" applyFont="1" applyBorder="1" applyAlignment="1">
      <alignment horizontal="center" vertical="center" wrapText="1"/>
    </xf>
    <xf numFmtId="3" fontId="108" fillId="0" borderId="5" xfId="0" applyNumberFormat="1" applyFont="1" applyBorder="1" applyAlignment="1">
      <alignment horizontal="center" vertical="center" wrapText="1"/>
    </xf>
    <xf numFmtId="9" fontId="108" fillId="0" borderId="5" xfId="23" applyFont="1" applyBorder="1" applyAlignment="1">
      <alignment horizontal="center" vertical="center"/>
    </xf>
    <xf numFmtId="165" fontId="2" fillId="12" borderId="0" xfId="14" applyFont="1" applyFill="1" applyAlignment="1">
      <alignment horizontal="center" vertical="center"/>
    </xf>
    <xf numFmtId="165" fontId="4" fillId="0" borderId="0" xfId="0" applyNumberFormat="1" applyFont="1" applyAlignment="1">
      <alignment horizontal="center"/>
    </xf>
    <xf numFmtId="165" fontId="8" fillId="0" borderId="5" xfId="0" applyNumberFormat="1" applyFont="1" applyBorder="1" applyAlignment="1">
      <alignment horizontal="justify" vertical="center" wrapText="1"/>
    </xf>
    <xf numFmtId="9" fontId="9" fillId="0" borderId="5" xfId="23" applyFont="1" applyBorder="1" applyAlignment="1">
      <alignment horizontal="justify" vertical="center" wrapText="1"/>
    </xf>
    <xf numFmtId="9" fontId="10" fillId="0" borderId="5" xfId="0" applyNumberFormat="1" applyFont="1" applyBorder="1" applyAlignment="1">
      <alignment horizontal="left" vertical="center" wrapText="1"/>
    </xf>
    <xf numFmtId="165" fontId="2" fillId="13" borderId="0" xfId="13" applyFont="1" applyFill="1" applyAlignment="1">
      <alignment horizontal="center" vertical="center"/>
    </xf>
    <xf numFmtId="0" fontId="6" fillId="0" borderId="0" xfId="0" applyFont="1" applyAlignment="1">
      <alignment horizontal="center"/>
    </xf>
    <xf numFmtId="0" fontId="7" fillId="3" borderId="5" xfId="0" applyFont="1" applyFill="1" applyBorder="1" applyAlignment="1">
      <alignment horizontal="center"/>
    </xf>
    <xf numFmtId="165" fontId="8" fillId="0" borderId="5" xfId="0" applyNumberFormat="1" applyFont="1" applyBorder="1" applyAlignment="1">
      <alignment horizontal="left" vertical="center" wrapText="1"/>
    </xf>
    <xf numFmtId="0" fontId="9" fillId="0" borderId="5" xfId="0" applyFont="1" applyBorder="1" applyAlignment="1">
      <alignment horizontal="justify" vertical="center" wrapText="1"/>
    </xf>
    <xf numFmtId="0" fontId="10" fillId="0" borderId="5" xfId="0" applyFont="1" applyBorder="1" applyAlignment="1">
      <alignment horizontal="left" vertical="center" wrapText="1"/>
    </xf>
    <xf numFmtId="0" fontId="0" fillId="0" borderId="114" xfId="0" applyBorder="1" applyAlignment="1">
      <alignment horizontal="center"/>
    </xf>
    <xf numFmtId="0" fontId="0" fillId="0" borderId="114"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7" fillId="4" borderId="5" xfId="0" applyFont="1" applyFill="1" applyBorder="1" applyAlignment="1">
      <alignment horizontal="center"/>
    </xf>
    <xf numFmtId="0" fontId="10" fillId="0" borderId="5" xfId="0" applyFont="1" applyBorder="1" applyAlignment="1">
      <alignment horizontal="justify" vertical="center" wrapText="1"/>
    </xf>
    <xf numFmtId="0" fontId="14" fillId="0" borderId="78" xfId="0" applyFont="1" applyBorder="1" applyAlignment="1">
      <alignment horizontal="justify" vertical="center" wrapText="1"/>
    </xf>
    <xf numFmtId="0" fontId="14" fillId="0" borderId="5" xfId="0" applyFont="1" applyBorder="1" applyAlignment="1">
      <alignment horizontal="left" vertical="center" wrapText="1"/>
    </xf>
    <xf numFmtId="0" fontId="14" fillId="0" borderId="5" xfId="0" applyFont="1" applyBorder="1" applyAlignment="1">
      <alignment horizontal="justify" vertical="center" wrapText="1"/>
    </xf>
    <xf numFmtId="0" fontId="10" fillId="0" borderId="50" xfId="0" applyFont="1" applyBorder="1" applyAlignment="1">
      <alignment horizontal="justify" wrapText="1"/>
    </xf>
    <xf numFmtId="0" fontId="9" fillId="0" borderId="78" xfId="0" applyFont="1" applyBorder="1" applyAlignment="1">
      <alignment horizontal="justify" vertical="center" wrapText="1"/>
    </xf>
    <xf numFmtId="0" fontId="9" fillId="0" borderId="5" xfId="0" applyFont="1" applyBorder="1" applyAlignment="1" applyProtection="1">
      <alignment vertical="center" wrapText="1"/>
      <protection locked="0"/>
    </xf>
    <xf numFmtId="0" fontId="10" fillId="0" borderId="5" xfId="0" applyFont="1" applyBorder="1" applyAlignment="1" applyProtection="1">
      <alignment horizontal="justify" vertical="center" wrapText="1"/>
      <protection locked="0"/>
    </xf>
    <xf numFmtId="0" fontId="10" fillId="0" borderId="5" xfId="0" applyFont="1" applyBorder="1" applyAlignment="1" applyProtection="1">
      <alignment horizontal="left" vertical="center" wrapText="1"/>
      <protection locked="0"/>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9" fillId="5" borderId="5" xfId="0" applyFont="1" applyFill="1" applyBorder="1" applyAlignment="1" applyProtection="1">
      <alignment vertical="center" wrapText="1"/>
      <protection locked="0"/>
    </xf>
    <xf numFmtId="0" fontId="9" fillId="2" borderId="5" xfId="0" applyFont="1" applyFill="1" applyBorder="1" applyAlignment="1">
      <alignment vertical="center" wrapText="1"/>
    </xf>
    <xf numFmtId="0" fontId="17" fillId="0" borderId="5" xfId="0" applyFont="1" applyBorder="1" applyAlignment="1">
      <alignment horizontal="center" vertical="center" wrapText="1"/>
    </xf>
    <xf numFmtId="0" fontId="0" fillId="0" borderId="5" xfId="0" applyBorder="1" applyAlignment="1">
      <alignment horizontal="center" vertical="center" wrapText="1"/>
    </xf>
    <xf numFmtId="0" fontId="18" fillId="5" borderId="5" xfId="0" applyFont="1" applyFill="1" applyBorder="1" applyAlignment="1" applyProtection="1">
      <alignment vertical="center" wrapText="1"/>
      <protection locked="0"/>
    </xf>
    <xf numFmtId="0" fontId="8" fillId="0" borderId="5" xfId="0" applyFont="1" applyBorder="1" applyAlignment="1" applyProtection="1">
      <alignment vertical="center" wrapText="1"/>
      <protection locked="0"/>
    </xf>
    <xf numFmtId="165" fontId="19" fillId="13" borderId="0" xfId="5" applyFont="1" applyFill="1" applyAlignment="1">
      <alignment horizontal="center" vertical="center"/>
    </xf>
    <xf numFmtId="165" fontId="0" fillId="0" borderId="5" xfId="0" applyNumberFormat="1" applyBorder="1" applyAlignment="1" applyProtection="1">
      <alignment horizontal="center"/>
      <protection locked="0"/>
    </xf>
    <xf numFmtId="165" fontId="21" fillId="0" borderId="0" xfId="0" applyNumberFormat="1" applyFont="1" applyAlignment="1">
      <alignment horizontal="right"/>
    </xf>
    <xf numFmtId="49" fontId="0" fillId="0" borderId="28" xfId="0" applyNumberFormat="1" applyBorder="1" applyAlignment="1" applyProtection="1">
      <alignment horizontal="center" wrapText="1"/>
      <protection locked="0"/>
    </xf>
    <xf numFmtId="167" fontId="0" fillId="0" borderId="5" xfId="32" applyNumberFormat="1" applyFont="1" applyBorder="1" applyAlignment="1" applyProtection="1">
      <alignment horizontal="center"/>
      <protection locked="0"/>
    </xf>
    <xf numFmtId="165" fontId="21" fillId="0" borderId="115" xfId="0" applyNumberFormat="1" applyFont="1" applyBorder="1" applyAlignment="1">
      <alignment horizontal="right"/>
    </xf>
    <xf numFmtId="49" fontId="0" fillId="0" borderId="5" xfId="0" applyNumberFormat="1" applyBorder="1" applyAlignment="1" applyProtection="1">
      <alignment horizontal="center"/>
      <protection locked="0"/>
    </xf>
    <xf numFmtId="166" fontId="0" fillId="0" borderId="28" xfId="0" applyNumberFormat="1" applyBorder="1" applyAlignment="1" applyProtection="1">
      <alignment horizontal="center"/>
      <protection locked="0"/>
    </xf>
    <xf numFmtId="165" fontId="22" fillId="14" borderId="5" xfId="32" applyNumberFormat="1" applyFont="1" applyFill="1" applyBorder="1" applyAlignment="1" applyProtection="1">
      <alignment horizontal="center"/>
      <protection locked="0"/>
    </xf>
    <xf numFmtId="165" fontId="21" fillId="0" borderId="6" xfId="0" applyNumberFormat="1" applyFont="1" applyBorder="1" applyAlignment="1">
      <alignment horizontal="right"/>
    </xf>
    <xf numFmtId="49" fontId="0" fillId="0" borderId="28" xfId="0" applyNumberFormat="1" applyBorder="1" applyAlignment="1" applyProtection="1">
      <alignment horizontal="center"/>
      <protection locked="0"/>
    </xf>
    <xf numFmtId="0" fontId="0" fillId="2" borderId="5" xfId="0" applyFill="1" applyBorder="1" applyAlignment="1">
      <alignment horizontal="center"/>
    </xf>
    <xf numFmtId="165" fontId="23" fillId="0" borderId="115" xfId="0" applyNumberFormat="1" applyFont="1" applyBorder="1" applyAlignment="1">
      <alignment horizontal="right"/>
    </xf>
    <xf numFmtId="165" fontId="21" fillId="0" borderId="38" xfId="0" applyNumberFormat="1" applyFont="1" applyBorder="1" applyAlignment="1">
      <alignment horizontal="right"/>
    </xf>
    <xf numFmtId="49" fontId="16" fillId="0" borderId="5" xfId="0" applyNumberFormat="1" applyFont="1" applyBorder="1" applyAlignment="1" applyProtection="1">
      <alignment horizontal="center"/>
      <protection locked="0"/>
    </xf>
    <xf numFmtId="0" fontId="0" fillId="0" borderId="120" xfId="0" applyBorder="1" applyAlignment="1">
      <alignment horizontal="center"/>
    </xf>
    <xf numFmtId="165" fontId="0" fillId="0" borderId="44" xfId="0" applyNumberFormat="1" applyBorder="1" applyAlignment="1">
      <alignment horizontal="left"/>
    </xf>
    <xf numFmtId="165" fontId="0" fillId="0" borderId="46" xfId="0" applyNumberFormat="1" applyBorder="1" applyAlignment="1">
      <alignment horizontal="left"/>
    </xf>
    <xf numFmtId="165" fontId="0" fillId="0" borderId="121" xfId="0" applyNumberFormat="1" applyBorder="1" applyAlignment="1" applyProtection="1">
      <alignment horizontal="left" vertical="center"/>
      <protection locked="0"/>
    </xf>
    <xf numFmtId="165" fontId="27" fillId="0" borderId="116" xfId="0" applyNumberFormat="1" applyFont="1" applyBorder="1" applyAlignment="1">
      <alignment horizontal="right"/>
    </xf>
    <xf numFmtId="165" fontId="16" fillId="0" borderId="117" xfId="0" applyNumberFormat="1" applyFont="1" applyBorder="1" applyAlignment="1">
      <alignment horizontal="center"/>
    </xf>
    <xf numFmtId="0" fontId="0" fillId="15" borderId="118" xfId="0" applyFill="1" applyBorder="1" applyAlignment="1">
      <alignment horizontal="center"/>
    </xf>
    <xf numFmtId="165" fontId="32" fillId="0" borderId="119" xfId="0" applyNumberFormat="1" applyFont="1" applyBorder="1" applyAlignment="1">
      <alignment horizontal="center" wrapText="1"/>
    </xf>
    <xf numFmtId="165" fontId="50" fillId="0" borderId="70" xfId="0" applyNumberFormat="1" applyFont="1" applyBorder="1" applyAlignment="1">
      <alignment horizontal="center" vertical="center"/>
    </xf>
    <xf numFmtId="0" fontId="0" fillId="6" borderId="79" xfId="0" applyFill="1" applyBorder="1" applyAlignment="1">
      <alignment horizontal="center" vertical="center" textRotation="90"/>
    </xf>
    <xf numFmtId="49" fontId="1" fillId="2" borderId="122" xfId="0" applyNumberFormat="1" applyFont="1" applyFill="1" applyBorder="1" applyAlignment="1">
      <alignment horizontal="left" vertical="center" wrapText="1"/>
    </xf>
    <xf numFmtId="0" fontId="1" fillId="2" borderId="122" xfId="0" applyFont="1" applyFill="1" applyBorder="1" applyAlignment="1">
      <alignment horizontal="center" vertical="center" wrapText="1"/>
    </xf>
    <xf numFmtId="0" fontId="1" fillId="2" borderId="122" xfId="0" applyFont="1" applyFill="1" applyBorder="1" applyAlignment="1">
      <alignment horizontal="left" vertical="center" wrapText="1"/>
    </xf>
    <xf numFmtId="49" fontId="1" fillId="2" borderId="123" xfId="0" applyNumberFormat="1" applyFont="1" applyFill="1" applyBorder="1" applyAlignment="1">
      <alignment horizontal="center" vertical="center" wrapText="1"/>
    </xf>
    <xf numFmtId="49" fontId="1" fillId="8" borderId="122" xfId="0" applyNumberFormat="1" applyFont="1" applyFill="1" applyBorder="1" applyAlignment="1">
      <alignment horizontal="left" vertical="center" wrapText="1"/>
    </xf>
    <xf numFmtId="0" fontId="1" fillId="0" borderId="125" xfId="0" applyFont="1" applyBorder="1" applyAlignment="1">
      <alignment horizontal="left" vertical="center" wrapText="1"/>
    </xf>
    <xf numFmtId="0" fontId="1" fillId="0" borderId="122" xfId="0" applyFont="1" applyBorder="1" applyAlignment="1">
      <alignment horizontal="center" vertical="center" wrapText="1"/>
    </xf>
    <xf numFmtId="0" fontId="1" fillId="0" borderId="123" xfId="0" applyFont="1" applyBorder="1" applyAlignment="1">
      <alignment horizontal="center" vertical="center" wrapText="1"/>
    </xf>
    <xf numFmtId="0" fontId="1" fillId="0" borderId="124" xfId="0" applyFont="1" applyBorder="1" applyAlignment="1">
      <alignment horizontal="left" vertical="center" wrapText="1"/>
    </xf>
    <xf numFmtId="0" fontId="1" fillId="7" borderId="125" xfId="0" applyFont="1" applyFill="1" applyBorder="1" applyAlignment="1">
      <alignment horizontal="left" vertical="center" wrapText="1"/>
    </xf>
    <xf numFmtId="0" fontId="1" fillId="7" borderId="122" xfId="0" applyFont="1" applyFill="1" applyBorder="1" applyAlignment="1">
      <alignment horizontal="center" vertical="center" wrapText="1"/>
    </xf>
    <xf numFmtId="0" fontId="1" fillId="7" borderId="123" xfId="0" applyFont="1" applyFill="1" applyBorder="1" applyAlignment="1">
      <alignment horizontal="center" vertical="center" wrapText="1"/>
    </xf>
    <xf numFmtId="165" fontId="0" fillId="0" borderId="83" xfId="32" applyNumberFormat="1" applyFont="1" applyBorder="1" applyAlignment="1">
      <alignment horizontal="right" wrapText="1"/>
    </xf>
    <xf numFmtId="185" fontId="17" fillId="4" borderId="83" xfId="32" applyNumberFormat="1" applyFont="1" applyFill="1" applyBorder="1" applyAlignment="1">
      <alignment horizontal="center" vertical="center"/>
    </xf>
    <xf numFmtId="165" fontId="17" fillId="4" borderId="83" xfId="32" applyNumberFormat="1" applyFont="1" applyFill="1" applyBorder="1" applyAlignment="1">
      <alignment horizontal="center"/>
    </xf>
    <xf numFmtId="165" fontId="2" fillId="13" borderId="0" xfId="5" applyFont="1" applyFill="1" applyAlignment="1">
      <alignment horizontal="center" vertical="center"/>
    </xf>
    <xf numFmtId="165" fontId="4" fillId="4" borderId="0" xfId="17" applyFont="1" applyFill="1" applyAlignment="1">
      <alignment horizontal="center" vertical="center" wrapText="1"/>
    </xf>
    <xf numFmtId="165" fontId="54" fillId="0" borderId="0" xfId="17" applyFont="1" applyAlignment="1">
      <alignment horizontal="right" vertical="center"/>
    </xf>
    <xf numFmtId="165" fontId="17" fillId="4" borderId="0" xfId="17" applyFont="1" applyFill="1" applyAlignment="1">
      <alignment horizontal="center" vertical="center" wrapText="1"/>
    </xf>
    <xf numFmtId="165" fontId="17" fillId="4" borderId="83" xfId="32" applyNumberFormat="1" applyFont="1" applyFill="1" applyBorder="1" applyAlignment="1">
      <alignment horizontal="center" vertical="center"/>
    </xf>
    <xf numFmtId="167" fontId="17" fillId="4" borderId="83" xfId="32" applyNumberFormat="1" applyFont="1" applyFill="1" applyBorder="1" applyAlignment="1">
      <alignment horizontal="center" vertical="center"/>
    </xf>
    <xf numFmtId="165" fontId="20" fillId="12" borderId="83" xfId="32" applyNumberFormat="1" applyFont="1" applyFill="1" applyBorder="1" applyAlignment="1">
      <alignment horizontal="center" vertical="center"/>
    </xf>
    <xf numFmtId="0" fontId="60" fillId="0" borderId="0" xfId="0" applyFont="1" applyAlignment="1">
      <alignment horizontal="center"/>
    </xf>
    <xf numFmtId="0" fontId="37" fillId="2" borderId="185" xfId="0" applyFont="1" applyFill="1" applyBorder="1" applyAlignment="1" applyProtection="1">
      <alignment horizontal="left" vertical="center" wrapText="1"/>
      <protection locked="0"/>
    </xf>
    <xf numFmtId="0" fontId="37" fillId="2" borderId="186" xfId="0" applyFont="1" applyFill="1" applyBorder="1" applyAlignment="1" applyProtection="1">
      <alignment horizontal="left" vertical="center" wrapText="1"/>
      <protection locked="0"/>
    </xf>
    <xf numFmtId="0" fontId="37" fillId="2" borderId="187" xfId="0" applyFont="1" applyFill="1" applyBorder="1" applyAlignment="1" applyProtection="1">
      <alignment horizontal="left" vertical="center" wrapText="1"/>
      <protection locked="0"/>
    </xf>
    <xf numFmtId="0" fontId="63" fillId="2" borderId="174" xfId="0" applyFont="1" applyFill="1" applyBorder="1" applyAlignment="1" applyProtection="1">
      <alignment horizontal="left" vertical="center" wrapText="1"/>
      <protection locked="0"/>
    </xf>
    <xf numFmtId="0" fontId="65" fillId="0" borderId="180" xfId="0" applyFont="1" applyBorder="1" applyAlignment="1">
      <alignment horizontal="left" vertical="center" wrapText="1"/>
    </xf>
    <xf numFmtId="0" fontId="65" fillId="0" borderId="90" xfId="0" applyFont="1" applyBorder="1" applyAlignment="1">
      <alignment horizontal="left" vertical="center" wrapText="1"/>
    </xf>
    <xf numFmtId="0" fontId="63" fillId="2" borderId="185" xfId="0" applyFont="1" applyFill="1" applyBorder="1" applyAlignment="1" applyProtection="1">
      <alignment horizontal="left" vertical="center" wrapText="1"/>
      <protection locked="0"/>
    </xf>
    <xf numFmtId="0" fontId="63" fillId="2" borderId="186" xfId="0" applyFont="1" applyFill="1" applyBorder="1" applyAlignment="1" applyProtection="1">
      <alignment horizontal="left" vertical="center" wrapText="1"/>
      <protection locked="0"/>
    </xf>
    <xf numFmtId="0" fontId="63" fillId="2" borderId="187" xfId="0" applyFont="1" applyFill="1" applyBorder="1" applyAlignment="1" applyProtection="1">
      <alignment horizontal="left" vertical="center" wrapText="1"/>
      <protection locked="0"/>
    </xf>
    <xf numFmtId="165" fontId="65" fillId="0" borderId="182" xfId="0" applyNumberFormat="1" applyFont="1" applyBorder="1" applyAlignment="1">
      <alignment horizontal="center" vertical="center" wrapText="1"/>
    </xf>
    <xf numFmtId="165" fontId="65" fillId="0" borderId="183" xfId="0" applyNumberFormat="1" applyFont="1" applyBorder="1" applyAlignment="1">
      <alignment horizontal="center" vertical="center" wrapText="1"/>
    </xf>
    <xf numFmtId="165" fontId="65" fillId="0" borderId="184" xfId="0" applyNumberFormat="1" applyFont="1" applyBorder="1" applyAlignment="1">
      <alignment horizontal="center" vertical="center" wrapText="1"/>
    </xf>
    <xf numFmtId="0" fontId="0" fillId="0" borderId="181" xfId="0" applyBorder="1" applyAlignment="1">
      <alignment horizontal="center"/>
    </xf>
    <xf numFmtId="0" fontId="0" fillId="0" borderId="89" xfId="0" applyBorder="1" applyAlignment="1">
      <alignment horizontal="center"/>
    </xf>
    <xf numFmtId="165" fontId="16" fillId="0" borderId="0" xfId="0" applyNumberFormat="1" applyFont="1" applyAlignment="1">
      <alignment horizontal="center" wrapText="1"/>
    </xf>
    <xf numFmtId="165" fontId="29" fillId="0" borderId="0" xfId="0" applyNumberFormat="1" applyFont="1" applyAlignment="1">
      <alignment horizontal="left"/>
    </xf>
    <xf numFmtId="165" fontId="16" fillId="0" borderId="0" xfId="0" applyNumberFormat="1" applyFont="1" applyAlignment="1">
      <alignment horizontal="center"/>
    </xf>
    <xf numFmtId="165" fontId="29" fillId="0" borderId="0" xfId="0" applyNumberFormat="1" applyFont="1" applyAlignment="1">
      <alignment horizontal="right"/>
    </xf>
    <xf numFmtId="165" fontId="104" fillId="19" borderId="0" xfId="0" applyNumberFormat="1" applyFont="1" applyFill="1" applyAlignment="1">
      <alignment horizontal="center"/>
    </xf>
    <xf numFmtId="165" fontId="19" fillId="13" borderId="0" xfId="15" applyFont="1" applyFill="1" applyAlignment="1">
      <alignment horizontal="center" vertical="center"/>
    </xf>
    <xf numFmtId="0" fontId="44" fillId="2" borderId="28" xfId="0" applyFont="1" applyFill="1" applyBorder="1" applyAlignment="1" applyProtection="1">
      <alignment horizontal="left" vertical="center" wrapText="1"/>
      <protection locked="0"/>
    </xf>
    <xf numFmtId="0" fontId="44" fillId="2" borderId="5" xfId="0" applyFont="1" applyFill="1" applyBorder="1" applyAlignment="1" applyProtection="1">
      <alignment horizontal="left" vertical="center" wrapText="1"/>
      <protection locked="0"/>
    </xf>
    <xf numFmtId="0" fontId="16" fillId="0" borderId="0" xfId="0" applyFont="1" applyAlignment="1">
      <alignment horizontal="center"/>
    </xf>
    <xf numFmtId="165" fontId="22" fillId="12" borderId="0" xfId="32" applyNumberFormat="1" applyFont="1" applyFill="1" applyBorder="1" applyAlignment="1">
      <alignment horizontal="center"/>
    </xf>
    <xf numFmtId="0" fontId="44" fillId="0" borderId="126" xfId="0" applyFont="1" applyBorder="1" applyAlignment="1">
      <alignment horizontal="center" vertical="center"/>
    </xf>
    <xf numFmtId="0" fontId="68" fillId="0" borderId="0" xfId="0" applyFont="1" applyAlignment="1">
      <alignment horizontal="left" wrapText="1"/>
    </xf>
    <xf numFmtId="0" fontId="44" fillId="2" borderId="5" xfId="0" applyFont="1" applyFill="1" applyBorder="1" applyAlignment="1" applyProtection="1">
      <alignment horizontal="left" wrapText="1"/>
      <protection locked="0"/>
    </xf>
    <xf numFmtId="0" fontId="66" fillId="2" borderId="5" xfId="0" applyFont="1" applyFill="1" applyBorder="1" applyAlignment="1" applyProtection="1">
      <alignment horizontal="left" vertical="center" wrapText="1"/>
      <protection locked="0"/>
    </xf>
    <xf numFmtId="165" fontId="22" fillId="12" borderId="0" xfId="33" applyNumberFormat="1" applyFont="1" applyFill="1" applyBorder="1" applyAlignment="1">
      <alignment horizontal="center"/>
    </xf>
    <xf numFmtId="165" fontId="60" fillId="0" borderId="0" xfId="0" applyNumberFormat="1" applyFont="1" applyAlignment="1">
      <alignment horizontal="center"/>
    </xf>
    <xf numFmtId="0" fontId="105" fillId="2" borderId="5" xfId="0" applyFont="1" applyFill="1" applyBorder="1" applyAlignment="1" applyProtection="1">
      <alignment horizontal="left" vertical="center" wrapText="1"/>
      <protection locked="0"/>
    </xf>
    <xf numFmtId="0" fontId="29" fillId="2" borderId="5" xfId="0" applyFont="1" applyFill="1" applyBorder="1" applyAlignment="1" applyProtection="1">
      <alignment horizontal="left" vertical="center" wrapText="1"/>
      <protection locked="0"/>
    </xf>
    <xf numFmtId="0" fontId="105" fillId="2" borderId="174" xfId="0" applyFont="1" applyFill="1" applyBorder="1" applyAlignment="1" applyProtection="1">
      <alignment horizontal="left" vertical="center" wrapText="1"/>
      <protection locked="0"/>
    </xf>
    <xf numFmtId="0" fontId="29" fillId="2" borderId="174" xfId="0" applyFont="1" applyFill="1" applyBorder="1" applyAlignment="1" applyProtection="1">
      <alignment horizontal="left" vertical="center" wrapText="1"/>
      <protection locked="0"/>
    </xf>
    <xf numFmtId="49" fontId="105" fillId="0" borderId="114" xfId="0" applyNumberFormat="1" applyFont="1" applyBorder="1" applyAlignment="1">
      <alignment horizontal="left" vertical="center" wrapText="1"/>
    </xf>
    <xf numFmtId="0" fontId="105" fillId="0" borderId="3" xfId="0" applyFont="1" applyBorder="1" applyAlignment="1">
      <alignment horizontal="left" vertical="center" wrapText="1"/>
    </xf>
    <xf numFmtId="0" fontId="111" fillId="17" borderId="62" xfId="0" applyFont="1" applyFill="1" applyBorder="1" applyAlignment="1">
      <alignment horizontal="center" vertical="center"/>
    </xf>
    <xf numFmtId="49" fontId="112" fillId="0" borderId="5" xfId="0" applyNumberFormat="1" applyFont="1" applyBorder="1" applyAlignment="1">
      <alignment vertical="center" wrapText="1"/>
    </xf>
    <xf numFmtId="184" fontId="105" fillId="0" borderId="2" xfId="23" applyNumberFormat="1" applyFont="1" applyBorder="1" applyAlignment="1">
      <alignment horizontal="center" vertical="center" wrapText="1"/>
    </xf>
    <xf numFmtId="9" fontId="105" fillId="2" borderId="127" xfId="23" applyFont="1" applyFill="1" applyBorder="1" applyAlignment="1" applyProtection="1">
      <alignment horizontal="left" vertical="center" wrapText="1"/>
      <protection locked="0"/>
    </xf>
    <xf numFmtId="0" fontId="4" fillId="0" borderId="75" xfId="0" applyFont="1" applyBorder="1" applyAlignment="1">
      <alignment horizontal="center"/>
    </xf>
    <xf numFmtId="0" fontId="111" fillId="17" borderId="5" xfId="0" applyFont="1" applyFill="1" applyBorder="1" applyAlignment="1">
      <alignment horizontal="center" vertical="center" wrapText="1"/>
    </xf>
    <xf numFmtId="9" fontId="109" fillId="15" borderId="5" xfId="23" applyFont="1" applyFill="1" applyBorder="1" applyAlignment="1">
      <alignment horizontal="center" vertical="center" wrapText="1"/>
    </xf>
    <xf numFmtId="9" fontId="109" fillId="16" borderId="5" xfId="23" applyFont="1" applyFill="1" applyBorder="1" applyAlignment="1">
      <alignment horizontal="center" vertical="center" wrapText="1"/>
    </xf>
    <xf numFmtId="0" fontId="108" fillId="0" borderId="5" xfId="0" applyFont="1" applyBorder="1" applyAlignment="1">
      <alignment vertical="center" wrapText="1"/>
    </xf>
    <xf numFmtId="9" fontId="105" fillId="0" borderId="2" xfId="23" applyFont="1" applyBorder="1" applyAlignment="1">
      <alignment horizontal="center" vertical="center" wrapText="1"/>
    </xf>
    <xf numFmtId="170" fontId="60" fillId="0" borderId="0" xfId="0" applyNumberFormat="1" applyFont="1" applyAlignment="1">
      <alignment horizontal="center"/>
    </xf>
    <xf numFmtId="170" fontId="72" fillId="6" borderId="112" xfId="0" applyNumberFormat="1" applyFont="1" applyFill="1" applyBorder="1" applyAlignment="1">
      <alignment horizontal="center" vertical="center"/>
    </xf>
    <xf numFmtId="170" fontId="74" fillId="0" borderId="0" xfId="0" applyNumberFormat="1" applyFont="1" applyAlignment="1">
      <alignment horizontal="center"/>
    </xf>
    <xf numFmtId="170" fontId="75" fillId="3" borderId="8" xfId="0" applyNumberFormat="1" applyFont="1" applyFill="1" applyBorder="1" applyAlignment="1">
      <alignment horizontal="center" vertical="center"/>
    </xf>
    <xf numFmtId="0" fontId="78" fillId="0" borderId="128" xfId="0" applyFont="1" applyBorder="1" applyAlignment="1">
      <alignment horizontal="left" vertical="top" wrapText="1"/>
    </xf>
    <xf numFmtId="49" fontId="1" fillId="3" borderId="130" xfId="0" applyNumberFormat="1" applyFont="1" applyFill="1" applyBorder="1" applyAlignment="1" applyProtection="1">
      <alignment horizontal="center" vertical="center"/>
      <protection locked="0"/>
    </xf>
    <xf numFmtId="0" fontId="78" fillId="0" borderId="131" xfId="0" applyFont="1" applyBorder="1" applyAlignment="1">
      <alignment horizontal="left" vertical="top" wrapText="1"/>
    </xf>
    <xf numFmtId="49" fontId="1" fillId="3" borderId="132" xfId="0" applyNumberFormat="1" applyFont="1" applyFill="1" applyBorder="1" applyAlignment="1" applyProtection="1">
      <alignment horizontal="center" vertical="center"/>
      <protection locked="0"/>
    </xf>
    <xf numFmtId="49" fontId="1" fillId="3" borderId="129" xfId="0" applyNumberFormat="1" applyFont="1" applyFill="1" applyBorder="1" applyAlignment="1" applyProtection="1">
      <alignment horizontal="center" vertical="center"/>
      <protection locked="0"/>
    </xf>
    <xf numFmtId="49" fontId="1" fillId="3" borderId="130" xfId="0" applyNumberFormat="1" applyFont="1" applyFill="1" applyBorder="1" applyAlignment="1" applyProtection="1">
      <alignment horizontal="center" vertical="center" wrapText="1"/>
      <protection locked="0"/>
    </xf>
    <xf numFmtId="0" fontId="78" fillId="0" borderId="136" xfId="0" applyFont="1" applyBorder="1" applyAlignment="1">
      <alignment horizontal="left" vertical="top" wrapText="1"/>
    </xf>
    <xf numFmtId="0" fontId="1" fillId="4" borderId="137" xfId="0" applyFont="1" applyFill="1" applyBorder="1" applyAlignment="1" applyProtection="1">
      <alignment horizontal="center" vertical="top" wrapText="1"/>
      <protection locked="0"/>
    </xf>
    <xf numFmtId="0" fontId="78" fillId="0" borderId="138" xfId="0" applyFont="1" applyBorder="1" applyAlignment="1">
      <alignment horizontal="left" vertical="top" wrapText="1"/>
    </xf>
    <xf numFmtId="0" fontId="1" fillId="4" borderId="139" xfId="0" applyFont="1" applyFill="1" applyBorder="1" applyAlignment="1" applyProtection="1">
      <alignment horizontal="center" vertical="top" wrapText="1"/>
      <protection locked="0"/>
    </xf>
    <xf numFmtId="170" fontId="74" fillId="0" borderId="133" xfId="0" applyNumberFormat="1" applyFont="1" applyBorder="1" applyAlignment="1">
      <alignment horizontal="center"/>
    </xf>
    <xf numFmtId="170" fontId="87" fillId="4" borderId="134" xfId="0" applyNumberFormat="1" applyFont="1" applyFill="1" applyBorder="1" applyAlignment="1">
      <alignment horizontal="center" vertical="center"/>
    </xf>
    <xf numFmtId="170" fontId="87" fillId="4" borderId="135" xfId="0" applyNumberFormat="1" applyFont="1" applyFill="1" applyBorder="1" applyAlignment="1">
      <alignment horizontal="center" vertical="center"/>
    </xf>
    <xf numFmtId="0" fontId="78" fillId="0" borderId="140" xfId="0" applyFont="1" applyBorder="1" applyAlignment="1">
      <alignment horizontal="left" vertical="top" wrapText="1"/>
    </xf>
    <xf numFmtId="0" fontId="1" fillId="4" borderId="141" xfId="0" applyFont="1" applyFill="1" applyBorder="1" applyAlignment="1" applyProtection="1">
      <alignment horizontal="center" vertical="top" wrapText="1"/>
      <protection locked="0"/>
    </xf>
    <xf numFmtId="0" fontId="78" fillId="0" borderId="143" xfId="0" applyFont="1" applyBorder="1" applyAlignment="1">
      <alignment horizontal="left" vertical="center" wrapText="1"/>
    </xf>
    <xf numFmtId="0" fontId="1" fillId="2" borderId="144" xfId="0" applyFont="1" applyFill="1" applyBorder="1" applyAlignment="1" applyProtection="1">
      <alignment horizontal="center" vertical="top" wrapText="1"/>
      <protection locked="0"/>
    </xf>
    <xf numFmtId="0" fontId="1" fillId="0" borderId="145" xfId="23" applyNumberFormat="1" applyFont="1" applyBorder="1" applyAlignment="1">
      <alignment horizontal="left" vertical="center" wrapText="1"/>
    </xf>
    <xf numFmtId="0" fontId="1" fillId="2" borderId="146" xfId="0" applyFont="1" applyFill="1" applyBorder="1" applyAlignment="1" applyProtection="1">
      <alignment horizontal="center" vertical="top" wrapText="1"/>
      <protection locked="0"/>
    </xf>
    <xf numFmtId="170" fontId="74" fillId="0" borderId="142" xfId="0" applyNumberFormat="1" applyFont="1" applyBorder="1" applyAlignment="1">
      <alignment horizontal="center"/>
    </xf>
    <xf numFmtId="170" fontId="75" fillId="2" borderId="125" xfId="0" applyNumberFormat="1" applyFont="1" applyFill="1" applyBorder="1" applyAlignment="1">
      <alignment horizontal="center" vertical="center"/>
    </xf>
    <xf numFmtId="9" fontId="1" fillId="0" borderId="145" xfId="23" applyFont="1" applyBorder="1" applyAlignment="1">
      <alignment horizontal="left" vertical="center" wrapText="1"/>
    </xf>
    <xf numFmtId="0" fontId="1" fillId="2" borderId="147" xfId="0" applyFont="1" applyFill="1" applyBorder="1" applyAlignment="1" applyProtection="1">
      <alignment horizontal="center" vertical="top" wrapText="1"/>
      <protection locked="0"/>
    </xf>
    <xf numFmtId="165" fontId="22" fillId="12" borderId="0" xfId="34" applyNumberFormat="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94" fillId="11" borderId="148" xfId="22" applyFont="1" applyFill="1" applyBorder="1" applyAlignment="1">
      <alignment horizontal="center" vertical="center" wrapText="1"/>
    </xf>
    <xf numFmtId="0" fontId="94" fillId="11" borderId="149" xfId="22" applyFont="1" applyFill="1" applyBorder="1" applyAlignment="1">
      <alignment horizontal="center" vertical="center" wrapText="1"/>
    </xf>
    <xf numFmtId="0" fontId="94" fillId="11" borderId="150" xfId="22" applyFont="1" applyFill="1" applyBorder="1" applyAlignment="1">
      <alignment horizontal="center" vertical="center" wrapText="1"/>
    </xf>
    <xf numFmtId="0" fontId="32" fillId="0" borderId="154" xfId="0" applyFont="1" applyBorder="1" applyAlignment="1" applyProtection="1">
      <alignment horizontal="left" wrapText="1"/>
      <protection locked="0"/>
    </xf>
    <xf numFmtId="0" fontId="32" fillId="0" borderId="155" xfId="0" applyFont="1" applyBorder="1" applyAlignment="1" applyProtection="1">
      <alignment horizontal="left" vertical="center" wrapText="1"/>
      <protection locked="0"/>
    </xf>
    <xf numFmtId="0" fontId="32" fillId="0" borderId="156" xfId="0" applyFont="1" applyBorder="1" applyAlignment="1" applyProtection="1">
      <alignment horizontal="left" wrapText="1"/>
      <protection locked="0"/>
    </xf>
    <xf numFmtId="0" fontId="32" fillId="0" borderId="157" xfId="0" applyFont="1" applyBorder="1" applyAlignment="1" applyProtection="1">
      <alignment horizontal="left" wrapText="1"/>
      <protection locked="0"/>
    </xf>
    <xf numFmtId="0" fontId="32" fillId="0" borderId="158" xfId="0" applyFont="1" applyBorder="1" applyAlignment="1" applyProtection="1">
      <alignment horizontal="left"/>
      <protection locked="0"/>
    </xf>
    <xf numFmtId="0" fontId="95" fillId="11" borderId="5" xfId="0" applyFont="1" applyFill="1" applyBorder="1" applyAlignment="1">
      <alignment horizontal="center" vertical="center" textRotation="90"/>
    </xf>
    <xf numFmtId="0" fontId="31" fillId="0" borderId="151" xfId="0" applyFont="1" applyBorder="1" applyAlignment="1">
      <alignment horizontal="left" wrapText="1"/>
    </xf>
    <xf numFmtId="0" fontId="32" fillId="0" borderId="152" xfId="0" applyFont="1" applyBorder="1" applyAlignment="1" applyProtection="1">
      <alignment horizontal="left" wrapText="1"/>
      <protection locked="0"/>
    </xf>
    <xf numFmtId="0" fontId="32" fillId="0" borderId="153" xfId="0" applyFont="1" applyBorder="1" applyAlignment="1" applyProtection="1">
      <alignment horizontal="left" wrapText="1"/>
      <protection locked="0"/>
    </xf>
    <xf numFmtId="0" fontId="32" fillId="0" borderId="156" xfId="0" applyFont="1" applyBorder="1" applyAlignment="1" applyProtection="1">
      <alignment horizontal="left" vertical="top" wrapText="1"/>
      <protection locked="0"/>
    </xf>
    <xf numFmtId="0" fontId="32" fillId="0" borderId="157" xfId="0" applyFont="1" applyBorder="1" applyAlignment="1" applyProtection="1">
      <alignment horizontal="left"/>
      <protection locked="0"/>
    </xf>
    <xf numFmtId="0" fontId="32" fillId="0" borderId="156" xfId="0" applyFont="1" applyBorder="1" applyAlignment="1" applyProtection="1">
      <alignment horizontal="left"/>
      <protection locked="0"/>
    </xf>
    <xf numFmtId="0" fontId="32" fillId="0" borderId="159" xfId="0" applyFont="1" applyBorder="1" applyAlignment="1" applyProtection="1">
      <alignment horizontal="left" vertical="center" wrapText="1"/>
      <protection locked="0"/>
    </xf>
    <xf numFmtId="0" fontId="32" fillId="0" borderId="160" xfId="0" applyFont="1" applyBorder="1" applyAlignment="1" applyProtection="1">
      <alignment horizontal="left"/>
      <protection locked="0"/>
    </xf>
    <xf numFmtId="0" fontId="32" fillId="0" borderId="161" xfId="0" applyFont="1" applyBorder="1" applyAlignment="1" applyProtection="1">
      <alignment horizontal="left"/>
      <protection locked="0"/>
    </xf>
    <xf numFmtId="0" fontId="32" fillId="0" borderId="162" xfId="0" applyFont="1" applyBorder="1" applyAlignment="1" applyProtection="1">
      <alignment horizontal="left"/>
      <protection locked="0"/>
    </xf>
    <xf numFmtId="0" fontId="32" fillId="0" borderId="163" xfId="0" applyFont="1" applyBorder="1" applyAlignment="1" applyProtection="1">
      <alignment horizontal="left" vertical="top" wrapText="1"/>
      <protection locked="0"/>
    </xf>
    <xf numFmtId="0" fontId="32" fillId="0" borderId="164" xfId="0" applyFont="1" applyBorder="1" applyAlignment="1" applyProtection="1">
      <alignment horizontal="left"/>
      <protection locked="0"/>
    </xf>
    <xf numFmtId="0" fontId="32" fillId="0" borderId="108" xfId="0" applyFont="1" applyBorder="1" applyAlignment="1" applyProtection="1">
      <alignment horizontal="left"/>
      <protection locked="0"/>
    </xf>
    <xf numFmtId="0" fontId="32" fillId="0" borderId="165" xfId="0" applyFont="1" applyBorder="1" applyAlignment="1" applyProtection="1">
      <alignment horizontal="left"/>
      <protection locked="0"/>
    </xf>
    <xf numFmtId="0" fontId="32" fillId="0" borderId="166" xfId="0" applyFont="1" applyBorder="1" applyAlignment="1" applyProtection="1">
      <alignment horizontal="left"/>
      <protection locked="0"/>
    </xf>
    <xf numFmtId="0" fontId="32" fillId="0" borderId="167" xfId="0" applyFont="1" applyBorder="1" applyAlignment="1" applyProtection="1">
      <alignment horizontal="left"/>
      <protection locked="0"/>
    </xf>
    <xf numFmtId="0" fontId="4" fillId="0" borderId="0" xfId="0" applyFont="1" applyAlignment="1">
      <alignment horizontal="center"/>
    </xf>
  </cellXfs>
  <cellStyles count="40">
    <cellStyle name="Euro" xfId="1" xr:uid="{00000000-0005-0000-0000-000000000000}"/>
    <cellStyle name="Millares" xfId="2" builtinId="3"/>
    <cellStyle name="Millares 2" xfId="3" xr:uid="{00000000-0005-0000-0000-000002000000}"/>
    <cellStyle name="Moneda" xfId="4" builtinId="4"/>
    <cellStyle name="Normal" xfId="0" builtinId="0"/>
    <cellStyle name="Normal 2" xfId="5" xr:uid="{00000000-0005-0000-0000-000005000000}"/>
    <cellStyle name="Normal 2 2" xfId="6" xr:uid="{00000000-0005-0000-0000-000006000000}"/>
    <cellStyle name="Normal 2 3" xfId="7" xr:uid="{00000000-0005-0000-0000-000007000000}"/>
    <cellStyle name="Normal 2 4" xfId="8" xr:uid="{00000000-0005-0000-0000-000008000000}"/>
    <cellStyle name="Normal 2 5" xfId="9" xr:uid="{00000000-0005-0000-0000-000009000000}"/>
    <cellStyle name="Normal 2 6" xfId="10" xr:uid="{00000000-0005-0000-0000-00000A000000}"/>
    <cellStyle name="Normal 2 7" xfId="11" xr:uid="{00000000-0005-0000-0000-00000B000000}"/>
    <cellStyle name="Normal 2 8" xfId="12" xr:uid="{00000000-0005-0000-0000-00000C000000}"/>
    <cellStyle name="Normal 2_Dashboard ver 2.2 ES" xfId="13" xr:uid="{00000000-0005-0000-0000-00000D000000}"/>
    <cellStyle name="Normal 2_Ficticia HIV Dashboard_ES - Set Up and Maintenance Guide" xfId="14" xr:uid="{00000000-0005-0000-0000-00000E000000}"/>
    <cellStyle name="Normal 2_Prototipo"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_TZ_R3HIV_Phase_2_21_August_08" xfId="22" xr:uid="{00000000-0005-0000-0000-000016000000}"/>
    <cellStyle name="Porcentaje" xfId="23" builtinId="5"/>
    <cellStyle name="Porcentual 2" xfId="24" xr:uid="{00000000-0005-0000-0000-000018000000}"/>
    <cellStyle name="Porcentual 3" xfId="25" xr:uid="{00000000-0005-0000-0000-000019000000}"/>
    <cellStyle name="Porcentual 4" xfId="26" xr:uid="{00000000-0005-0000-0000-00001A000000}"/>
    <cellStyle name="Porcentual 5" xfId="27" xr:uid="{00000000-0005-0000-0000-00001B000000}"/>
    <cellStyle name="Porcentual 6" xfId="28" xr:uid="{00000000-0005-0000-0000-00001C000000}"/>
    <cellStyle name="Porcentual 7" xfId="29" xr:uid="{00000000-0005-0000-0000-00001D000000}"/>
    <cellStyle name="Porcentual 8" xfId="30" xr:uid="{00000000-0005-0000-0000-00001E000000}"/>
    <cellStyle name="Título 3 2" xfId="31" xr:uid="{00000000-0005-0000-0000-00001F000000}"/>
    <cellStyle name="Título 3 3" xfId="32" xr:uid="{00000000-0005-0000-0000-000020000000}"/>
    <cellStyle name="Título 3 3_Prototipo" xfId="33" xr:uid="{00000000-0005-0000-0000-000021000000}"/>
    <cellStyle name="Título 3 3_PrototipoRep1" xfId="34" xr:uid="{00000000-0005-0000-0000-000022000000}"/>
    <cellStyle name="Título 3 4" xfId="35" xr:uid="{00000000-0005-0000-0000-000023000000}"/>
    <cellStyle name="Título 3 5" xfId="36" xr:uid="{00000000-0005-0000-0000-000024000000}"/>
    <cellStyle name="Título 3 6" xfId="37" xr:uid="{00000000-0005-0000-0000-000025000000}"/>
    <cellStyle name="Título 3 7" xfId="38" xr:uid="{00000000-0005-0000-0000-000026000000}"/>
    <cellStyle name="Título 3 8" xfId="39" xr:uid="{00000000-0005-0000-0000-000027000000}"/>
  </cellStyles>
  <dxfs count="34">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29"/>
          <bgColor indexed="1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29"/>
          <bgColor indexed="19"/>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29"/>
          <bgColor indexed="1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51"/>
          <bgColor indexed="13"/>
        </patternFill>
      </fill>
    </dxf>
    <dxf>
      <font>
        <b val="0"/>
        <i val="0"/>
        <condense val="0"/>
        <extend val="0"/>
        <sz val="11"/>
        <color indexed="8"/>
      </font>
      <fill>
        <patternFill patternType="solid">
          <fgColor indexed="49"/>
          <bgColor indexed="11"/>
        </patternFill>
      </fill>
    </dxf>
    <dxf>
      <font>
        <b val="0"/>
        <i val="0"/>
        <condense val="0"/>
        <extend val="0"/>
        <sz val="11"/>
        <color indexed="8"/>
      </font>
      <fill>
        <patternFill patternType="solid">
          <fgColor indexed="26"/>
          <bgColor indexed="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49"/>
          <bgColor indexed="11"/>
        </patternFill>
      </fill>
    </dxf>
    <dxf>
      <font>
        <b val="0"/>
        <i val="0"/>
        <condense val="0"/>
        <extend val="0"/>
        <sz val="11"/>
        <color indexed="9"/>
      </font>
      <fill>
        <patternFill patternType="solid">
          <fgColor indexed="32"/>
          <bgColor indexed="8"/>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29"/>
          <bgColor indexed="19"/>
        </patternFill>
      </fill>
    </dxf>
    <dxf>
      <font>
        <b val="0"/>
        <i val="0"/>
        <condense val="0"/>
        <extend val="0"/>
        <sz val="11"/>
        <color indexed="9"/>
      </font>
      <fill>
        <patternFill patternType="solid">
          <fgColor indexed="59"/>
          <bgColor indexed="6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5050"/>
      <rgbColor rgb="00800080"/>
      <rgbColor rgb="000070C0"/>
      <rgbColor rgb="00C0C0C0"/>
      <rgbColor rgb="00808080"/>
      <rgbColor rgb="00A6A6A6"/>
      <rgbColor rgb="00993366"/>
      <rgbColor rgb="00FFF8EF"/>
      <rgbColor rgb="00CCFFFF"/>
      <rgbColor rgb="001F1C1B"/>
      <rgbColor rgb="00FF7171"/>
      <rgbColor rgb="000066CC"/>
      <rgbColor rgb="00D9D9D9"/>
      <rgbColor rgb="00131312"/>
      <rgbColor rgb="00FF00FF"/>
      <rgbColor rgb="00FFF88F"/>
      <rgbColor rgb="0093CDDD"/>
      <rgbColor rgb="00800080"/>
      <rgbColor rgb="00800000"/>
      <rgbColor rgb="004F81BD"/>
      <rgbColor rgb="000000FF"/>
      <rgbColor rgb="0000CCFF"/>
      <rgbColor rgb="00F2F2F2"/>
      <rgbColor rgb="00CCFFCC"/>
      <rgbColor rgb="00FFFF99"/>
      <rgbColor rgb="0099CCFF"/>
      <rgbColor rgb="00ED7D31"/>
      <rgbColor rgb="00BFBFBF"/>
      <rgbColor rgb="00FFCC99"/>
      <rgbColor rgb="003366FF"/>
      <rgbColor rgb="0033CC33"/>
      <rgbColor rgb="0099CC00"/>
      <rgbColor rgb="00FFCC00"/>
      <rgbColor rgb="00FF9900"/>
      <rgbColor rgb="00FF6600"/>
      <rgbColor rgb="00595959"/>
      <rgbColor rgb="00878787"/>
      <rgbColor rgb="00003366"/>
      <rgbColor rgb="00339966"/>
      <rgbColor rgb="00003300"/>
      <rgbColor rgb="00333300"/>
      <rgbColor rgb="00993300"/>
      <rgbColor rgb="00C0504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2698443933991"/>
          <c:y val="8.461538461538462E-2"/>
          <c:w val="0.74307492890170068"/>
          <c:h val="0.51409584152537435"/>
        </c:manualLayout>
      </c:layout>
      <c:barChart>
        <c:barDir val="col"/>
        <c:grouping val="clustered"/>
        <c:varyColors val="0"/>
        <c:ser>
          <c:idx val="0"/>
          <c:order val="0"/>
          <c:spPr>
            <a:solidFill>
              <a:srgbClr val="4F81BD"/>
            </a:solidFill>
            <a:ln w="25400">
              <a:noFill/>
            </a:ln>
          </c:spPr>
          <c:invertIfNegative val="0"/>
          <c:val>
            <c:numRef>
              <c:f>#REF!</c:f>
              <c:numCache>
                <c:formatCode>General</c:formatCode>
                <c:ptCount val="9"/>
                <c:pt idx="0">
                  <c:v>874075.28</c:v>
                </c:pt>
                <c:pt idx="1">
                  <c:v>265864.66000000003</c:v>
                </c:pt>
                <c:pt idx="2">
                  <c:v>157384.65</c:v>
                </c:pt>
                <c:pt idx="3">
                  <c:v>38186.120000000003</c:v>
                </c:pt>
                <c:pt idx="4">
                  <c:v>77635.44</c:v>
                </c:pt>
                <c:pt idx="5">
                  <c:v>775805.35</c:v>
                </c:pt>
                <c:pt idx="6">
                  <c:v>32136.1</c:v>
                </c:pt>
                <c:pt idx="7">
                  <c:v>425963.55999999994</c:v>
                </c:pt>
                <c:pt idx="8">
                  <c:v>304112.48</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Presupuesto acumulado (en $)</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9"/>
                      <c:pt idx="0">
                        <c:v>1: Detección precoz de casos de tuberculosis</c:v>
                      </c:pt>
                      <c:pt idx="1">
                        <c:v>2: Tratamiento de casos TB de todas las formas</c:v>
                      </c:pt>
                      <c:pt idx="2">
                        <c:v>3: Detección de casos TB/MDR</c:v>
                      </c:pt>
                      <c:pt idx="3">
                        <c:v>4: Tratamiento de casos TB/MDR</c:v>
                      </c:pt>
                      <c:pt idx="4">
                        <c:v>5: Disminución de la mortalidad por TB/VIH</c:v>
                      </c:pt>
                      <c:pt idx="5">
                        <c:v>6: Atención integral a grupos de más alto riesgo</c:v>
                      </c:pt>
                      <c:pt idx="6">
                        <c:v>7: Fortalecimiento al Sistema de Salud</c:v>
                      </c:pt>
                      <c:pt idx="7">
                        <c:v>Monitoreo y Evaluación</c:v>
                      </c:pt>
                      <c:pt idx="8">
                        <c:v>Planificación, Coordinación y Gerencia</c:v>
                      </c:pt>
                    </c:strCache>
                  </c:strRef>
                </c15:cat>
              </c15:filteredCategoryTitle>
            </c:ext>
            <c:ext xmlns:c16="http://schemas.microsoft.com/office/drawing/2014/chart" uri="{C3380CC4-5D6E-409C-BE32-E72D297353CC}">
              <c16:uniqueId val="{00000000-5072-4C6E-900B-0A012028A091}"/>
            </c:ext>
          </c:extLst>
        </c:ser>
        <c:ser>
          <c:idx val="1"/>
          <c:order val="1"/>
          <c:spPr>
            <a:solidFill>
              <a:srgbClr val="C0504D"/>
            </a:solidFill>
            <a:ln w="25400">
              <a:noFill/>
            </a:ln>
          </c:spPr>
          <c:invertIfNegative val="0"/>
          <c:val>
            <c:numRef>
              <c:f>#REF!</c:f>
              <c:numCache>
                <c:formatCode>General</c:formatCode>
                <c:ptCount val="9"/>
                <c:pt idx="0">
                  <c:v>823136.6399999999</c:v>
                </c:pt>
                <c:pt idx="1">
                  <c:v>121586.08</c:v>
                </c:pt>
                <c:pt idx="2">
                  <c:v>148180</c:v>
                </c:pt>
                <c:pt idx="3">
                  <c:v>32546</c:v>
                </c:pt>
                <c:pt idx="4">
                  <c:v>35376.44</c:v>
                </c:pt>
                <c:pt idx="5">
                  <c:v>418569.59</c:v>
                </c:pt>
                <c:pt idx="6">
                  <c:v>0</c:v>
                </c:pt>
                <c:pt idx="7">
                  <c:v>179869.47</c:v>
                </c:pt>
                <c:pt idx="8">
                  <c:v>238448.64000000001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Gastos acumulados (en $)</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9"/>
                      <c:pt idx="0">
                        <c:v>1: Detección precoz de casos de tuberculosis</c:v>
                      </c:pt>
                      <c:pt idx="1">
                        <c:v>2: Tratamiento de casos TB de todas las formas</c:v>
                      </c:pt>
                      <c:pt idx="2">
                        <c:v>3: Detección de casos TB/MDR</c:v>
                      </c:pt>
                      <c:pt idx="3">
                        <c:v>4: Tratamiento de casos TB/MDR</c:v>
                      </c:pt>
                      <c:pt idx="4">
                        <c:v>5: Disminución de la mortalidad por TB/VIH</c:v>
                      </c:pt>
                      <c:pt idx="5">
                        <c:v>6: Atención integral a grupos de más alto riesgo</c:v>
                      </c:pt>
                      <c:pt idx="6">
                        <c:v>7: Fortalecimiento al Sistema de Salud</c:v>
                      </c:pt>
                      <c:pt idx="7">
                        <c:v>Monitoreo y Evaluación</c:v>
                      </c:pt>
                      <c:pt idx="8">
                        <c:v>Planificación, Coordinación y Gerencia</c:v>
                      </c:pt>
                    </c:strCache>
                  </c:strRef>
                </c15:cat>
              </c15:filteredCategoryTitle>
            </c:ext>
            <c:ext xmlns:c16="http://schemas.microsoft.com/office/drawing/2014/chart" uri="{C3380CC4-5D6E-409C-BE32-E72D297353CC}">
              <c16:uniqueId val="{00000001-5072-4C6E-900B-0A012028A091}"/>
            </c:ext>
          </c:extLst>
        </c:ser>
        <c:dLbls>
          <c:showLegendKey val="0"/>
          <c:showVal val="0"/>
          <c:showCatName val="0"/>
          <c:showSerName val="0"/>
          <c:showPercent val="0"/>
          <c:showBubbleSize val="0"/>
        </c:dLbls>
        <c:gapWidth val="219"/>
        <c:overlap val="-27"/>
        <c:axId val="526270872"/>
        <c:axId val="1"/>
      </c:barChart>
      <c:catAx>
        <c:axId val="526270872"/>
        <c:scaling>
          <c:orientation val="minMax"/>
        </c:scaling>
        <c:delete val="0"/>
        <c:axPos val="b"/>
        <c:numFmt formatCode="General" sourceLinked="1"/>
        <c:majorTickMark val="none"/>
        <c:minorTickMark val="none"/>
        <c:tickLblPos val="nextTo"/>
        <c:spPr>
          <a:ln w="12700">
            <a:solidFill>
              <a:srgbClr val="D9D9D9"/>
            </a:solidFill>
            <a:prstDash val="solid"/>
          </a:ln>
        </c:spPr>
        <c:txPr>
          <a:bodyPr rot="0" vert="horz"/>
          <a:lstStyle/>
          <a:p>
            <a:pPr>
              <a:defRPr/>
            </a:pPr>
            <a:endParaRPr lang="es-SV"/>
          </a:p>
        </c:txPr>
        <c:crossAx val="1"/>
        <c:crosses val="autoZero"/>
        <c:auto val="1"/>
        <c:lblAlgn val="ctr"/>
        <c:lblOffset val="100"/>
        <c:tickLblSkip val="2"/>
        <c:tickMarkSkip val="1"/>
        <c:noMultiLvlLbl val="0"/>
      </c:catAx>
      <c:valAx>
        <c:axId val="1"/>
        <c:scaling>
          <c:orientation val="minMax"/>
        </c:scaling>
        <c:delete val="0"/>
        <c:axPos val="l"/>
        <c:majorGridlines>
          <c:spPr>
            <a:ln w="12700">
              <a:solidFill>
                <a:srgbClr val="D9D9D9"/>
              </a:solidFill>
              <a:prstDash val="solid"/>
            </a:ln>
          </c:spPr>
        </c:majorGridlines>
        <c:numFmt formatCode="_ [$$-240A]\ * #,##0.00_ ;_ [$$-240A]\ * \-#,##0.00_ ;_ [$$-240A]\ * \-??_ ;_ @_ " sourceLinked="0"/>
        <c:majorTickMark val="none"/>
        <c:minorTickMark val="none"/>
        <c:tickLblPos val="nextTo"/>
        <c:spPr>
          <a:ln w="6350">
            <a:noFill/>
          </a:ln>
        </c:spPr>
        <c:txPr>
          <a:bodyPr rot="0" vert="horz"/>
          <a:lstStyle/>
          <a:p>
            <a:pPr>
              <a:defRPr/>
            </a:pPr>
            <a:endParaRPr lang="es-SV"/>
          </a:p>
        </c:txPr>
        <c:crossAx val="526270872"/>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8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01031922291766E-2"/>
          <c:y val="8.646209664968349E-2"/>
          <c:w val="0.82018188752047017"/>
          <c:h val="0.74464935340570859"/>
        </c:manualLayout>
      </c:layout>
      <c:barChart>
        <c:barDir val="col"/>
        <c:grouping val="clustered"/>
        <c:varyColors val="0"/>
        <c:ser>
          <c:idx val="0"/>
          <c:order val="0"/>
          <c:tx>
            <c:v>Meta</c:v>
          </c:tx>
          <c:spPr>
            <a:solidFill>
              <a:srgbClr val="0066CC"/>
            </a:solidFill>
            <a:ln w="25400">
              <a:noFill/>
            </a:ln>
          </c:spPr>
          <c:invertIfNegative val="0"/>
          <c:dLbls>
            <c:numFmt formatCode="#,##0" sourceLinked="0"/>
            <c:spPr>
              <a:noFill/>
              <a:ln w="25400">
                <a:noFill/>
              </a:ln>
              <a:effectLst/>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'Introducción de datos'!$H$129:$Q$129</c15:sqref>
                  </c15:fullRef>
                </c:ext>
              </c:extLst>
              <c:f>'Introducción de datos'!$H$129:$J$129</c:f>
              <c:numCache>
                <c:formatCode>General</c:formatCode>
                <c:ptCount val="3"/>
                <c:pt idx="0">
                  <c:v>2019</c:v>
                </c:pt>
                <c:pt idx="1">
                  <c:v>2020</c:v>
                </c:pt>
                <c:pt idx="2">
                  <c:v>2021</c:v>
                </c:pt>
              </c:numCache>
            </c:numRef>
          </c:cat>
          <c:val>
            <c:numRef>
              <c:extLst>
                <c:ext xmlns:c15="http://schemas.microsoft.com/office/drawing/2012/chart" uri="{02D57815-91ED-43cb-92C2-25804820EDAC}">
                  <c15:fullRef>
                    <c15:sqref>'Introducción de datos'!$H$133:$Q$133</c15:sqref>
                  </c15:fullRef>
                </c:ext>
              </c:extLst>
              <c:f>'Introducción de datos'!$H$133:$J$133</c:f>
              <c:numCache>
                <c:formatCode>0</c:formatCode>
                <c:ptCount val="3"/>
                <c:pt idx="0">
                  <c:v>27</c:v>
                </c:pt>
                <c:pt idx="1">
                  <c:v>35</c:v>
                </c:pt>
                <c:pt idx="2">
                  <c:v>33</c:v>
                </c:pt>
              </c:numCache>
            </c:numRef>
          </c:val>
          <c:extLst>
            <c:ext xmlns:c16="http://schemas.microsoft.com/office/drawing/2014/chart" uri="{C3380CC4-5D6E-409C-BE32-E72D297353CC}">
              <c16:uniqueId val="{00000001-FFAA-4D6A-9138-3E763CCF59AC}"/>
            </c:ext>
          </c:extLst>
        </c:ser>
        <c:ser>
          <c:idx val="1"/>
          <c:order val="1"/>
          <c:tx>
            <c:v>Logro</c:v>
          </c:tx>
          <c:spPr>
            <a:solidFill>
              <a:srgbClr val="00CCFF"/>
            </a:solidFill>
            <a:ln w="9525">
              <a:solidFill>
                <a:srgbClr val="000000"/>
              </a:solidFill>
              <a:prstDash val="solid"/>
            </a:ln>
          </c:spPr>
          <c:invertIfNegative val="0"/>
          <c:dLbls>
            <c:dLbl>
              <c:idx val="0"/>
              <c:layout>
                <c:manualLayout>
                  <c:x val="-4.7287428658659694E-3"/>
                  <c:y val="8.06952464275293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28-4237-B986-EC5E5CD13861}"/>
                </c:ext>
              </c:extLst>
            </c:dLbl>
            <c:dLbl>
              <c:idx val="1"/>
              <c:layout>
                <c:manualLayout>
                  <c:x val="3.7259507664730942E-3"/>
                  <c:y val="2.1435987168270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28-4237-B986-EC5E5CD13861}"/>
                </c:ext>
              </c:extLst>
            </c:dLbl>
            <c:numFmt formatCode="0" sourceLinked="0"/>
            <c:spPr>
              <a:noFill/>
              <a:ln w="25400">
                <a:noFill/>
              </a:ln>
              <a:effectLst/>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'Introducción de datos'!$H$129:$Q$129</c15:sqref>
                  </c15:fullRef>
                </c:ext>
              </c:extLst>
              <c:f>'Introducción de datos'!$H$129:$J$129</c:f>
              <c:numCache>
                <c:formatCode>General</c:formatCode>
                <c:ptCount val="3"/>
                <c:pt idx="0">
                  <c:v>2019</c:v>
                </c:pt>
                <c:pt idx="1">
                  <c:v>2020</c:v>
                </c:pt>
                <c:pt idx="2">
                  <c:v>2021</c:v>
                </c:pt>
              </c:numCache>
            </c:numRef>
          </c:cat>
          <c:val>
            <c:numRef>
              <c:extLst>
                <c:ext xmlns:c15="http://schemas.microsoft.com/office/drawing/2012/chart" uri="{02D57815-91ED-43cb-92C2-25804820EDAC}">
                  <c15:fullRef>
                    <c15:sqref>'Introducción de datos'!$H$134:$Q$134</c15:sqref>
                  </c15:fullRef>
                </c:ext>
              </c:extLst>
              <c:f>'Introducción de datos'!$H$134:$J$134</c:f>
              <c:numCache>
                <c:formatCode>0</c:formatCode>
                <c:ptCount val="3"/>
                <c:pt idx="0">
                  <c:v>21</c:v>
                </c:pt>
                <c:pt idx="1">
                  <c:v>37</c:v>
                </c:pt>
                <c:pt idx="2">
                  <c:v>43</c:v>
                </c:pt>
              </c:numCache>
            </c:numRef>
          </c:val>
          <c:extLst>
            <c:ext xmlns:c16="http://schemas.microsoft.com/office/drawing/2014/chart" uri="{C3380CC4-5D6E-409C-BE32-E72D297353CC}">
              <c16:uniqueId val="{00000002-FFAA-4D6A-9138-3E763CCF59AC}"/>
            </c:ext>
          </c:extLst>
        </c:ser>
        <c:dLbls>
          <c:showLegendKey val="0"/>
          <c:showVal val="0"/>
          <c:showCatName val="0"/>
          <c:showSerName val="0"/>
          <c:showPercent val="0"/>
          <c:showBubbleSize val="0"/>
        </c:dLbls>
        <c:gapWidth val="25"/>
        <c:overlap val="-10"/>
        <c:axId val="617045248"/>
        <c:axId val="1"/>
      </c:barChart>
      <c:catAx>
        <c:axId val="617045248"/>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248"/>
        <c:crossesAt val="1"/>
        <c:crossBetween val="between"/>
      </c:valAx>
      <c:spPr>
        <a:noFill/>
        <a:ln w="25400">
          <a:noFill/>
        </a:ln>
      </c:spPr>
    </c:plotArea>
    <c:legend>
      <c:legendPos val="r"/>
      <c:layout>
        <c:manualLayout>
          <c:xMode val="edge"/>
          <c:yMode val="edge"/>
          <c:x val="0.19039343159028199"/>
          <c:y val="8.3750578971746203E-2"/>
          <c:w val="0.15689310631042913"/>
          <c:h val="0.116291106993978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70081081478887E-2"/>
          <c:y val="0.10885140084233656"/>
          <c:w val="0.87284044363813196"/>
          <c:h val="0.67708606736657917"/>
        </c:manualLayout>
      </c:layout>
      <c:barChart>
        <c:barDir val="col"/>
        <c:grouping val="clustered"/>
        <c:varyColors val="0"/>
        <c:ser>
          <c:idx val="0"/>
          <c:order val="0"/>
          <c:tx>
            <c:v>Meta</c:v>
          </c:tx>
          <c:spPr>
            <a:solidFill>
              <a:srgbClr val="0066CC"/>
            </a:solidFill>
            <a:ln w="25400">
              <a:noFill/>
            </a:ln>
          </c:spPr>
          <c:invertIfNegative val="0"/>
          <c:dLbls>
            <c:spPr>
              <a:noFill/>
              <a:ln>
                <a:noFill/>
              </a:ln>
              <a:effectLst/>
            </c:spPr>
            <c:txPr>
              <a:bodyPr wrap="square" lIns="38100" tIns="19050" rIns="38100" bIns="19050" anchor="ctr">
                <a:spAutoFit/>
              </a:bodyPr>
              <a:lstStyle/>
              <a:p>
                <a:pPr>
                  <a:defRPr sz="900" b="1"/>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'Introducción de datos'!$H$129:$Q$129</c15:sqref>
                  </c15:fullRef>
                </c:ext>
              </c:extLst>
              <c:f>'Introducción de datos'!$H$129:$J$129</c:f>
              <c:numCache>
                <c:formatCode>General</c:formatCode>
                <c:ptCount val="3"/>
                <c:pt idx="0">
                  <c:v>2019</c:v>
                </c:pt>
                <c:pt idx="1">
                  <c:v>2020</c:v>
                </c:pt>
                <c:pt idx="2">
                  <c:v>2021</c:v>
                </c:pt>
              </c:numCache>
            </c:numRef>
          </c:cat>
          <c:val>
            <c:numRef>
              <c:extLst>
                <c:ext xmlns:c15="http://schemas.microsoft.com/office/drawing/2012/chart" uri="{02D57815-91ED-43cb-92C2-25804820EDAC}">
                  <c15:fullRef>
                    <c15:sqref>'Introducción de datos'!$H$135:$Q$135</c15:sqref>
                  </c15:fullRef>
                </c:ext>
              </c:extLst>
              <c:f>'Introducción de datos'!$H$135:$J$135</c:f>
              <c:numCache>
                <c:formatCode>#,##0</c:formatCode>
                <c:ptCount val="3"/>
                <c:pt idx="0">
                  <c:v>2153</c:v>
                </c:pt>
                <c:pt idx="1">
                  <c:v>1035</c:v>
                </c:pt>
                <c:pt idx="2" formatCode="0">
                  <c:v>884</c:v>
                </c:pt>
              </c:numCache>
            </c:numRef>
          </c:val>
          <c:extLst>
            <c:ext xmlns:c16="http://schemas.microsoft.com/office/drawing/2014/chart" uri="{C3380CC4-5D6E-409C-BE32-E72D297353CC}">
              <c16:uniqueId val="{00000000-EDC9-431A-81B1-C541CFC3B2B9}"/>
            </c:ext>
          </c:extLst>
        </c:ser>
        <c:ser>
          <c:idx val="1"/>
          <c:order val="1"/>
          <c:tx>
            <c:v>Logro</c:v>
          </c:tx>
          <c:spPr>
            <a:solidFill>
              <a:srgbClr val="00CCFF"/>
            </a:solidFill>
            <a:ln w="25400">
              <a:noFill/>
            </a:ln>
          </c:spPr>
          <c:invertIfNegative val="0"/>
          <c:dPt>
            <c:idx val="0"/>
            <c:invertIfNegative val="0"/>
            <c:bubble3D val="0"/>
            <c:spPr>
              <a:solidFill>
                <a:srgbClr val="00CCFF"/>
              </a:solidFill>
              <a:ln>
                <a:solidFill>
                  <a:schemeClr val="tx1"/>
                </a:solidFill>
              </a:ln>
            </c:spPr>
            <c:extLst>
              <c:ext xmlns:c16="http://schemas.microsoft.com/office/drawing/2014/chart" uri="{C3380CC4-5D6E-409C-BE32-E72D297353CC}">
                <c16:uniqueId val="{00000000-83CD-4E8B-B907-AD67079D1F4E}"/>
              </c:ext>
            </c:extLst>
          </c:dPt>
          <c:dLbls>
            <c:dLbl>
              <c:idx val="1"/>
              <c:layout>
                <c:manualLayout>
                  <c:x val="5.5365960610855849E-3"/>
                  <c:y val="9.88618780731011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35-40E1-8BF3-2F2EAD8F75E6}"/>
                </c:ext>
              </c:extLst>
            </c:dLbl>
            <c:spPr>
              <a:noFill/>
              <a:ln>
                <a:noFill/>
              </a:ln>
              <a:effectLst/>
            </c:spPr>
            <c:txPr>
              <a:bodyPr wrap="square" lIns="38100" tIns="19050" rIns="38100" bIns="19050" anchor="ctr">
                <a:spAutoFit/>
              </a:bodyPr>
              <a:lstStyle/>
              <a:p>
                <a:pPr>
                  <a:defRPr sz="800" b="1"/>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'Introducción de datos'!$H$129:$Q$129</c15:sqref>
                  </c15:fullRef>
                </c:ext>
              </c:extLst>
              <c:f>'Introducción de datos'!$H$129:$J$129</c:f>
              <c:numCache>
                <c:formatCode>General</c:formatCode>
                <c:ptCount val="3"/>
                <c:pt idx="0">
                  <c:v>2019</c:v>
                </c:pt>
                <c:pt idx="1">
                  <c:v>2020</c:v>
                </c:pt>
                <c:pt idx="2">
                  <c:v>2021</c:v>
                </c:pt>
              </c:numCache>
            </c:numRef>
          </c:cat>
          <c:val>
            <c:numRef>
              <c:extLst>
                <c:ext xmlns:c15="http://schemas.microsoft.com/office/drawing/2012/chart" uri="{02D57815-91ED-43cb-92C2-25804820EDAC}">
                  <c15:fullRef>
                    <c15:sqref>'Introducción de datos'!$H$136:$Q$136</c15:sqref>
                  </c15:fullRef>
                </c:ext>
              </c:extLst>
              <c:f>'Introducción de datos'!$H$136:$J$136</c:f>
              <c:numCache>
                <c:formatCode>#,##0</c:formatCode>
                <c:ptCount val="3"/>
                <c:pt idx="0">
                  <c:v>1328</c:v>
                </c:pt>
                <c:pt idx="1">
                  <c:v>983</c:v>
                </c:pt>
                <c:pt idx="2" formatCode="0">
                  <c:v>628</c:v>
                </c:pt>
              </c:numCache>
            </c:numRef>
          </c:val>
          <c:extLst>
            <c:ext xmlns:c16="http://schemas.microsoft.com/office/drawing/2014/chart" uri="{C3380CC4-5D6E-409C-BE32-E72D297353CC}">
              <c16:uniqueId val="{00000001-EDC9-431A-81B1-C541CFC3B2B9}"/>
            </c:ext>
          </c:extLst>
        </c:ser>
        <c:dLbls>
          <c:showLegendKey val="0"/>
          <c:showVal val="0"/>
          <c:showCatName val="0"/>
          <c:showSerName val="0"/>
          <c:showPercent val="0"/>
          <c:showBubbleSize val="0"/>
        </c:dLbls>
        <c:gapWidth val="16"/>
        <c:overlap val="-10"/>
        <c:axId val="617045576"/>
        <c:axId val="1"/>
      </c:barChart>
      <c:catAx>
        <c:axId val="6170455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576"/>
        <c:crossesAt val="1"/>
        <c:crossBetween val="between"/>
      </c:valAx>
      <c:spPr>
        <a:noFill/>
        <a:ln w="25400">
          <a:noFill/>
        </a:ln>
      </c:spPr>
    </c:plotArea>
    <c:legend>
      <c:legendPos val="r"/>
      <c:layout>
        <c:manualLayout>
          <c:xMode val="edge"/>
          <c:yMode val="edge"/>
          <c:x val="0.63552292862955451"/>
          <c:y val="0.19778535826344187"/>
          <c:w val="0.33996023856858848"/>
          <c:h val="0.1250006357861113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50102179502415E-2"/>
          <c:y val="0.19653179190751446"/>
          <c:w val="0.8459830649055099"/>
          <c:h val="0.50867052023121384"/>
        </c:manualLayout>
      </c:layout>
      <c:barChart>
        <c:barDir val="col"/>
        <c:grouping val="clustered"/>
        <c:varyColors val="0"/>
        <c:ser>
          <c:idx val="0"/>
          <c:order val="0"/>
          <c:tx>
            <c:v>Meta </c:v>
          </c:tx>
          <c:spPr>
            <a:solidFill>
              <a:srgbClr val="0066CC"/>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'Introducción de datos'!$H$129:$Q$129</c15:sqref>
                  </c15:fullRef>
                </c:ext>
              </c:extLst>
              <c:f>('Introducción de datos'!$H$129:$J$129,'Introducción de datos'!$P$129:$Q$129)</c:f>
              <c:numCache>
                <c:formatCode>General</c:formatCode>
                <c:ptCount val="5"/>
                <c:pt idx="0">
                  <c:v>2019</c:v>
                </c:pt>
                <c:pt idx="1">
                  <c:v>2020</c:v>
                </c:pt>
                <c:pt idx="2">
                  <c:v>2021</c:v>
                </c:pt>
                <c:pt idx="3">
                  <c:v>2022</c:v>
                </c:pt>
                <c:pt idx="4">
                  <c:v>2023</c:v>
                </c:pt>
                <c:pt idx="5">
                  <c:v>2024</c:v>
                </c:pt>
                <c:pt idx="6">
                  <c:v>2025</c:v>
                </c:pt>
              </c:numCache>
            </c:numRef>
          </c:cat>
          <c:val>
            <c:numRef>
              <c:extLst>
                <c:ext xmlns:c15="http://schemas.microsoft.com/office/drawing/2012/chart" uri="{02D57815-91ED-43cb-92C2-25804820EDAC}">
                  <c15:fullRef>
                    <c15:sqref>'Introducción de datos'!$H$131:$J$131</c15:sqref>
                  </c15:fullRef>
                </c:ext>
              </c:extLst>
              <c:f>'Introducción de datos'!$H$131:$J$131</c:f>
              <c:numCache>
                <c:formatCode>0.000%</c:formatCode>
                <c:ptCount val="3"/>
                <c:pt idx="0" formatCode="0.00%">
                  <c:v>0.55000000000000004</c:v>
                </c:pt>
                <c:pt idx="1">
                  <c:v>0.64993000000000001</c:v>
                </c:pt>
                <c:pt idx="2" formatCode="0.0%">
                  <c:v>0.75006784260515602</c:v>
                </c:pt>
              </c:numCache>
            </c:numRef>
          </c:val>
          <c:extLst>
            <c:ext xmlns:c16="http://schemas.microsoft.com/office/drawing/2014/chart" uri="{C3380CC4-5D6E-409C-BE32-E72D297353CC}">
              <c16:uniqueId val="{00000000-CE1B-4807-B791-2C3A4E67B4A4}"/>
            </c:ext>
          </c:extLst>
        </c:ser>
        <c:ser>
          <c:idx val="1"/>
          <c:order val="1"/>
          <c:tx>
            <c:v>Logro</c:v>
          </c:tx>
          <c:spPr>
            <a:solidFill>
              <a:srgbClr val="00CCFF"/>
            </a:solidFill>
            <a:ln w="12700">
              <a:solidFill>
                <a:srgbClr val="000000"/>
              </a:solidFill>
              <a:prstDash val="solid"/>
            </a:ln>
          </c:spPr>
          <c:invertIfNegative val="0"/>
          <c:dPt>
            <c:idx val="0"/>
            <c:invertIfNegative val="0"/>
            <c:bubble3D val="0"/>
            <c:spPr>
              <a:solidFill>
                <a:srgbClr val="00CCFF"/>
              </a:solidFill>
              <a:ln w="9525">
                <a:solidFill>
                  <a:srgbClr val="000000"/>
                </a:solidFill>
                <a:prstDash val="solid"/>
              </a:ln>
            </c:spPr>
            <c:extLst>
              <c:ext xmlns:c16="http://schemas.microsoft.com/office/drawing/2014/chart" uri="{C3380CC4-5D6E-409C-BE32-E72D297353CC}">
                <c16:uniqueId val="{00000000-BC03-484B-B1BA-B8A76EFFE6F6}"/>
              </c:ext>
            </c:extLst>
          </c:dPt>
          <c:dLbls>
            <c:dLbl>
              <c:idx val="1"/>
              <c:layout>
                <c:manualLayout>
                  <c:x val="5.5921672211354705E-3"/>
                  <c:y val="1.3213348331458277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881-4FD3-8831-94208820E9D6}"/>
                </c:ext>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'Introducción de datos'!$H$129:$Q$129</c15:sqref>
                  </c15:fullRef>
                </c:ext>
              </c:extLst>
              <c:f>('Introducción de datos'!$H$129:$J$129,'Introducción de datos'!$P$129:$Q$129)</c:f>
              <c:numCache>
                <c:formatCode>General</c:formatCode>
                <c:ptCount val="5"/>
                <c:pt idx="0">
                  <c:v>2019</c:v>
                </c:pt>
                <c:pt idx="1">
                  <c:v>2020</c:v>
                </c:pt>
                <c:pt idx="2">
                  <c:v>2021</c:v>
                </c:pt>
                <c:pt idx="3">
                  <c:v>2022</c:v>
                </c:pt>
                <c:pt idx="4">
                  <c:v>2023</c:v>
                </c:pt>
                <c:pt idx="5">
                  <c:v>2024</c:v>
                </c:pt>
                <c:pt idx="6">
                  <c:v>2025</c:v>
                </c:pt>
              </c:numCache>
            </c:numRef>
          </c:cat>
          <c:val>
            <c:numRef>
              <c:extLst>
                <c:ext xmlns:c15="http://schemas.microsoft.com/office/drawing/2012/chart" uri="{02D57815-91ED-43cb-92C2-25804820EDAC}">
                  <c15:fullRef>
                    <c15:sqref>'Introducción de datos'!$H$132:$J$132</c15:sqref>
                  </c15:fullRef>
                </c:ext>
              </c:extLst>
              <c:f>'Introducción de datos'!$H$132:$J$132</c:f>
              <c:numCache>
                <c:formatCode>0.000%</c:formatCode>
                <c:ptCount val="3"/>
                <c:pt idx="0" formatCode="0.00%">
                  <c:v>0.80989999999999995</c:v>
                </c:pt>
                <c:pt idx="1">
                  <c:v>0.786582</c:v>
                </c:pt>
                <c:pt idx="2" formatCode="0.0%">
                  <c:v>0.66768759571209801</c:v>
                </c:pt>
              </c:numCache>
            </c:numRef>
          </c:val>
          <c:extLst>
            <c:ext xmlns:c16="http://schemas.microsoft.com/office/drawing/2014/chart" uri="{C3380CC4-5D6E-409C-BE32-E72D297353CC}">
              <c16:uniqueId val="{00000001-CE1B-4807-B791-2C3A4E67B4A4}"/>
            </c:ext>
          </c:extLst>
        </c:ser>
        <c:dLbls>
          <c:showLegendKey val="0"/>
          <c:showVal val="0"/>
          <c:showCatName val="0"/>
          <c:showSerName val="0"/>
          <c:showPercent val="0"/>
          <c:showBubbleSize val="0"/>
        </c:dLbls>
        <c:gapWidth val="21"/>
        <c:overlap val="-10"/>
        <c:axId val="568487976"/>
        <c:axId val="1"/>
      </c:barChart>
      <c:catAx>
        <c:axId val="5684879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568487976"/>
        <c:crossesAt val="1"/>
        <c:crossBetween val="between"/>
      </c:valAx>
      <c:spPr>
        <a:noFill/>
        <a:ln w="25400">
          <a:noFill/>
        </a:ln>
      </c:spPr>
    </c:plotArea>
    <c:legend>
      <c:legendPos val="r"/>
      <c:layout>
        <c:manualLayout>
          <c:xMode val="edge"/>
          <c:yMode val="edge"/>
          <c:x val="0.36816840752048846"/>
          <c:y val="0.79339375629405828"/>
          <c:w val="0.24518206652739835"/>
          <c:h val="9.011172697068455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37569413997994"/>
          <c:y val="9.4995067260917804E-2"/>
          <c:w val="0.8172252684471486"/>
          <c:h val="0.71997496199456101"/>
        </c:manualLayout>
      </c:layout>
      <c:barChart>
        <c:barDir val="col"/>
        <c:grouping val="clustered"/>
        <c:varyColors val="0"/>
        <c:ser>
          <c:idx val="0"/>
          <c:order val="0"/>
          <c:tx>
            <c:v>PRESUPUESTO</c:v>
          </c:tx>
          <c:spPr>
            <a:solidFill>
              <a:srgbClr val="993366"/>
            </a:solidFill>
            <a:ln w="12700">
              <a:solidFill>
                <a:srgbClr val="000000"/>
              </a:solidFill>
              <a:prstDash val="solid"/>
            </a:ln>
          </c:spPr>
          <c:invertIfNegative val="0"/>
          <c:val>
            <c:numRef>
              <c:f>'[2]Introducción de datos'!$C$33:$N$33</c:f>
              <c:numCache>
                <c:formatCode>General</c:formatCode>
                <c:ptCount val="12"/>
                <c:pt idx="0">
                  <c:v>1721029</c:v>
                </c:pt>
                <c:pt idx="1">
                  <c:v>3110315</c:v>
                </c:pt>
                <c:pt idx="2">
                  <c:v>4242741</c:v>
                </c:pt>
              </c:numCache>
            </c:numRef>
          </c:val>
          <c:extLst>
            <c:ext xmlns:c16="http://schemas.microsoft.com/office/drawing/2014/chart" uri="{C3380CC4-5D6E-409C-BE32-E72D297353CC}">
              <c16:uniqueId val="{00000000-392B-40D6-BC0B-051025269B75}"/>
            </c:ext>
          </c:extLst>
        </c:ser>
        <c:ser>
          <c:idx val="1"/>
          <c:order val="1"/>
          <c:tx>
            <c:v>DESEMBOLSO</c:v>
          </c:tx>
          <c:spPr>
            <a:solidFill>
              <a:srgbClr val="0070C0"/>
            </a:solidFill>
            <a:ln w="12700">
              <a:solidFill>
                <a:srgbClr val="000000"/>
              </a:solidFill>
              <a:prstDash val="solid"/>
            </a:ln>
          </c:spPr>
          <c:invertIfNegative val="0"/>
          <c:val>
            <c:numRef>
              <c:f>'[2]Introducción de datos'!$C$34:$N$34</c:f>
              <c:numCache>
                <c:formatCode>General</c:formatCode>
                <c:ptCount val="12"/>
                <c:pt idx="0">
                  <c:v>1721029</c:v>
                </c:pt>
                <c:pt idx="1">
                  <c:v>3110315</c:v>
                </c:pt>
                <c:pt idx="2">
                  <c:v>4184306</c:v>
                </c:pt>
              </c:numCache>
            </c:numRef>
          </c:val>
          <c:extLst>
            <c:ext xmlns:c16="http://schemas.microsoft.com/office/drawing/2014/chart" uri="{C3380CC4-5D6E-409C-BE32-E72D297353CC}">
              <c16:uniqueId val="{00000001-392B-40D6-BC0B-051025269B75}"/>
            </c:ext>
          </c:extLst>
        </c:ser>
        <c:dLbls>
          <c:showLegendKey val="0"/>
          <c:showVal val="0"/>
          <c:showCatName val="0"/>
          <c:showSerName val="0"/>
          <c:showPercent val="0"/>
          <c:showBubbleSize val="0"/>
        </c:dLbls>
        <c:gapWidth val="70"/>
        <c:axId val="192562112"/>
        <c:axId val="1"/>
      </c:barChart>
      <c:catAx>
        <c:axId val="192562112"/>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00000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a:pPr>
            <a:endParaRPr lang="es-SV"/>
          </a:p>
        </c:txPr>
        <c:crossAx val="192562112"/>
        <c:crossesAt val="1"/>
        <c:crossBetween val="between"/>
      </c:valAx>
      <c:dTable>
        <c:showHorzBorder val="1"/>
        <c:showVertBorder val="1"/>
        <c:showOutline val="1"/>
        <c:showKeys val="1"/>
      </c:dTable>
      <c:spPr>
        <a:solidFill>
          <a:srgbClr val="FFFFFF"/>
        </a:solidFill>
        <a:ln w="12700">
          <a:solidFill>
            <a:srgbClr val="000000"/>
          </a:solidFill>
          <a:prstDash val="solid"/>
        </a:ln>
      </c:spPr>
    </c:plotArea>
    <c:plotVisOnly val="1"/>
    <c:dispBlanksAs val="gap"/>
    <c:showDLblsOverMax val="0"/>
  </c:chart>
  <c:spPr>
    <a:noFill/>
    <a:ln w="6350">
      <a:noFill/>
    </a:ln>
  </c:spPr>
  <c:txPr>
    <a:bodyPr/>
    <a:lstStyle/>
    <a:p>
      <a:pPr>
        <a:defRPr sz="8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75963140238728"/>
          <c:y val="7.2398190045248875E-2"/>
          <c:w val="0.70300816403328026"/>
          <c:h val="0.61085972850678738"/>
        </c:manualLayout>
      </c:layout>
      <c:barChart>
        <c:barDir val="col"/>
        <c:grouping val="clustered"/>
        <c:varyColors val="0"/>
        <c:ser>
          <c:idx val="0"/>
          <c:order val="0"/>
          <c:spPr>
            <a:solidFill>
              <a:srgbClr val="93CDDD"/>
            </a:solidFill>
            <a:ln w="12700">
              <a:solidFill>
                <a:srgbClr val="000000"/>
              </a:solidFill>
              <a:prstDash val="solid"/>
            </a:ln>
          </c:spPr>
          <c:invertIfNegative val="0"/>
          <c:dLbls>
            <c:dLbl>
              <c:idx val="0"/>
              <c:numFmt formatCode="_ [$$-240A]\ * #,##0.00_ ;_ [$$-240A]\ * \-#,##0.00_ ;_ [$$-240A]\ * \-??_ ;_ @_ " sourceLinked="0"/>
              <c:spPr>
                <a:noFill/>
                <a:ln w="25400">
                  <a:noFill/>
                </a:ln>
              </c:spPr>
              <c:txPr>
                <a:bodyPr/>
                <a:lstStyle/>
                <a:p>
                  <a:pPr>
                    <a:defRPr sz="1100" b="0"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A224-4FD2-9DA0-82A71BB73D69}"/>
                </c:ext>
              </c:extLst>
            </c:dLbl>
            <c:numFmt formatCode="_ [$$-240A]\ * #,##0.00_ ;_ [$$-240A]\ * \-#,##0.00_ ;_ [$$-240A]\ * \-??_ ;_ @_ " sourceLinked="0"/>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'[2]Introducción de datos'!$B$55:$B$58</c:f>
              <c:strCache>
                <c:ptCount val="4"/>
                <c:pt idx="0">
                  <c:v>Desembolsado por el FM al RP+Saldode caja del periodo anterios</c:v>
                </c:pt>
                <c:pt idx="1">
                  <c:v>Gasto* + Desembolso agentes*</c:v>
                </c:pt>
                <c:pt idx="2">
                  <c:v>Compromisos al 30 de Junio  MINSAL </c:v>
                </c:pt>
                <c:pt idx="3">
                  <c:v>Saldo en caja</c:v>
                </c:pt>
              </c:strCache>
            </c:strRef>
          </c:cat>
          <c:val>
            <c:numRef>
              <c:f>'[2]Introducción de datos'!$D$55:$D$58</c:f>
              <c:numCache>
                <c:formatCode>General</c:formatCode>
                <c:ptCount val="4"/>
                <c:pt idx="0">
                  <c:v>1233345.3900000001</c:v>
                </c:pt>
                <c:pt idx="1">
                  <c:v>1070977.08</c:v>
                </c:pt>
                <c:pt idx="2">
                  <c:v>83798</c:v>
                </c:pt>
                <c:pt idx="3">
                  <c:v>78570.310000000056</c:v>
                </c:pt>
              </c:numCache>
            </c:numRef>
          </c:val>
          <c:extLst>
            <c:ext xmlns:c16="http://schemas.microsoft.com/office/drawing/2014/chart" uri="{C3380CC4-5D6E-409C-BE32-E72D297353CC}">
              <c16:uniqueId val="{00000001-A224-4FD2-9DA0-82A71BB73D69}"/>
            </c:ext>
          </c:extLst>
        </c:ser>
        <c:dLbls>
          <c:showLegendKey val="0"/>
          <c:showVal val="0"/>
          <c:showCatName val="0"/>
          <c:showSerName val="0"/>
          <c:showPercent val="0"/>
          <c:showBubbleSize val="0"/>
        </c:dLbls>
        <c:gapWidth val="150"/>
        <c:axId val="526268576"/>
        <c:axId val="1"/>
      </c:barChart>
      <c:catAx>
        <c:axId val="526268576"/>
        <c:scaling>
          <c:orientation val="minMax"/>
        </c:scaling>
        <c:delete val="0"/>
        <c:axPos val="b"/>
        <c:numFmt formatCode="General" sourceLinked="1"/>
        <c:majorTickMark val="out"/>
        <c:minorTickMark val="none"/>
        <c:tickLblPos val="nextTo"/>
        <c:spPr>
          <a:ln w="12700">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808080"/>
              </a:solidFill>
              <a:prstDash val="solid"/>
            </a:ln>
          </c:spPr>
        </c:majorGridlines>
        <c:numFmt formatCode="[$$-340A]\ #,##0.00" sourceLinked="0"/>
        <c:majorTickMark val="out"/>
        <c:minorTickMark val="none"/>
        <c:tickLblPos val="nextTo"/>
        <c:spPr>
          <a:ln w="12700">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s-SV"/>
          </a:p>
        </c:txPr>
        <c:crossAx val="526268576"/>
        <c:crossesAt val="1"/>
        <c:crossBetween val="between"/>
      </c:valAx>
      <c:dTable>
        <c:showHorzBorder val="1"/>
        <c:showVertBorder val="1"/>
        <c:showOutline val="1"/>
        <c:showKeys val="1"/>
      </c:dTable>
      <c:spPr>
        <a:solidFill>
          <a:srgbClr val="FFFFFF"/>
        </a:solidFill>
        <a:ln w="25400">
          <a:noFill/>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9944546405382"/>
          <c:y val="0.10491803278688525"/>
          <c:w val="0.81391056381110249"/>
          <c:h val="0.77689230662185382"/>
        </c:manualLayout>
      </c:layout>
      <c:barChart>
        <c:barDir val="col"/>
        <c:grouping val="clustered"/>
        <c:varyColors val="0"/>
        <c:ser>
          <c:idx val="0"/>
          <c:order val="0"/>
          <c:spPr>
            <a:solidFill>
              <a:srgbClr val="ED7D31"/>
            </a:solidFill>
            <a:ln w="25400">
              <a:noFill/>
            </a:ln>
          </c:spPr>
          <c:invertIfNegative val="0"/>
          <c:dLbls>
            <c:dLbl>
              <c:idx val="3"/>
              <c:layout>
                <c:manualLayout>
                  <c:x val="-2.5062656641604928E-3"/>
                  <c:y val="-2.1658325084979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E7-431E-8376-5F25F9B1EAFA}"/>
                </c:ext>
              </c:extLst>
            </c:dLbl>
            <c:numFmt formatCode="_ [$$-240A]\ * #,##0.00_ ;_ [$$-240A]\ * \-#,##0.00_ ;_ [$$-240A]\ * \-??_ ;_ @_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'[2]Introducción de datos'!$B$60:$B$65</c:f>
              <c:strCache>
                <c:ptCount val="6"/>
                <c:pt idx="0">
                  <c:v>Desembolsado compras  PNUD</c:v>
                </c:pt>
                <c:pt idx="1">
                  <c:v>Gastos de los Agentes de Compra PNUD</c:v>
                </c:pt>
                <c:pt idx="2">
                  <c:v>Monto compras MINSAL</c:v>
                </c:pt>
                <c:pt idx="3">
                  <c:v>Gasto MINSAL</c:v>
                </c:pt>
                <c:pt idx="4">
                  <c:v>Desembolsado compras OPS</c:v>
                </c:pt>
                <c:pt idx="5">
                  <c:v>Gastos de los Agentes de Compra OPS</c:v>
                </c:pt>
              </c:strCache>
            </c:strRef>
          </c:cat>
          <c:val>
            <c:numRef>
              <c:f>'[2]Introducción de datos'!$E$60:$E$65</c:f>
              <c:numCache>
                <c:formatCode>General</c:formatCode>
                <c:ptCount val="6"/>
                <c:pt idx="0">
                  <c:v>2417567.9299999997</c:v>
                </c:pt>
                <c:pt idx="1">
                  <c:v>1469612.09</c:v>
                </c:pt>
                <c:pt idx="2">
                  <c:v>732084.92999999993</c:v>
                </c:pt>
                <c:pt idx="3">
                  <c:v>484006.22</c:v>
                </c:pt>
                <c:pt idx="4">
                  <c:v>1104244.07</c:v>
                </c:pt>
                <c:pt idx="5">
                  <c:v>1008210.32</c:v>
                </c:pt>
              </c:numCache>
            </c:numRef>
          </c:val>
          <c:extLst>
            <c:ext xmlns:c16="http://schemas.microsoft.com/office/drawing/2014/chart" uri="{C3380CC4-5D6E-409C-BE32-E72D297353CC}">
              <c16:uniqueId val="{00000001-3AE7-431E-8376-5F25F9B1EAFA}"/>
            </c:ext>
          </c:extLst>
        </c:ser>
        <c:dLbls>
          <c:showLegendKey val="0"/>
          <c:showVal val="0"/>
          <c:showCatName val="0"/>
          <c:showSerName val="0"/>
          <c:showPercent val="0"/>
          <c:showBubbleSize val="0"/>
        </c:dLbls>
        <c:gapWidth val="219"/>
        <c:overlap val="-27"/>
        <c:axId val="526269560"/>
        <c:axId val="1"/>
      </c:barChart>
      <c:catAx>
        <c:axId val="526269560"/>
        <c:scaling>
          <c:orientation val="minMax"/>
        </c:scaling>
        <c:delete val="0"/>
        <c:axPos val="b"/>
        <c:numFmt formatCode="General" sourceLinked="1"/>
        <c:majorTickMark val="none"/>
        <c:minorTickMark val="none"/>
        <c:tickLblPos val="nextTo"/>
        <c:spPr>
          <a:ln w="12700">
            <a:solidFill>
              <a:srgbClr val="D9D9D9"/>
            </a:solidFill>
            <a:prstDash val="solid"/>
          </a:ln>
        </c:spPr>
        <c:txPr>
          <a:bodyPr rot="0" vert="horz"/>
          <a:lstStyle/>
          <a:p>
            <a:pPr>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_ [$$-240A]\ * #,##0.00_ ;_ [$$-240A]\ * \-#,##0.00_ ;_ [$$-240A]\ * \-??_ ;_ @_ " sourceLinked="0"/>
        <c:majorTickMark val="none"/>
        <c:minorTickMark val="none"/>
        <c:tickLblPos val="nextTo"/>
        <c:spPr>
          <a:ln w="6350">
            <a:noFill/>
          </a:ln>
        </c:spPr>
        <c:txPr>
          <a:bodyPr rot="0" vert="horz"/>
          <a:lstStyle/>
          <a:p>
            <a:pPr>
              <a:defRPr/>
            </a:pPr>
            <a:endParaRPr lang="es-SV"/>
          </a:p>
        </c:txPr>
        <c:crossAx val="526269560"/>
        <c:crossesAt val="1"/>
        <c:crossBetween val="between"/>
      </c:valAx>
      <c:spPr>
        <a:solidFill>
          <a:srgbClr val="FFFFFF"/>
        </a:solid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2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3129387266462"/>
          <c:y val="0.2536249831930989"/>
          <c:w val="0.78260941802174833"/>
          <c:h val="0.2971035517404873"/>
        </c:manualLayout>
      </c:layout>
      <c:barChart>
        <c:barDir val="bar"/>
        <c:grouping val="percentStacked"/>
        <c:varyColors val="0"/>
        <c:ser>
          <c:idx val="0"/>
          <c:order val="0"/>
          <c:tx>
            <c:strRef>
              <c:f>'Introducción de datos'!$D$89</c:f>
              <c:strCache>
                <c:ptCount val="1"/>
                <c:pt idx="0">
                  <c:v> Cubiertos </c:v>
                </c:pt>
              </c:strCache>
            </c:strRef>
          </c:tx>
          <c:spPr>
            <a:solidFill>
              <a:srgbClr val="33CC33"/>
            </a:solidFill>
            <a:ln w="25400">
              <a:noFill/>
            </a:ln>
          </c:spPr>
          <c:invertIfNegative val="0"/>
          <c:dPt>
            <c:idx val="0"/>
            <c:invertIfNegative val="0"/>
            <c:bubble3D val="0"/>
            <c:spPr>
              <a:solidFill>
                <a:srgbClr val="99CC00"/>
              </a:solidFill>
              <a:ln w="25400">
                <a:noFill/>
              </a:ln>
            </c:spPr>
            <c:extLst>
              <c:ext xmlns:c16="http://schemas.microsoft.com/office/drawing/2014/chart" uri="{C3380CC4-5D6E-409C-BE32-E72D297353CC}">
                <c16:uniqueId val="{00000000-E6AF-4D8C-A322-570F36DC7BD4}"/>
              </c:ext>
            </c:extLst>
          </c:dPt>
          <c:dLbls>
            <c:dLbl>
              <c:idx val="0"/>
              <c:numFmt formatCode="General"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E6AF-4D8C-A322-570F36DC7BD4}"/>
                </c:ext>
              </c:extLst>
            </c:dLbl>
            <c:numFmt formatCode="General" sourceLinked="0"/>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datos'!$D$90</c:f>
              <c:numCache>
                <c:formatCode>General</c:formatCode>
                <c:ptCount val="1"/>
                <c:pt idx="0">
                  <c:v>3</c:v>
                </c:pt>
              </c:numCache>
            </c:numRef>
          </c:val>
          <c:extLst>
            <c:ext xmlns:c16="http://schemas.microsoft.com/office/drawing/2014/chart" uri="{C3380CC4-5D6E-409C-BE32-E72D297353CC}">
              <c16:uniqueId val="{00000001-E6AF-4D8C-A322-570F36DC7BD4}"/>
            </c:ext>
          </c:extLst>
        </c:ser>
        <c:ser>
          <c:idx val="1"/>
          <c:order val="1"/>
          <c:tx>
            <c:strRef>
              <c:f>'Introducción de datos'!$E$89</c:f>
              <c:strCache>
                <c:ptCount val="1"/>
                <c:pt idx="0">
                  <c:v> Vacantes </c:v>
                </c:pt>
              </c:strCache>
            </c:strRef>
          </c:tx>
          <c:spPr>
            <a:solidFill>
              <a:srgbClr val="FF5050"/>
            </a:solidFill>
            <a:ln w="25400">
              <a:noFill/>
            </a:ln>
          </c:spPr>
          <c:invertIfNegative val="0"/>
          <c:dLbls>
            <c:dLbl>
              <c:idx val="0"/>
              <c:numFmt formatCode="General" sourceLinked="0"/>
              <c:spPr>
                <a:noFill/>
                <a:ln w="25400">
                  <a:noFill/>
                </a:ln>
              </c:spPr>
              <c:txPr>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E6AF-4D8C-A322-570F36DC7BD4}"/>
                </c:ext>
              </c:extLst>
            </c:dLbl>
            <c:numFmt formatCode="General" sourceLinked="0"/>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datos'!$E$90</c:f>
              <c:numCache>
                <c:formatCode>General</c:formatCode>
                <c:ptCount val="1"/>
                <c:pt idx="0">
                  <c:v>0</c:v>
                </c:pt>
              </c:numCache>
            </c:numRef>
          </c:val>
          <c:extLst>
            <c:ext xmlns:c16="http://schemas.microsoft.com/office/drawing/2014/chart" uri="{C3380CC4-5D6E-409C-BE32-E72D297353CC}">
              <c16:uniqueId val="{00000003-E6AF-4D8C-A322-570F36DC7BD4}"/>
            </c:ext>
          </c:extLst>
        </c:ser>
        <c:dLbls>
          <c:showLegendKey val="0"/>
          <c:showVal val="0"/>
          <c:showCatName val="0"/>
          <c:showSerName val="0"/>
          <c:showPercent val="0"/>
          <c:showBubbleSize val="0"/>
        </c:dLbls>
        <c:gapWidth val="79"/>
        <c:overlap val="100"/>
        <c:axId val="532293648"/>
        <c:axId val="1"/>
      </c:barChart>
      <c:catAx>
        <c:axId val="532293648"/>
        <c:scaling>
          <c:orientation val="minMax"/>
        </c:scaling>
        <c:delete val="0"/>
        <c:axPos val="l"/>
        <c:majorTickMark val="out"/>
        <c:minorTickMark val="none"/>
        <c:tickLblPos val="none"/>
        <c:spPr>
          <a:ln w="12700">
            <a:solidFill>
              <a:srgbClr val="878787"/>
            </a:solidFill>
            <a:prstDash val="solid"/>
          </a:ln>
        </c:spPr>
        <c:crossAx val="1"/>
        <c:crosses val="autoZero"/>
        <c:auto val="1"/>
        <c:lblAlgn val="ctr"/>
        <c:lblOffset val="100"/>
        <c:tickMarkSkip val="1"/>
        <c:noMultiLvlLbl val="0"/>
      </c:catAx>
      <c:valAx>
        <c:axId val="1"/>
        <c:scaling>
          <c:orientation val="minMax"/>
        </c:scaling>
        <c:delete val="0"/>
        <c:axPos val="t"/>
        <c:majorGridlines>
          <c:spPr>
            <a:ln w="12700">
              <a:solidFill>
                <a:srgbClr val="808080"/>
              </a:solidFill>
              <a:prstDash val="solid"/>
            </a:ln>
          </c:spPr>
        </c:majorGridlines>
        <c:numFmt formatCode="0%" sourceLinked="0"/>
        <c:majorTickMark val="out"/>
        <c:minorTickMark val="none"/>
        <c:tickLblPos val="low"/>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532293648"/>
        <c:crosses val="max"/>
        <c:crossBetween val="between"/>
      </c:valAx>
      <c:spPr>
        <a:solidFill>
          <a:srgbClr val="FFFFFF"/>
        </a:solidFill>
        <a:ln w="25400">
          <a:noFill/>
        </a:ln>
      </c:spPr>
    </c:plotArea>
    <c:legend>
      <c:legendPos val="r"/>
      <c:layout>
        <c:manualLayout>
          <c:xMode val="edge"/>
          <c:yMode val="edge"/>
          <c:x val="0.23629511413700133"/>
          <c:y val="0.60145353157220593"/>
          <c:w val="0.43856373183827446"/>
          <c:h val="0.18116070228078493"/>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5976916366064"/>
          <c:y val="0.21243577061349025"/>
          <c:w val="0.83256973974356241"/>
          <c:h val="0.51295466562769598"/>
        </c:manualLayout>
      </c:layout>
      <c:barChart>
        <c:barDir val="col"/>
        <c:grouping val="clustered"/>
        <c:varyColors val="0"/>
        <c:ser>
          <c:idx val="0"/>
          <c:order val="0"/>
          <c:tx>
            <c:strRef>
              <c:f>'Introducción de datos'!$C$94</c:f>
              <c:strCache>
                <c:ptCount val="1"/>
                <c:pt idx="0">
                  <c:v> Identificados </c:v>
                </c:pt>
              </c:strCache>
            </c:strRef>
          </c:tx>
          <c:spPr>
            <a:solidFill>
              <a:srgbClr val="FFFFFF"/>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0-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datos'!$C$95</c:f>
              <c:numCache>
                <c:formatCode>General</c:formatCode>
                <c:ptCount val="1"/>
                <c:pt idx="0">
                  <c:v>0</c:v>
                </c:pt>
              </c:numCache>
            </c:numRef>
          </c:val>
          <c:extLst>
            <c:ext xmlns:c16="http://schemas.microsoft.com/office/drawing/2014/chart" uri="{C3380CC4-5D6E-409C-BE32-E72D297353CC}">
              <c16:uniqueId val="{00000001-7CF6-44CF-8614-98ADDE734B04}"/>
            </c:ext>
          </c:extLst>
        </c:ser>
        <c:ser>
          <c:idx val="1"/>
          <c:order val="1"/>
          <c:tx>
            <c:strRef>
              <c:f>'Introducción de datos'!$D$94</c:f>
              <c:strCache>
                <c:ptCount val="1"/>
                <c:pt idx="0">
                  <c:v> Evaluados </c:v>
                </c:pt>
              </c:strCache>
            </c:strRef>
          </c:tx>
          <c:spPr>
            <a:solidFill>
              <a:srgbClr val="F2F2F2"/>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2-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datos'!$D$95</c:f>
              <c:numCache>
                <c:formatCode>General</c:formatCode>
                <c:ptCount val="1"/>
                <c:pt idx="0">
                  <c:v>0</c:v>
                </c:pt>
              </c:numCache>
            </c:numRef>
          </c:val>
          <c:extLst>
            <c:ext xmlns:c16="http://schemas.microsoft.com/office/drawing/2014/chart" uri="{C3380CC4-5D6E-409C-BE32-E72D297353CC}">
              <c16:uniqueId val="{00000003-7CF6-44CF-8614-98ADDE734B04}"/>
            </c:ext>
          </c:extLst>
        </c:ser>
        <c:ser>
          <c:idx val="2"/>
          <c:order val="2"/>
          <c:tx>
            <c:strRef>
              <c:f>'Introducción de datos'!$E$94</c:f>
              <c:strCache>
                <c:ptCount val="1"/>
                <c:pt idx="0">
                  <c:v> Aprobados </c:v>
                </c:pt>
              </c:strCache>
            </c:strRef>
          </c:tx>
          <c:spPr>
            <a:solidFill>
              <a:srgbClr val="D9D9D9"/>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4-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datos'!$E$95</c:f>
              <c:numCache>
                <c:formatCode>General</c:formatCode>
                <c:ptCount val="1"/>
                <c:pt idx="0">
                  <c:v>0</c:v>
                </c:pt>
              </c:numCache>
            </c:numRef>
          </c:val>
          <c:extLst>
            <c:ext xmlns:c16="http://schemas.microsoft.com/office/drawing/2014/chart" uri="{C3380CC4-5D6E-409C-BE32-E72D297353CC}">
              <c16:uniqueId val="{00000005-7CF6-44CF-8614-98ADDE734B04}"/>
            </c:ext>
          </c:extLst>
        </c:ser>
        <c:ser>
          <c:idx val="3"/>
          <c:order val="3"/>
          <c:tx>
            <c:strRef>
              <c:f>'Introducción de datos'!$F$94</c:f>
              <c:strCache>
                <c:ptCount val="1"/>
                <c:pt idx="0">
                  <c:v> Firmados </c:v>
                </c:pt>
              </c:strCache>
            </c:strRef>
          </c:tx>
          <c:spPr>
            <a:solidFill>
              <a:srgbClr val="BFBFBF"/>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6-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datos'!$F$95</c:f>
              <c:numCache>
                <c:formatCode>General</c:formatCode>
                <c:ptCount val="1"/>
                <c:pt idx="0">
                  <c:v>0</c:v>
                </c:pt>
              </c:numCache>
            </c:numRef>
          </c:val>
          <c:extLst>
            <c:ext xmlns:c16="http://schemas.microsoft.com/office/drawing/2014/chart" uri="{C3380CC4-5D6E-409C-BE32-E72D297353CC}">
              <c16:uniqueId val="{00000007-7CF6-44CF-8614-98ADDE734B04}"/>
            </c:ext>
          </c:extLst>
        </c:ser>
        <c:ser>
          <c:idx val="4"/>
          <c:order val="4"/>
          <c:tx>
            <c:strRef>
              <c:f>'Introducción de datos'!$G$94</c:f>
              <c:strCache>
                <c:ptCount val="1"/>
                <c:pt idx="0">
                  <c:v> Que reciben financiación </c:v>
                </c:pt>
              </c:strCache>
            </c:strRef>
          </c:tx>
          <c:spPr>
            <a:solidFill>
              <a:srgbClr val="A6A6A6"/>
            </a:solidFill>
            <a:ln w="25400">
              <a:noFill/>
            </a:ln>
          </c:spPr>
          <c:invertIfNegative val="0"/>
          <c:dPt>
            <c:idx val="0"/>
            <c:invertIfNegative val="0"/>
            <c:bubble3D val="0"/>
            <c:spPr>
              <a:solidFill>
                <a:srgbClr val="A6A6A6"/>
              </a:solidFill>
              <a:ln w="12700">
                <a:solidFill>
                  <a:srgbClr val="000000"/>
                </a:solidFill>
                <a:prstDash val="solid"/>
              </a:ln>
            </c:spPr>
            <c:extLst>
              <c:ext xmlns:c16="http://schemas.microsoft.com/office/drawing/2014/chart" uri="{C3380CC4-5D6E-409C-BE32-E72D297353CC}">
                <c16:uniqueId val="{00000008-7CF6-44CF-8614-98ADDE734B04}"/>
              </c:ext>
            </c:extLst>
          </c:dPt>
          <c:dLbls>
            <c:dLbl>
              <c:idx val="0"/>
              <c:numFmt formatCode="General" sourceLinked="0"/>
              <c:spPr>
                <a:noFill/>
                <a:ln w="25400">
                  <a:noFill/>
                </a:ln>
              </c:spPr>
              <c:txPr>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8-7CF6-44CF-8614-98ADDE734B04}"/>
                </c:ext>
              </c:extLst>
            </c:dLbl>
            <c:numFmt formatCode="General"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datos'!$G$95</c:f>
              <c:numCache>
                <c:formatCode>General</c:formatCode>
                <c:ptCount val="1"/>
                <c:pt idx="0">
                  <c:v>0</c:v>
                </c:pt>
              </c:numCache>
            </c:numRef>
          </c:val>
          <c:extLst>
            <c:ext xmlns:c16="http://schemas.microsoft.com/office/drawing/2014/chart" uri="{C3380CC4-5D6E-409C-BE32-E72D297353CC}">
              <c16:uniqueId val="{00000009-7CF6-44CF-8614-98ADDE734B04}"/>
            </c:ext>
          </c:extLst>
        </c:ser>
        <c:dLbls>
          <c:showLegendKey val="0"/>
          <c:showVal val="0"/>
          <c:showCatName val="0"/>
          <c:showSerName val="0"/>
          <c:showPercent val="0"/>
          <c:showBubbleSize val="0"/>
        </c:dLbls>
        <c:gapWidth val="150"/>
        <c:overlap val="-20"/>
        <c:axId val="532291024"/>
        <c:axId val="1"/>
      </c:barChart>
      <c:catAx>
        <c:axId val="532291024"/>
        <c:scaling>
          <c:orientation val="minMax"/>
        </c:scaling>
        <c:delete val="0"/>
        <c:axPos val="b"/>
        <c:majorTickMark val="none"/>
        <c:minorTickMark val="none"/>
        <c:tickLblPos val="none"/>
        <c:spPr>
          <a:ln w="12700">
            <a:solidFill>
              <a:srgbClr val="000000"/>
            </a:solidFill>
            <a:prstDash val="solid"/>
          </a:ln>
        </c:spPr>
        <c:crossAx val="1"/>
        <c:crossesAt val="0"/>
        <c:auto val="0"/>
        <c:lblAlgn val="ctr"/>
        <c:lblOffset val="100"/>
        <c:tickMarkSkip val="1"/>
        <c:noMultiLvlLbl val="0"/>
      </c:catAx>
      <c:valAx>
        <c:axId val="1"/>
        <c:scaling>
          <c:orientation val="minMax"/>
        </c:scaling>
        <c:delete val="0"/>
        <c:axPos val="l"/>
        <c:numFmt formatCode="General"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532291024"/>
        <c:crosses val="autoZero"/>
        <c:crossBetween val="between"/>
      </c:valAx>
      <c:spPr>
        <a:noFill/>
        <a:ln w="25400">
          <a:noFill/>
        </a:ln>
      </c:spPr>
    </c:plotArea>
    <c:legend>
      <c:legendPos val="r"/>
      <c:layout>
        <c:manualLayout>
          <c:xMode val="edge"/>
          <c:yMode val="edge"/>
          <c:x val="1.146790275128874E-2"/>
          <c:y val="0.70466499520572379"/>
          <c:w val="0.99312037826160482"/>
          <c:h val="0.15025944750710288"/>
        </c:manualLayout>
      </c:layout>
      <c:overlay val="0"/>
      <c:spPr>
        <a:noFill/>
        <a:ln w="25400">
          <a:noFill/>
        </a:ln>
      </c:spPr>
      <c:txPr>
        <a:bodyPr/>
        <a:lstStyle/>
        <a:p>
          <a:pPr>
            <a:defRPr sz="585"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74789915966388"/>
          <c:y val="0.13793149896113605"/>
          <c:w val="0.50630252100840334"/>
          <c:h val="0.44138079667563535"/>
        </c:manualLayout>
      </c:layout>
      <c:barChart>
        <c:barDir val="bar"/>
        <c:grouping val="percentStacked"/>
        <c:varyColors val="0"/>
        <c:ser>
          <c:idx val="0"/>
          <c:order val="0"/>
          <c:tx>
            <c:v>Para el periodo</c:v>
          </c:tx>
          <c:spPr>
            <a:solidFill>
              <a:srgbClr val="99CC00"/>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datos'!$D$83:$D$84</c:f>
              <c:numCache>
                <c:formatCode>0</c:formatCode>
                <c:ptCount val="2"/>
                <c:pt idx="0">
                  <c:v>0</c:v>
                </c:pt>
                <c:pt idx="1">
                  <c:v>3</c:v>
                </c:pt>
              </c:numCache>
            </c:numRef>
          </c:val>
          <c:extLst>
            <c:ext xmlns:c16="http://schemas.microsoft.com/office/drawing/2014/chart" uri="{C3380CC4-5D6E-409C-BE32-E72D297353CC}">
              <c16:uniqueId val="{00000000-D2FE-4E5C-91B7-7A1E71B6CD62}"/>
            </c:ext>
          </c:extLst>
        </c:ser>
        <c:ser>
          <c:idx val="1"/>
          <c:order val="1"/>
          <c:tx>
            <c:v>Cumplidas</c:v>
          </c:tx>
          <c:spPr>
            <a:solidFill>
              <a:srgbClr val="FFFF99"/>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datos'!$E$83:$E$84</c:f>
              <c:numCache>
                <c:formatCode>0</c:formatCode>
                <c:ptCount val="2"/>
                <c:pt idx="0">
                  <c:v>0</c:v>
                </c:pt>
                <c:pt idx="1">
                  <c:v>3</c:v>
                </c:pt>
              </c:numCache>
            </c:numRef>
          </c:val>
          <c:extLst>
            <c:ext xmlns:c16="http://schemas.microsoft.com/office/drawing/2014/chart" uri="{C3380CC4-5D6E-409C-BE32-E72D297353CC}">
              <c16:uniqueId val="{00000001-D2FE-4E5C-91B7-7A1E71B6CD62}"/>
            </c:ext>
          </c:extLst>
        </c:ser>
        <c:ser>
          <c:idx val="2"/>
          <c:order val="2"/>
          <c:tx>
            <c:v>No cumplidas, aunque dentro de plazo</c:v>
          </c:tx>
          <c:spPr>
            <a:solidFill>
              <a:srgbClr val="FF5050"/>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datos'!$F$83:$F$84</c:f>
              <c:numCache>
                <c:formatCode>0</c:formatCode>
                <c:ptCount val="2"/>
                <c:pt idx="0">
                  <c:v>0</c:v>
                </c:pt>
                <c:pt idx="1">
                  <c:v>0</c:v>
                </c:pt>
              </c:numCache>
            </c:numRef>
          </c:val>
          <c:extLst>
            <c:ext xmlns:c16="http://schemas.microsoft.com/office/drawing/2014/chart" uri="{C3380CC4-5D6E-409C-BE32-E72D297353CC}">
              <c16:uniqueId val="{00000002-D2FE-4E5C-91B7-7A1E71B6CD62}"/>
            </c:ext>
          </c:extLst>
        </c:ser>
        <c:dLbls>
          <c:showLegendKey val="0"/>
          <c:showVal val="0"/>
          <c:showCatName val="0"/>
          <c:showSerName val="0"/>
          <c:showPercent val="0"/>
          <c:showBubbleSize val="0"/>
        </c:dLbls>
        <c:gapWidth val="70"/>
        <c:overlap val="100"/>
        <c:axId val="612630592"/>
        <c:axId val="1"/>
      </c:barChart>
      <c:catAx>
        <c:axId val="612630592"/>
        <c:scaling>
          <c:orientation val="minMax"/>
        </c:scaling>
        <c:delete val="0"/>
        <c:axPos val="l"/>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b"/>
        <c:majorGridlines>
          <c:spPr>
            <a:ln w="12700">
              <a:solidFill>
                <a:srgbClr val="00000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612630592"/>
        <c:crossesAt val="1"/>
        <c:crossBetween val="between"/>
      </c:valAx>
      <c:spPr>
        <a:noFill/>
        <a:ln w="25400">
          <a:noFill/>
        </a:ln>
      </c:spPr>
    </c:plotArea>
    <c:legend>
      <c:legendPos val="r"/>
      <c:layout>
        <c:manualLayout>
          <c:xMode val="edge"/>
          <c:yMode val="edge"/>
          <c:x val="1.050420168067227E-2"/>
          <c:y val="0.75632401122273518"/>
          <c:w val="0.98949579831932777"/>
          <c:h val="0.17241437370142007"/>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05808353384019"/>
          <c:y val="0.17010309278350516"/>
          <c:w val="0.5594859697532294"/>
          <c:h val="0.4484536082474227"/>
        </c:manualLayout>
      </c:layout>
      <c:barChart>
        <c:barDir val="bar"/>
        <c:grouping val="percentStacked"/>
        <c:varyColors val="0"/>
        <c:ser>
          <c:idx val="0"/>
          <c:order val="0"/>
          <c:tx>
            <c:strRef>
              <c:f>'Introducción de datos'!$D$99</c:f>
              <c:strCache>
                <c:ptCount val="1"/>
                <c:pt idx="0">
                  <c:v> Recibidos </c:v>
                </c:pt>
              </c:strCache>
            </c:strRef>
          </c:tx>
          <c:spPr>
            <a:solidFill>
              <a:srgbClr val="99CC00"/>
            </a:solidFill>
            <a:ln w="25400">
              <a:noFill/>
            </a:ln>
          </c:spPr>
          <c:invertIfNegative val="0"/>
          <c:dLbls>
            <c:numFmt formatCode="0" sourceLinked="0"/>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datos'!$B$100:$B$101</c:f>
              <c:strCache>
                <c:ptCount val="2"/>
                <c:pt idx="0">
                  <c:v> Sub SR al SR </c:v>
                </c:pt>
                <c:pt idx="1">
                  <c:v> Personal Técnico al RP </c:v>
                </c:pt>
              </c:strCache>
            </c:strRef>
          </c:cat>
          <c:val>
            <c:numRef>
              <c:f>'Introducción de datos'!$D$100:$D$101</c:f>
              <c:numCache>
                <c:formatCode>0</c:formatCode>
                <c:ptCount val="2"/>
              </c:numCache>
            </c:numRef>
          </c:val>
          <c:extLst>
            <c:ext xmlns:c16="http://schemas.microsoft.com/office/drawing/2014/chart" uri="{C3380CC4-5D6E-409C-BE32-E72D297353CC}">
              <c16:uniqueId val="{00000000-33B4-419C-A302-EE1D67A3FB71}"/>
            </c:ext>
          </c:extLst>
        </c:ser>
        <c:ser>
          <c:idx val="1"/>
          <c:order val="1"/>
          <c:tx>
            <c:strRef>
              <c:f>'Introducción de datos'!$E$99</c:f>
              <c:strCache>
                <c:ptCount val="1"/>
                <c:pt idx="0">
                  <c:v> Pendientes </c:v>
                </c:pt>
              </c:strCache>
            </c:strRef>
          </c:tx>
          <c:spPr>
            <a:solidFill>
              <a:srgbClr val="FF5050"/>
            </a:solidFill>
            <a:ln w="25400">
              <a:noFill/>
            </a:ln>
          </c:spPr>
          <c:invertIfNegative val="0"/>
          <c:dLbls>
            <c:dLbl>
              <c:idx val="0"/>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1-33B4-419C-A302-EE1D67A3FB71}"/>
                </c:ext>
              </c:extLst>
            </c:dLbl>
            <c:dLbl>
              <c:idx val="1"/>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33B4-419C-A302-EE1D67A3FB71}"/>
                </c:ext>
              </c:extLst>
            </c:dLbl>
            <c:numFmt formatCode="0" sourceLinked="0"/>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datos'!$B$100:$B$101</c:f>
              <c:strCache>
                <c:ptCount val="2"/>
                <c:pt idx="0">
                  <c:v> Sub SR al SR </c:v>
                </c:pt>
                <c:pt idx="1">
                  <c:v> Personal Técnico al RP </c:v>
                </c:pt>
              </c:strCache>
            </c:strRef>
          </c:cat>
          <c:val>
            <c:numRef>
              <c:f>'Introducción de datos'!$E$100:$E$101</c:f>
              <c:numCache>
                <c:formatCode>0</c:formatCode>
                <c:ptCount val="2"/>
                <c:pt idx="0">
                  <c:v>0</c:v>
                </c:pt>
                <c:pt idx="1">
                  <c:v>0</c:v>
                </c:pt>
              </c:numCache>
            </c:numRef>
          </c:val>
          <c:extLst>
            <c:ext xmlns:c16="http://schemas.microsoft.com/office/drawing/2014/chart" uri="{C3380CC4-5D6E-409C-BE32-E72D297353CC}">
              <c16:uniqueId val="{00000003-33B4-419C-A302-EE1D67A3FB71}"/>
            </c:ext>
          </c:extLst>
        </c:ser>
        <c:dLbls>
          <c:showLegendKey val="0"/>
          <c:showVal val="0"/>
          <c:showCatName val="0"/>
          <c:showSerName val="0"/>
          <c:showPercent val="0"/>
          <c:showBubbleSize val="0"/>
        </c:dLbls>
        <c:gapWidth val="79"/>
        <c:overlap val="100"/>
        <c:axId val="612631576"/>
        <c:axId val="1"/>
      </c:barChart>
      <c:catAx>
        <c:axId val="612631576"/>
        <c:scaling>
          <c:orientation val="minMax"/>
        </c:scaling>
        <c:delete val="0"/>
        <c:axPos val="l"/>
        <c:numFmt formatCode="General" sourceLinked="1"/>
        <c:majorTickMark val="out"/>
        <c:minorTickMark val="none"/>
        <c:tickLblPos val="nextTo"/>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1"/>
        <c:crosses val="autoZero"/>
        <c:auto val="1"/>
        <c:lblAlgn val="ctr"/>
        <c:lblOffset val="100"/>
        <c:tickLblSkip val="1"/>
        <c:tickMarkSkip val="1"/>
        <c:noMultiLvlLbl val="0"/>
      </c:catAx>
      <c:valAx>
        <c:axId val="1"/>
        <c:scaling>
          <c:orientation val="minMax"/>
        </c:scaling>
        <c:delete val="0"/>
        <c:axPos val="t"/>
        <c:majorGridlines>
          <c:spPr>
            <a:ln w="12700">
              <a:solidFill>
                <a:srgbClr val="808080"/>
              </a:solidFill>
              <a:prstDash val="solid"/>
            </a:ln>
          </c:spPr>
        </c:majorGridlines>
        <c:numFmt formatCode="0%" sourceLinked="0"/>
        <c:majorTickMark val="out"/>
        <c:minorTickMark val="none"/>
        <c:tickLblPos val="low"/>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612631576"/>
        <c:crosses val="max"/>
        <c:crossBetween val="between"/>
      </c:valAx>
      <c:spPr>
        <a:solidFill>
          <a:srgbClr val="FFFFFF"/>
        </a:solidFill>
        <a:ln w="25400">
          <a:noFill/>
        </a:ln>
      </c:spPr>
    </c:plotArea>
    <c:legend>
      <c:legendPos val="r"/>
      <c:layout>
        <c:manualLayout>
          <c:xMode val="edge"/>
          <c:yMode val="edge"/>
          <c:x val="0.30195919627693596"/>
          <c:y val="0.76465120238348572"/>
          <c:w val="0.37625020401861531"/>
          <c:h val="0.16490203589416189"/>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46719961797867"/>
          <c:y val="0.19753205495307047"/>
          <c:w val="0.70704921858783321"/>
          <c:h val="0.38889123318885749"/>
        </c:manualLayout>
      </c:layout>
      <c:lineChart>
        <c:grouping val="standard"/>
        <c:varyColors val="0"/>
        <c:ser>
          <c:idx val="0"/>
          <c:order val="0"/>
          <c:spPr>
            <a:ln w="38100">
              <a:solidFill>
                <a:srgbClr val="000080"/>
              </a:solidFill>
              <a:prstDash val="solid"/>
            </a:ln>
          </c:spPr>
          <c:marker>
            <c:symbol val="diamond"/>
            <c:size val="6"/>
            <c:spPr>
              <a:solidFill>
                <a:srgbClr val="000080"/>
              </a:solidFill>
              <a:ln>
                <a:solidFill>
                  <a:srgbClr val="000080"/>
                </a:solidFill>
                <a:prstDash val="solid"/>
              </a:ln>
            </c:spPr>
          </c:marker>
          <c:val>
            <c:numRef>
              <c:f>'Introducción de datos'!$C$109:$N$109</c:f>
              <c:numCache>
                <c:formatCode>_(\$* #,##0.00_);_(\$* \(#,##0.00\);_(\$* \-??_);_(@_)</c:formatCode>
                <c:ptCount val="12"/>
                <c:pt idx="0">
                  <c:v>0</c:v>
                </c:pt>
                <c:pt idx="1">
                  <c:v>0</c:v>
                </c:pt>
                <c:pt idx="2">
                  <c:v>0</c:v>
                </c:pt>
                <c:pt idx="3">
                  <c:v>0</c:v>
                </c:pt>
                <c:pt idx="9" formatCode="#.##0">
                  <c:v>0</c:v>
                </c:pt>
                <c:pt idx="10" formatCode="#.##0">
                  <c:v>0</c:v>
                </c:pt>
                <c:pt idx="11" formatCode="#.##0">
                  <c:v>0</c:v>
                </c:pt>
              </c:numCache>
            </c:numRef>
          </c:val>
          <c:smooth val="0"/>
          <c:extLst>
            <c:ext xmlns:c16="http://schemas.microsoft.com/office/drawing/2014/chart" uri="{C3380CC4-5D6E-409C-BE32-E72D297353CC}">
              <c16:uniqueId val="{00000000-99CD-4912-AB20-657A9F56680B}"/>
            </c:ext>
          </c:extLst>
        </c:ser>
        <c:ser>
          <c:idx val="1"/>
          <c:order val="1"/>
          <c:spPr>
            <a:ln w="12700">
              <a:solidFill>
                <a:srgbClr val="3366FF"/>
              </a:solidFill>
              <a:prstDash val="solid"/>
            </a:ln>
          </c:spPr>
          <c:marker>
            <c:symbol val="square"/>
            <c:size val="5"/>
            <c:spPr>
              <a:solidFill>
                <a:srgbClr val="3366FF"/>
              </a:solidFill>
              <a:ln>
                <a:solidFill>
                  <a:srgbClr val="3366FF"/>
                </a:solidFill>
                <a:prstDash val="solid"/>
              </a:ln>
            </c:spPr>
          </c:marker>
          <c:val>
            <c:numRef>
              <c:f>'Introducción de datos'!$C$110:$N$110</c:f>
              <c:numCache>
                <c:formatCode>_(\$* #,##0.00_);_(\$* \(#,##0.00\);_(\$* \-??_);_(@_)</c:formatCode>
                <c:ptCount val="12"/>
                <c:pt idx="0">
                  <c:v>0</c:v>
                </c:pt>
                <c:pt idx="1">
                  <c:v>0</c:v>
                </c:pt>
                <c:pt idx="2">
                  <c:v>0</c:v>
                </c:pt>
                <c:pt idx="3">
                  <c:v>0</c:v>
                </c:pt>
                <c:pt idx="9" formatCode="#.##0">
                  <c:v>0</c:v>
                </c:pt>
                <c:pt idx="10" formatCode="#.##0">
                  <c:v>0</c:v>
                </c:pt>
                <c:pt idx="11" formatCode="#.##0">
                  <c:v>0</c:v>
                </c:pt>
              </c:numCache>
            </c:numRef>
          </c:val>
          <c:smooth val="0"/>
          <c:extLst>
            <c:ext xmlns:c16="http://schemas.microsoft.com/office/drawing/2014/chart" uri="{C3380CC4-5D6E-409C-BE32-E72D297353CC}">
              <c16:uniqueId val="{00000001-99CD-4912-AB20-657A9F56680B}"/>
            </c:ext>
          </c:extLst>
        </c:ser>
        <c:ser>
          <c:idx val="2"/>
          <c:order val="2"/>
          <c:spPr>
            <a:ln w="38100">
              <a:solidFill>
                <a:srgbClr val="FFCC99"/>
              </a:solidFill>
              <a:prstDash val="solid"/>
            </a:ln>
          </c:spPr>
          <c:marker>
            <c:symbol val="triangle"/>
            <c:size val="5"/>
            <c:spPr>
              <a:solidFill>
                <a:srgbClr val="FFCC99"/>
              </a:solidFill>
              <a:ln>
                <a:solidFill>
                  <a:srgbClr val="FFCC99"/>
                </a:solidFill>
                <a:prstDash val="solid"/>
              </a:ln>
            </c:spPr>
          </c:marker>
          <c:val>
            <c:numRef>
              <c:f>'Introducción de datos'!$C$111:$N$111</c:f>
              <c:numCache>
                <c:formatCode>_(\$* #,##0.00_);_(\$* \(#,##0.00\);_(\$* \-??_);_(@_)</c:formatCode>
                <c:ptCount val="12"/>
                <c:pt idx="0">
                  <c:v>0</c:v>
                </c:pt>
                <c:pt idx="1">
                  <c:v>0</c:v>
                </c:pt>
                <c:pt idx="2">
                  <c:v>0</c:v>
                </c:pt>
                <c:pt idx="3">
                  <c:v>0</c:v>
                </c:pt>
                <c:pt idx="9" formatCode="#.##0">
                  <c:v>0</c:v>
                </c:pt>
                <c:pt idx="10" formatCode="#.##0">
                  <c:v>0</c:v>
                </c:pt>
                <c:pt idx="11" formatCode="#.##0">
                  <c:v>0</c:v>
                </c:pt>
              </c:numCache>
            </c:numRef>
          </c:val>
          <c:smooth val="0"/>
          <c:extLst>
            <c:ext xmlns:c16="http://schemas.microsoft.com/office/drawing/2014/chart" uri="{C3380CC4-5D6E-409C-BE32-E72D297353CC}">
              <c16:uniqueId val="{00000002-99CD-4912-AB20-657A9F56680B}"/>
            </c:ext>
          </c:extLst>
        </c:ser>
        <c:dLbls>
          <c:showLegendKey val="0"/>
          <c:showVal val="0"/>
          <c:showCatName val="0"/>
          <c:showSerName val="0"/>
          <c:showPercent val="0"/>
          <c:showBubbleSize val="0"/>
        </c:dLbls>
        <c:marker val="1"/>
        <c:smooth val="0"/>
        <c:axId val="617043280"/>
        <c:axId val="1"/>
      </c:lineChart>
      <c:catAx>
        <c:axId val="61704328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000000"/>
              </a:solidFill>
              <a:prstDash val="solid"/>
            </a:ln>
          </c:spPr>
        </c:majorGridlines>
        <c:numFmt formatCode="_([$$-440A]* #,##0.00_);_([$$-440A]* \(#,##0.00\);_([$$-440A]* \-??_);_(@_)" sourceLinked="0"/>
        <c:majorTickMark val="out"/>
        <c:minorTickMark val="none"/>
        <c:tickLblPos val="nextTo"/>
        <c:spPr>
          <a:ln w="12700">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s-SV"/>
          </a:p>
        </c:txPr>
        <c:crossAx val="617043280"/>
        <c:crossesAt val="1"/>
        <c:crossBetween val="midCat"/>
      </c:valAx>
      <c:spPr>
        <a:solidFill>
          <a:srgbClr val="FFFFFF"/>
        </a:solidFill>
        <a:ln w="12700">
          <a:solidFill>
            <a:srgbClr val="808080"/>
          </a:solidFill>
          <a:prstDash val="solid"/>
        </a:ln>
      </c:spPr>
    </c:plotArea>
    <c:legend>
      <c:legendPos val="r"/>
      <c:layout>
        <c:manualLayout>
          <c:xMode val="edge"/>
          <c:yMode val="edge"/>
          <c:x val="1.101322770386033E-2"/>
          <c:y val="0.6234605484456287"/>
          <c:w val="0.88766615293114259"/>
          <c:h val="0.20370493167035392"/>
        </c:manualLayout>
      </c:layout>
      <c:overlay val="0"/>
      <c:spPr>
        <a:noFill/>
        <a:ln w="25400">
          <a:noFill/>
        </a:ln>
      </c:spPr>
      <c:txPr>
        <a:bodyPr/>
        <a:lstStyle/>
        <a:p>
          <a:pPr>
            <a:defRPr sz="45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formaci&#243;n de la subvenci&#243;n'!A1"/><Relationship Id="rId13" Type="http://schemas.openxmlformats.org/officeDocument/2006/relationships/image" Target="../media/image5.png"/><Relationship Id="rId3" Type="http://schemas.openxmlformats.org/officeDocument/2006/relationships/hyperlink" Target="#Financiamiento!A1"/><Relationship Id="rId7" Type="http://schemas.openxmlformats.org/officeDocument/2006/relationships/hyperlink" Target="#Accione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endaciones!A1"/><Relationship Id="rId11" Type="http://schemas.openxmlformats.org/officeDocument/2006/relationships/image" Target="../media/image3.png"/><Relationship Id="rId5" Type="http://schemas.openxmlformats.org/officeDocument/2006/relationships/hyperlink" Target="#Gesti&#243;n!A1"/><Relationship Id="rId10" Type="http://schemas.openxmlformats.org/officeDocument/2006/relationships/hyperlink" Target="#'Introducci&#243;n de datos'!A1"/><Relationship Id="rId4" Type="http://schemas.openxmlformats.org/officeDocument/2006/relationships/hyperlink" Target="#Programatico!A1"/><Relationship Id="rId9" Type="http://schemas.openxmlformats.org/officeDocument/2006/relationships/hyperlink" Target="#'Lista de indicadores'!A1"/></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250;!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Men&#250;!A1"/><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Men&#250;!A1"/><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hyperlink" Target="#Men&#250;!A1"/></Relationships>
</file>

<file path=xl/drawings/_rels/drawing9.xml.rels><?xml version="1.0" encoding="UTF-8" standalone="yes"?>
<Relationships xmlns="http://schemas.openxmlformats.org/package/2006/relationships"><Relationship Id="rId1"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133350</xdr:rowOff>
    </xdr:from>
    <xdr:to>
      <xdr:col>11</xdr:col>
      <xdr:colOff>676275</xdr:colOff>
      <xdr:row>19</xdr:row>
      <xdr:rowOff>85725</xdr:rowOff>
    </xdr:to>
    <xdr:pic>
      <xdr:nvPicPr>
        <xdr:cNvPr id="1025" name="Picture 2">
          <a:extLst>
            <a:ext uri="{FF2B5EF4-FFF2-40B4-BE49-F238E27FC236}">
              <a16:creationId xmlns:a16="http://schemas.microsoft.com/office/drawing/2014/main" id="{ACFB46DF-D3B0-4C30-B378-797BD83A4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351" t="36850" r="9526"/>
        <a:stretch>
          <a:fillRect/>
        </a:stretch>
      </xdr:blipFill>
      <xdr:spPr bwMode="auto">
        <a:xfrm>
          <a:off x="57150" y="1371600"/>
          <a:ext cx="7658100" cy="28098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31351" t="36850" r="9526"/>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695325</xdr:colOff>
      <xdr:row>7</xdr:row>
      <xdr:rowOff>38100</xdr:rowOff>
    </xdr:from>
    <xdr:to>
      <xdr:col>11</xdr:col>
      <xdr:colOff>581025</xdr:colOff>
      <xdr:row>18</xdr:row>
      <xdr:rowOff>133350</xdr:rowOff>
    </xdr:to>
    <xdr:pic>
      <xdr:nvPicPr>
        <xdr:cNvPr id="1026" name="Picture 824">
          <a:extLst>
            <a:ext uri="{FF2B5EF4-FFF2-40B4-BE49-F238E27FC236}">
              <a16:creationId xmlns:a16="http://schemas.microsoft.com/office/drawing/2014/main" id="{B1916C4B-8973-4EB9-B716-5A674224EF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847850"/>
          <a:ext cx="2276475" cy="21907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276225</xdr:colOff>
      <xdr:row>7</xdr:row>
      <xdr:rowOff>85725</xdr:rowOff>
    </xdr:from>
    <xdr:to>
      <xdr:col>7</xdr:col>
      <xdr:colOff>571500</xdr:colOff>
      <xdr:row>18</xdr:row>
      <xdr:rowOff>38100</xdr:rowOff>
    </xdr:to>
    <xdr:sp macro="" textlink="">
      <xdr:nvSpPr>
        <xdr:cNvPr id="1027" name="AutoShape 27">
          <a:extLst>
            <a:ext uri="{FF2B5EF4-FFF2-40B4-BE49-F238E27FC236}">
              <a16:creationId xmlns:a16="http://schemas.microsoft.com/office/drawing/2014/main" id="{CC7591F8-63D7-47F2-BA74-82A441DF2132}"/>
            </a:ext>
          </a:extLst>
        </xdr:cNvPr>
        <xdr:cNvSpPr>
          <a:spLocks noChangeArrowheads="1"/>
        </xdr:cNvSpPr>
      </xdr:nvSpPr>
      <xdr:spPr bwMode="auto">
        <a:xfrm>
          <a:off x="2638425" y="1895475"/>
          <a:ext cx="2581275" cy="2047875"/>
        </a:xfrm>
        <a:custGeom>
          <a:avLst/>
          <a:gdLst>
            <a:gd name="G0" fmla="*/ 1 0 0"/>
            <a:gd name="G1" fmla="+- G0 0 13375"/>
            <a:gd name="G2" fmla="*/ 1 0 0"/>
            <a:gd name="G3" fmla="+- 50000 0 13375"/>
            <a:gd name="G4" fmla="?: G3 13375 50000"/>
            <a:gd name="G5" fmla="?: G1 G2 G3"/>
            <a:gd name="G6" fmla="min 7562 5693"/>
            <a:gd name="G7" fmla="*/ G6 G5 1"/>
            <a:gd name="G8" fmla="*/ G7 1 34464"/>
            <a:gd name="G9" fmla="+- 7562 0 G8"/>
            <a:gd name="G10" fmla="+- 5693 0 G8"/>
            <a:gd name="G11" fmla="*/ G8 29289 1"/>
            <a:gd name="G12" fmla="*/ G11 1 34464"/>
            <a:gd name="G13" fmla="+- 7562 0 G12"/>
            <a:gd name="G14" fmla="+- 5693 0 G12"/>
            <a:gd name="G15" fmla="*/ 7562 1 2"/>
            <a:gd name="G16" fmla="*/ 5693 1 2"/>
            <a:gd name="G17" fmla="+- 5693 0 0"/>
            <a:gd name="G18" fmla="+- 7562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6050"/>
              </a:moveTo>
              <a:lnTo>
                <a:pt x="6050" y="6050"/>
              </a:lnTo>
              <a:lnTo>
                <a:pt x="180" y="90"/>
              </a:lnTo>
              <a:lnTo>
                <a:pt x="1512" y="0"/>
              </a:lnTo>
              <a:lnTo>
                <a:pt x="6050" y="6050"/>
              </a:lnTo>
              <a:lnTo>
                <a:pt x="270" y="90"/>
              </a:lnTo>
              <a:lnTo>
                <a:pt x="7562" y="-357"/>
              </a:lnTo>
              <a:lnTo>
                <a:pt x="6050" y="6050"/>
              </a:lnTo>
              <a:close/>
            </a:path>
          </a:pathLst>
        </a:custGeom>
        <a:gradFill rotWithShape="0">
          <a:gsLst>
            <a:gs pos="0">
              <a:srgbClr val="D48886"/>
            </a:gs>
            <a:gs pos="100000">
              <a:srgbClr val="B24B48"/>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10</xdr:row>
      <xdr:rowOff>38100</xdr:rowOff>
    </xdr:from>
    <xdr:to>
      <xdr:col>6</xdr:col>
      <xdr:colOff>609600</xdr:colOff>
      <xdr:row>12</xdr:row>
      <xdr:rowOff>28575</xdr:rowOff>
    </xdr:to>
    <xdr:sp macro="" textlink="">
      <xdr:nvSpPr>
        <xdr:cNvPr id="1028" name="AutoShape 26">
          <a:extLst>
            <a:ext uri="{FF2B5EF4-FFF2-40B4-BE49-F238E27FC236}">
              <a16:creationId xmlns:a16="http://schemas.microsoft.com/office/drawing/2014/main" id="{8E4D9DA6-E39E-428B-B89D-460EC20E871E}"/>
            </a:ext>
          </a:extLst>
        </xdr:cNvPr>
        <xdr:cNvSpPr>
          <a:spLocks noChangeArrowheads="1"/>
        </xdr:cNvSpPr>
      </xdr:nvSpPr>
      <xdr:spPr bwMode="auto">
        <a:xfrm>
          <a:off x="3438525" y="2419350"/>
          <a:ext cx="1057275" cy="371475"/>
        </a:xfrm>
        <a:custGeom>
          <a:avLst/>
          <a:gdLst>
            <a:gd name="G0" fmla="*/ 1 0 0"/>
            <a:gd name="G1" fmla="+- G0 0 13152"/>
            <a:gd name="G2" fmla="*/ 1 0 0"/>
            <a:gd name="G3" fmla="+- 50000 0 13152"/>
            <a:gd name="G4" fmla="?: G3 13152 50000"/>
            <a:gd name="G5" fmla="?: G1 G2 G3"/>
            <a:gd name="G6" fmla="min 3127 1037"/>
            <a:gd name="G7" fmla="*/ G6 G5 1"/>
            <a:gd name="G8" fmla="*/ G7 1 34464"/>
            <a:gd name="G9" fmla="+- 3127 0 G8"/>
            <a:gd name="G10" fmla="+- 1037 0 G8"/>
            <a:gd name="G11" fmla="*/ G8 29289 1"/>
            <a:gd name="G12" fmla="*/ G11 1 34464"/>
            <a:gd name="G13" fmla="+- 3127 0 G12"/>
            <a:gd name="G14" fmla="+- 1037 0 G12"/>
            <a:gd name="G15" fmla="*/ 3127 1 2"/>
            <a:gd name="G16" fmla="*/ 1037 1 2"/>
            <a:gd name="G17" fmla="+- 1037 0 0"/>
            <a:gd name="G18" fmla="+- 3127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09"/>
              </a:moveTo>
              <a:lnTo>
                <a:pt x="1109" y="1109"/>
              </a:lnTo>
              <a:lnTo>
                <a:pt x="180" y="90"/>
              </a:lnTo>
              <a:lnTo>
                <a:pt x="2018" y="0"/>
              </a:lnTo>
              <a:lnTo>
                <a:pt x="1109" y="1109"/>
              </a:lnTo>
              <a:lnTo>
                <a:pt x="270" y="90"/>
              </a:lnTo>
              <a:lnTo>
                <a:pt x="3127" y="-72"/>
              </a:lnTo>
              <a:lnTo>
                <a:pt x="1109" y="1109"/>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323850</xdr:colOff>
      <xdr:row>10</xdr:row>
      <xdr:rowOff>76200</xdr:rowOff>
    </xdr:from>
    <xdr:to>
      <xdr:col>6</xdr:col>
      <xdr:colOff>600075</xdr:colOff>
      <xdr:row>11</xdr:row>
      <xdr:rowOff>180975</xdr:rowOff>
    </xdr:to>
    <xdr:sp macro="" textlink="" fLocksText="0">
      <xdr:nvSpPr>
        <xdr:cNvPr id="1029" name="AutoShape 27">
          <a:hlinkClick xmlns:r="http://schemas.openxmlformats.org/officeDocument/2006/relationships" r:id="rId3"/>
          <a:extLst>
            <a:ext uri="{FF2B5EF4-FFF2-40B4-BE49-F238E27FC236}">
              <a16:creationId xmlns:a16="http://schemas.microsoft.com/office/drawing/2014/main" id="{1DEBAA4B-9467-4EA1-804F-35849F9B6256}"/>
            </a:ext>
          </a:extLst>
        </xdr:cNvPr>
        <xdr:cNvSpPr>
          <a:spLocks noChangeArrowheads="1"/>
        </xdr:cNvSpPr>
      </xdr:nvSpPr>
      <xdr:spPr bwMode="auto">
        <a:xfrm>
          <a:off x="3448050" y="2457450"/>
          <a:ext cx="1038225" cy="295275"/>
        </a:xfrm>
        <a:custGeom>
          <a:avLst/>
          <a:gdLst>
            <a:gd name="G0" fmla="*/ 1 0 0"/>
            <a:gd name="G1" fmla="+- G0 0 13375"/>
            <a:gd name="G2" fmla="*/ 1 0 0"/>
            <a:gd name="G3" fmla="+- 50000 0 13375"/>
            <a:gd name="G4" fmla="?: G3 13375 50000"/>
            <a:gd name="G5" fmla="?: G1 G2 G3"/>
            <a:gd name="G6" fmla="min 3048 825"/>
            <a:gd name="G7" fmla="*/ G6 G5 1"/>
            <a:gd name="G8" fmla="*/ G7 1 34464"/>
            <a:gd name="G9" fmla="+- 3048 0 G8"/>
            <a:gd name="G10" fmla="+- 825 0 G8"/>
            <a:gd name="G11" fmla="*/ G8 29289 1"/>
            <a:gd name="G12" fmla="*/ G11 1 34464"/>
            <a:gd name="G13" fmla="+- 3048 0 G12"/>
            <a:gd name="G14" fmla="+- 825 0 G12"/>
            <a:gd name="G15" fmla="*/ 3048 1 2"/>
            <a:gd name="G16" fmla="*/ 825 1 2"/>
            <a:gd name="G17" fmla="+- 825 0 0"/>
            <a:gd name="G18" fmla="+- 3048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877"/>
              </a:moveTo>
              <a:lnTo>
                <a:pt x="877" y="877"/>
              </a:lnTo>
              <a:lnTo>
                <a:pt x="180" y="90"/>
              </a:lnTo>
              <a:lnTo>
                <a:pt x="2171" y="0"/>
              </a:lnTo>
              <a:lnTo>
                <a:pt x="877" y="877"/>
              </a:lnTo>
              <a:lnTo>
                <a:pt x="270" y="90"/>
              </a:lnTo>
              <a:lnTo>
                <a:pt x="3048" y="-52"/>
              </a:lnTo>
              <a:lnTo>
                <a:pt x="877" y="877"/>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Financieros</a:t>
          </a:r>
        </a:p>
      </xdr:txBody>
    </xdr:sp>
    <xdr:clientData/>
  </xdr:twoCellAnchor>
  <xdr:twoCellAnchor>
    <xdr:from>
      <xdr:col>5</xdr:col>
      <xdr:colOff>323850</xdr:colOff>
      <xdr:row>10</xdr:row>
      <xdr:rowOff>85725</xdr:rowOff>
    </xdr:from>
    <xdr:to>
      <xdr:col>5</xdr:col>
      <xdr:colOff>438150</xdr:colOff>
      <xdr:row>11</xdr:row>
      <xdr:rowOff>38100</xdr:rowOff>
    </xdr:to>
    <xdr:sp macro="" textlink="">
      <xdr:nvSpPr>
        <xdr:cNvPr id="1030" name="Freeform 28">
          <a:extLst>
            <a:ext uri="{FF2B5EF4-FFF2-40B4-BE49-F238E27FC236}">
              <a16:creationId xmlns:a16="http://schemas.microsoft.com/office/drawing/2014/main" id="{A7CDD246-0D2D-483C-AC8E-EB9A1131004B}"/>
            </a:ext>
          </a:extLst>
        </xdr:cNvPr>
        <xdr:cNvSpPr>
          <a:spLocks noChangeArrowheads="1"/>
        </xdr:cNvSpPr>
      </xdr:nvSpPr>
      <xdr:spPr bwMode="auto">
        <a:xfrm>
          <a:off x="3448050" y="2466975"/>
          <a:ext cx="114300" cy="142875"/>
        </a:xfrm>
        <a:custGeom>
          <a:avLst/>
          <a:gdLst>
            <a:gd name="G0" fmla="*/ 65534 318 1"/>
            <a:gd name="G1" fmla="*/ G0 1 596"/>
            <a:gd name="G2" fmla="*/ 1 0 0"/>
            <a:gd name="G3" fmla="*/ G2 402 1"/>
            <a:gd name="G4" fmla="*/ G3 1 598"/>
            <a:gd name="G5" fmla="*/ 1 0 0"/>
            <a:gd name="G6" fmla="*/ G5 318 1"/>
            <a:gd name="G7" fmla="*/ G6 1 596"/>
            <a:gd name="G8" fmla="*/ 65534 402 1"/>
            <a:gd name="G9" fmla="*/ G8 1 598"/>
            <a:gd name="G10" fmla="*/ 1 0 0"/>
            <a:gd name="G11" fmla="*/ G10 318 1"/>
            <a:gd name="G12" fmla="*/ G11 1 596"/>
            <a:gd name="G13" fmla="*/ 65534 402 1"/>
            <a:gd name="G14" fmla="*/ G13 1 598"/>
            <a:gd name="G15" fmla="*/ 65534 318 1"/>
            <a:gd name="G16" fmla="*/ G15 1 596"/>
            <a:gd name="G17" fmla="*/ 65534 402 1"/>
            <a:gd name="G18" fmla="*/ G17 1 598"/>
            <a:gd name="G19" fmla="*/ 65534 318 1"/>
            <a:gd name="G20" fmla="*/ G19 1 596"/>
            <a:gd name="G21" fmla="*/ 1 0 0"/>
            <a:gd name="G22" fmla="*/ G21 402 1"/>
            <a:gd name="G23" fmla="*/ G22 1 598"/>
            <a:gd name="G24" fmla="*/ 65534 318 1"/>
            <a:gd name="G25" fmla="*/ G24 1 596"/>
            <a:gd name="G26" fmla="*/ 1 0 0"/>
            <a:gd name="G27" fmla="*/ G26 402 1"/>
            <a:gd name="G28" fmla="*/ G27 1 598"/>
            <a:gd name="G29" fmla="*/ 1 0 0"/>
            <a:gd name="G30" fmla="*/ 1 0 0"/>
            <a:gd name="G31" fmla="*/ 1 0 0"/>
            <a:gd name="G32" fmla="*/ 1 0 0"/>
            <a:gd name="G33" fmla="*/ 1 0 0"/>
            <a:gd name="G34" fmla="*/ 1 0 0"/>
            <a:gd name="G35" fmla="*/ 1 0 0"/>
            <a:gd name="G36" fmla="*/ G35 318 1"/>
            <a:gd name="G37" fmla="*/ G36 1 596"/>
            <a:gd name="G38" fmla="*/ 1 0 0"/>
            <a:gd name="G39" fmla="*/ G38 402 1"/>
            <a:gd name="G40" fmla="*/ G39 1 598"/>
            <a:gd name="G41" fmla="*/ 596 318 1"/>
            <a:gd name="G42" fmla="*/ G41 1 596"/>
            <a:gd name="G43" fmla="*/ 598 402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15</xdr:row>
      <xdr:rowOff>171450</xdr:rowOff>
    </xdr:from>
    <xdr:to>
      <xdr:col>6</xdr:col>
      <xdr:colOff>609600</xdr:colOff>
      <xdr:row>17</xdr:row>
      <xdr:rowOff>133350</xdr:rowOff>
    </xdr:to>
    <xdr:sp macro="" textlink="">
      <xdr:nvSpPr>
        <xdr:cNvPr id="1031" name="AutoShape 26">
          <a:extLst>
            <a:ext uri="{FF2B5EF4-FFF2-40B4-BE49-F238E27FC236}">
              <a16:creationId xmlns:a16="http://schemas.microsoft.com/office/drawing/2014/main" id="{275910D8-B4E2-4C26-9F37-F6C0695694A8}"/>
            </a:ext>
          </a:extLst>
        </xdr:cNvPr>
        <xdr:cNvSpPr>
          <a:spLocks noChangeArrowheads="1"/>
        </xdr:cNvSpPr>
      </xdr:nvSpPr>
      <xdr:spPr bwMode="auto">
        <a:xfrm>
          <a:off x="3438525" y="3505200"/>
          <a:ext cx="1057275" cy="342900"/>
        </a:xfrm>
        <a:custGeom>
          <a:avLst/>
          <a:gdLst>
            <a:gd name="G0" fmla="*/ 1 0 0"/>
            <a:gd name="G1" fmla="+- G0 0 13152"/>
            <a:gd name="G2" fmla="*/ 1 0 0"/>
            <a:gd name="G3" fmla="+- 50000 0 13152"/>
            <a:gd name="G4" fmla="?: G3 13152 50000"/>
            <a:gd name="G5" fmla="?: G1 G2 G3"/>
            <a:gd name="G6" fmla="min 3106 973"/>
            <a:gd name="G7" fmla="*/ G6 G5 1"/>
            <a:gd name="G8" fmla="*/ G7 1 34464"/>
            <a:gd name="G9" fmla="+- 3106 0 G8"/>
            <a:gd name="G10" fmla="+- 973 0 G8"/>
            <a:gd name="G11" fmla="*/ G8 29289 1"/>
            <a:gd name="G12" fmla="*/ G11 1 34464"/>
            <a:gd name="G13" fmla="+- 3106 0 G12"/>
            <a:gd name="G14" fmla="+- 973 0 G12"/>
            <a:gd name="G15" fmla="*/ 3106 1 2"/>
            <a:gd name="G16" fmla="*/ 973 1 2"/>
            <a:gd name="G17" fmla="+- 973 0 0"/>
            <a:gd name="G18" fmla="+- 3106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40"/>
              </a:moveTo>
              <a:lnTo>
                <a:pt x="1040" y="1040"/>
              </a:lnTo>
              <a:lnTo>
                <a:pt x="180" y="90"/>
              </a:lnTo>
              <a:lnTo>
                <a:pt x="2066" y="0"/>
              </a:lnTo>
              <a:lnTo>
                <a:pt x="1040" y="1040"/>
              </a:lnTo>
              <a:lnTo>
                <a:pt x="270" y="90"/>
              </a:lnTo>
              <a:lnTo>
                <a:pt x="3106" y="-67"/>
              </a:lnTo>
              <a:lnTo>
                <a:pt x="1040" y="1040"/>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333375</xdr:colOff>
      <xdr:row>16</xdr:row>
      <xdr:rowOff>28575</xdr:rowOff>
    </xdr:from>
    <xdr:to>
      <xdr:col>6</xdr:col>
      <xdr:colOff>628650</xdr:colOff>
      <xdr:row>17</xdr:row>
      <xdr:rowOff>104775</xdr:rowOff>
    </xdr:to>
    <xdr:sp macro="" textlink="" fLocksText="0">
      <xdr:nvSpPr>
        <xdr:cNvPr id="1032" name="AutoShape 27">
          <a:hlinkClick xmlns:r="http://schemas.openxmlformats.org/officeDocument/2006/relationships" r:id="rId4"/>
          <a:extLst>
            <a:ext uri="{FF2B5EF4-FFF2-40B4-BE49-F238E27FC236}">
              <a16:creationId xmlns:a16="http://schemas.microsoft.com/office/drawing/2014/main" id="{93D7E896-CFC1-4482-839B-D0CA0CBB93C2}"/>
            </a:ext>
          </a:extLst>
        </xdr:cNvPr>
        <xdr:cNvSpPr>
          <a:spLocks noChangeArrowheads="1"/>
        </xdr:cNvSpPr>
      </xdr:nvSpPr>
      <xdr:spPr bwMode="auto">
        <a:xfrm>
          <a:off x="3457575" y="3552825"/>
          <a:ext cx="1057275" cy="266700"/>
        </a:xfrm>
        <a:custGeom>
          <a:avLst/>
          <a:gdLst>
            <a:gd name="G0" fmla="*/ 1 0 0"/>
            <a:gd name="G1" fmla="+- G0 0 13375"/>
            <a:gd name="G2" fmla="*/ 1 0 0"/>
            <a:gd name="G3" fmla="+- 50000 0 13375"/>
            <a:gd name="G4" fmla="?: G3 13375 50000"/>
            <a:gd name="G5" fmla="?: G1 G2 G3"/>
            <a:gd name="G6" fmla="min 3101 719"/>
            <a:gd name="G7" fmla="*/ G6 G5 1"/>
            <a:gd name="G8" fmla="*/ G7 1 34464"/>
            <a:gd name="G9" fmla="+- 3101 0 G8"/>
            <a:gd name="G10" fmla="+- 719 0 G8"/>
            <a:gd name="G11" fmla="*/ G8 29289 1"/>
            <a:gd name="G12" fmla="*/ G11 1 34464"/>
            <a:gd name="G13" fmla="+- 3101 0 G12"/>
            <a:gd name="G14" fmla="+- 719 0 G12"/>
            <a:gd name="G15" fmla="*/ 3101 1 2"/>
            <a:gd name="G16" fmla="*/ 719 1 2"/>
            <a:gd name="G17" fmla="+- 719 0 0"/>
            <a:gd name="G18" fmla="+- 310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764"/>
              </a:moveTo>
              <a:lnTo>
                <a:pt x="764" y="764"/>
              </a:lnTo>
              <a:lnTo>
                <a:pt x="180" y="90"/>
              </a:lnTo>
              <a:lnTo>
                <a:pt x="2337" y="0"/>
              </a:lnTo>
              <a:lnTo>
                <a:pt x="764" y="764"/>
              </a:lnTo>
              <a:lnTo>
                <a:pt x="270" y="90"/>
              </a:lnTo>
              <a:lnTo>
                <a:pt x="3101" y="-45"/>
              </a:lnTo>
              <a:lnTo>
                <a:pt x="764" y="764"/>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Programáticos</a:t>
          </a:r>
        </a:p>
      </xdr:txBody>
    </xdr:sp>
    <xdr:clientData/>
  </xdr:twoCellAnchor>
  <xdr:twoCellAnchor>
    <xdr:from>
      <xdr:col>5</xdr:col>
      <xdr:colOff>371475</xdr:colOff>
      <xdr:row>16</xdr:row>
      <xdr:rowOff>19050</xdr:rowOff>
    </xdr:from>
    <xdr:to>
      <xdr:col>5</xdr:col>
      <xdr:colOff>476250</xdr:colOff>
      <xdr:row>16</xdr:row>
      <xdr:rowOff>171450</xdr:rowOff>
    </xdr:to>
    <xdr:sp macro="" textlink="">
      <xdr:nvSpPr>
        <xdr:cNvPr id="1033" name="Freeform 28">
          <a:extLst>
            <a:ext uri="{FF2B5EF4-FFF2-40B4-BE49-F238E27FC236}">
              <a16:creationId xmlns:a16="http://schemas.microsoft.com/office/drawing/2014/main" id="{A4E2BB1B-A181-4BED-B90F-A116DF37425F}"/>
            </a:ext>
          </a:extLst>
        </xdr:cNvPr>
        <xdr:cNvSpPr>
          <a:spLocks noChangeArrowheads="1"/>
        </xdr:cNvSpPr>
      </xdr:nvSpPr>
      <xdr:spPr bwMode="auto">
        <a:xfrm>
          <a:off x="3495675" y="3543300"/>
          <a:ext cx="104775" cy="152400"/>
        </a:xfrm>
        <a:custGeom>
          <a:avLst/>
          <a:gdLst>
            <a:gd name="G0" fmla="*/ 65534 296 1"/>
            <a:gd name="G1" fmla="*/ G0 1 596"/>
            <a:gd name="G2" fmla="*/ 1 0 0"/>
            <a:gd name="G3" fmla="*/ G2 423 1"/>
            <a:gd name="G4" fmla="*/ G3 1 598"/>
            <a:gd name="G5" fmla="*/ 1 0 0"/>
            <a:gd name="G6" fmla="*/ G5 296 1"/>
            <a:gd name="G7" fmla="*/ G6 1 596"/>
            <a:gd name="G8" fmla="*/ 65534 423 1"/>
            <a:gd name="G9" fmla="*/ G8 1 598"/>
            <a:gd name="G10" fmla="*/ 1 0 0"/>
            <a:gd name="G11" fmla="*/ G10 296 1"/>
            <a:gd name="G12" fmla="*/ G11 1 596"/>
            <a:gd name="G13" fmla="*/ 65534 423 1"/>
            <a:gd name="G14" fmla="*/ G13 1 598"/>
            <a:gd name="G15" fmla="*/ 65534 296 1"/>
            <a:gd name="G16" fmla="*/ G15 1 596"/>
            <a:gd name="G17" fmla="*/ 65534 423 1"/>
            <a:gd name="G18" fmla="*/ G17 1 598"/>
            <a:gd name="G19" fmla="*/ 65534 296 1"/>
            <a:gd name="G20" fmla="*/ G19 1 596"/>
            <a:gd name="G21" fmla="*/ 1 0 0"/>
            <a:gd name="G22" fmla="*/ G21 423 1"/>
            <a:gd name="G23" fmla="*/ G22 1 598"/>
            <a:gd name="G24" fmla="*/ 65534 296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296 1"/>
            <a:gd name="G37" fmla="*/ G36 1 596"/>
            <a:gd name="G38" fmla="*/ 1 0 0"/>
            <a:gd name="G39" fmla="*/ G38 423 1"/>
            <a:gd name="G40" fmla="*/ G39 1 598"/>
            <a:gd name="G41" fmla="*/ 596 296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12</xdr:row>
      <xdr:rowOff>180975</xdr:rowOff>
    </xdr:from>
    <xdr:to>
      <xdr:col>6</xdr:col>
      <xdr:colOff>609600</xdr:colOff>
      <xdr:row>14</xdr:row>
      <xdr:rowOff>180975</xdr:rowOff>
    </xdr:to>
    <xdr:sp macro="" textlink="">
      <xdr:nvSpPr>
        <xdr:cNvPr id="1034" name="AutoShape 26">
          <a:extLst>
            <a:ext uri="{FF2B5EF4-FFF2-40B4-BE49-F238E27FC236}">
              <a16:creationId xmlns:a16="http://schemas.microsoft.com/office/drawing/2014/main" id="{C1DF089F-C827-4E77-B1F8-4E06A0BDB251}"/>
            </a:ext>
          </a:extLst>
        </xdr:cNvPr>
        <xdr:cNvSpPr>
          <a:spLocks noChangeArrowheads="1"/>
        </xdr:cNvSpPr>
      </xdr:nvSpPr>
      <xdr:spPr bwMode="auto">
        <a:xfrm>
          <a:off x="3438525" y="2943225"/>
          <a:ext cx="1057275" cy="381000"/>
        </a:xfrm>
        <a:custGeom>
          <a:avLst/>
          <a:gdLst>
            <a:gd name="G0" fmla="*/ 1 0 0"/>
            <a:gd name="G1" fmla="+- G0 0 13152"/>
            <a:gd name="G2" fmla="*/ 1 0 0"/>
            <a:gd name="G3" fmla="+- 50000 0 13152"/>
            <a:gd name="G4" fmla="?: G3 13152 50000"/>
            <a:gd name="G5" fmla="?: G1 G2 G3"/>
            <a:gd name="G6" fmla="min 3127 1058"/>
            <a:gd name="G7" fmla="*/ G6 G5 1"/>
            <a:gd name="G8" fmla="*/ G7 1 34464"/>
            <a:gd name="G9" fmla="+- 3127 0 G8"/>
            <a:gd name="G10" fmla="+- 1058 0 G8"/>
            <a:gd name="G11" fmla="*/ G8 29289 1"/>
            <a:gd name="G12" fmla="*/ G11 1 34464"/>
            <a:gd name="G13" fmla="+- 3127 0 G12"/>
            <a:gd name="G14" fmla="+- 1058 0 G12"/>
            <a:gd name="G15" fmla="*/ 3127 1 2"/>
            <a:gd name="G16" fmla="*/ 1058 1 2"/>
            <a:gd name="G17" fmla="+- 1058 0 0"/>
            <a:gd name="G18" fmla="+- 3127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31"/>
              </a:moveTo>
              <a:lnTo>
                <a:pt x="1131" y="1131"/>
              </a:lnTo>
              <a:lnTo>
                <a:pt x="180" y="90"/>
              </a:lnTo>
              <a:lnTo>
                <a:pt x="1996" y="0"/>
              </a:lnTo>
              <a:lnTo>
                <a:pt x="1131" y="1131"/>
              </a:lnTo>
              <a:lnTo>
                <a:pt x="270" y="90"/>
              </a:lnTo>
              <a:lnTo>
                <a:pt x="3127" y="-73"/>
              </a:lnTo>
              <a:lnTo>
                <a:pt x="1131" y="1131"/>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323850</xdr:colOff>
      <xdr:row>13</xdr:row>
      <xdr:rowOff>28575</xdr:rowOff>
    </xdr:from>
    <xdr:to>
      <xdr:col>6</xdr:col>
      <xdr:colOff>600075</xdr:colOff>
      <xdr:row>14</xdr:row>
      <xdr:rowOff>142875</xdr:rowOff>
    </xdr:to>
    <xdr:sp macro="" textlink="" fLocksText="0">
      <xdr:nvSpPr>
        <xdr:cNvPr id="1035" name="AutoShape 27">
          <a:hlinkClick xmlns:r="http://schemas.openxmlformats.org/officeDocument/2006/relationships" r:id="rId5"/>
          <a:extLst>
            <a:ext uri="{FF2B5EF4-FFF2-40B4-BE49-F238E27FC236}">
              <a16:creationId xmlns:a16="http://schemas.microsoft.com/office/drawing/2014/main" id="{E8AD32AF-63EC-4AD8-92AA-0BF74BAFF92E}"/>
            </a:ext>
          </a:extLst>
        </xdr:cNvPr>
        <xdr:cNvSpPr>
          <a:spLocks noChangeArrowheads="1"/>
        </xdr:cNvSpPr>
      </xdr:nvSpPr>
      <xdr:spPr bwMode="auto">
        <a:xfrm>
          <a:off x="3448050" y="2981325"/>
          <a:ext cx="1038225" cy="304800"/>
        </a:xfrm>
        <a:custGeom>
          <a:avLst/>
          <a:gdLst>
            <a:gd name="G0" fmla="*/ 1 0 0"/>
            <a:gd name="G1" fmla="+- G0 0 13375"/>
            <a:gd name="G2" fmla="*/ 1 0 0"/>
            <a:gd name="G3" fmla="+- 50000 0 13375"/>
            <a:gd name="G4" fmla="?: G3 13375 50000"/>
            <a:gd name="G5" fmla="?: G1 G2 G3"/>
            <a:gd name="G6" fmla="min 3048 852"/>
            <a:gd name="G7" fmla="*/ G6 G5 1"/>
            <a:gd name="G8" fmla="*/ G7 1 34464"/>
            <a:gd name="G9" fmla="+- 3048 0 G8"/>
            <a:gd name="G10" fmla="+- 852 0 G8"/>
            <a:gd name="G11" fmla="*/ G8 29289 1"/>
            <a:gd name="G12" fmla="*/ G11 1 34464"/>
            <a:gd name="G13" fmla="+- 3048 0 G12"/>
            <a:gd name="G14" fmla="+- 852 0 G12"/>
            <a:gd name="G15" fmla="*/ 3048 1 2"/>
            <a:gd name="G16" fmla="*/ 852 1 2"/>
            <a:gd name="G17" fmla="+- 852 0 0"/>
            <a:gd name="G18" fmla="+- 3048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05"/>
              </a:moveTo>
              <a:lnTo>
                <a:pt x="905" y="905"/>
              </a:lnTo>
              <a:lnTo>
                <a:pt x="180" y="90"/>
              </a:lnTo>
              <a:lnTo>
                <a:pt x="2143" y="0"/>
              </a:lnTo>
              <a:lnTo>
                <a:pt x="905" y="905"/>
              </a:lnTo>
              <a:lnTo>
                <a:pt x="270" y="90"/>
              </a:lnTo>
              <a:lnTo>
                <a:pt x="3048" y="-53"/>
              </a:lnTo>
              <a:lnTo>
                <a:pt x="905" y="905"/>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000" tIns="46800" rIns="18000" bIns="46800" anchor="ctr"/>
        <a:lstStyle/>
        <a:p>
          <a:pPr algn="l" rtl="0">
            <a:defRPr sz="1000"/>
          </a:pPr>
          <a:r>
            <a:rPr lang="es-SV" sz="1000" b="0" i="0" u="none" strike="noStrike" baseline="0">
              <a:solidFill>
                <a:srgbClr val="FFFFFF"/>
              </a:solidFill>
              <a:latin typeface="Arial"/>
              <a:cs typeface="Arial"/>
            </a:rPr>
            <a:t>Gestión</a:t>
          </a:r>
        </a:p>
      </xdr:txBody>
    </xdr:sp>
    <xdr:clientData/>
  </xdr:twoCellAnchor>
  <xdr:twoCellAnchor>
    <xdr:from>
      <xdr:col>5</xdr:col>
      <xdr:colOff>323850</xdr:colOff>
      <xdr:row>13</xdr:row>
      <xdr:rowOff>38100</xdr:rowOff>
    </xdr:from>
    <xdr:to>
      <xdr:col>5</xdr:col>
      <xdr:colOff>447675</xdr:colOff>
      <xdr:row>14</xdr:row>
      <xdr:rowOff>19050</xdr:rowOff>
    </xdr:to>
    <xdr:sp macro="" textlink="">
      <xdr:nvSpPr>
        <xdr:cNvPr id="1036" name="Freeform 28">
          <a:extLst>
            <a:ext uri="{FF2B5EF4-FFF2-40B4-BE49-F238E27FC236}">
              <a16:creationId xmlns:a16="http://schemas.microsoft.com/office/drawing/2014/main" id="{246341DF-B7D8-4149-8583-FF8588207A40}"/>
            </a:ext>
          </a:extLst>
        </xdr:cNvPr>
        <xdr:cNvSpPr>
          <a:spLocks noChangeArrowheads="1"/>
        </xdr:cNvSpPr>
      </xdr:nvSpPr>
      <xdr:spPr bwMode="auto">
        <a:xfrm>
          <a:off x="3448050" y="2990850"/>
          <a:ext cx="123825" cy="171450"/>
        </a:xfrm>
        <a:custGeom>
          <a:avLst/>
          <a:gdLst>
            <a:gd name="G0" fmla="*/ 65534 339 1"/>
            <a:gd name="G1" fmla="*/ G0 1 596"/>
            <a:gd name="G2" fmla="*/ 1 0 0"/>
            <a:gd name="G3" fmla="*/ G2 466 1"/>
            <a:gd name="G4" fmla="*/ G3 1 598"/>
            <a:gd name="G5" fmla="*/ 1 0 0"/>
            <a:gd name="G6" fmla="*/ G5 339 1"/>
            <a:gd name="G7" fmla="*/ G6 1 596"/>
            <a:gd name="G8" fmla="*/ 65534 466 1"/>
            <a:gd name="G9" fmla="*/ G8 1 598"/>
            <a:gd name="G10" fmla="*/ 1 0 0"/>
            <a:gd name="G11" fmla="*/ G10 339 1"/>
            <a:gd name="G12" fmla="*/ G11 1 596"/>
            <a:gd name="G13" fmla="*/ 65534 466 1"/>
            <a:gd name="G14" fmla="*/ G13 1 598"/>
            <a:gd name="G15" fmla="*/ 65534 339 1"/>
            <a:gd name="G16" fmla="*/ G15 1 596"/>
            <a:gd name="G17" fmla="*/ 65534 466 1"/>
            <a:gd name="G18" fmla="*/ G17 1 598"/>
            <a:gd name="G19" fmla="*/ 65534 339 1"/>
            <a:gd name="G20" fmla="*/ G19 1 596"/>
            <a:gd name="G21" fmla="*/ 1 0 0"/>
            <a:gd name="G22" fmla="*/ G21 466 1"/>
            <a:gd name="G23" fmla="*/ G22 1 598"/>
            <a:gd name="G24" fmla="*/ 65534 339 1"/>
            <a:gd name="G25" fmla="*/ G24 1 596"/>
            <a:gd name="G26" fmla="*/ 1 0 0"/>
            <a:gd name="G27" fmla="*/ G26 466 1"/>
            <a:gd name="G28" fmla="*/ G27 1 598"/>
            <a:gd name="G29" fmla="*/ 1 0 0"/>
            <a:gd name="G30" fmla="*/ 1 0 0"/>
            <a:gd name="G31" fmla="*/ 1 0 0"/>
            <a:gd name="G32" fmla="*/ 1 0 0"/>
            <a:gd name="G33" fmla="*/ 1 0 0"/>
            <a:gd name="G34" fmla="*/ 1 0 0"/>
            <a:gd name="G35" fmla="*/ 1 0 0"/>
            <a:gd name="G36" fmla="*/ G35 339 1"/>
            <a:gd name="G37" fmla="*/ G36 1 596"/>
            <a:gd name="G38" fmla="*/ 1 0 0"/>
            <a:gd name="G39" fmla="*/ G38 466 1"/>
            <a:gd name="G40" fmla="*/ G39 1 598"/>
            <a:gd name="G41" fmla="*/ 596 339 1"/>
            <a:gd name="G42" fmla="*/ G41 1 596"/>
            <a:gd name="G43" fmla="*/ 598 466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361950</xdr:colOff>
      <xdr:row>4</xdr:row>
      <xdr:rowOff>180975</xdr:rowOff>
    </xdr:from>
    <xdr:to>
      <xdr:col>7</xdr:col>
      <xdr:colOff>409575</xdr:colOff>
      <xdr:row>6</xdr:row>
      <xdr:rowOff>38100</xdr:rowOff>
    </xdr:to>
    <xdr:sp macro="" textlink="" fLocksText="0">
      <xdr:nvSpPr>
        <xdr:cNvPr id="1037" name="Rectangle 803">
          <a:extLst>
            <a:ext uri="{FF2B5EF4-FFF2-40B4-BE49-F238E27FC236}">
              <a16:creationId xmlns:a16="http://schemas.microsoft.com/office/drawing/2014/main" id="{539A0838-F3AF-42FF-B4AC-C50FEF253AF8}"/>
            </a:ext>
          </a:extLst>
        </xdr:cNvPr>
        <xdr:cNvSpPr>
          <a:spLocks noChangeArrowheads="1"/>
        </xdr:cNvSpPr>
      </xdr:nvSpPr>
      <xdr:spPr bwMode="auto">
        <a:xfrm>
          <a:off x="2724150" y="1419225"/>
          <a:ext cx="2333625" cy="238125"/>
        </a:xfrm>
        <a:custGeom>
          <a:avLst/>
          <a:gdLst>
            <a:gd name="G0" fmla="*/ 6869 1 2"/>
            <a:gd name="G1" fmla="*/ 661 1 2"/>
            <a:gd name="G2" fmla="+- 661 0 0"/>
            <a:gd name="G3" fmla="+- 6869 0 0"/>
          </a:gdLst>
          <a:ahLst/>
          <a:cxnLst>
            <a:cxn ang="0">
              <a:pos x="r" y="vc"/>
            </a:cxn>
            <a:cxn ang="5400000">
              <a:pos x="hc" y="b"/>
            </a:cxn>
            <a:cxn ang="10800000">
              <a:pos x="l" y="vc"/>
            </a:cxn>
            <a:cxn ang="16200000">
              <a:pos x="hc" y="t"/>
            </a:cxn>
          </a:cxnLst>
          <a:rect l="0" t="0" r="0" b="0"/>
          <a:pathLst>
            <a:path>
              <a:moveTo>
                <a:pt x="0" y="0"/>
              </a:moveTo>
              <a:lnTo>
                <a:pt x="6869" y="0"/>
              </a:lnTo>
              <a:lnTo>
                <a:pt x="6869" y="661"/>
              </a:lnTo>
              <a:lnTo>
                <a:pt x="0" y="661"/>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27360" bIns="0" anchor="t"/>
        <a:lstStyle/>
        <a:p>
          <a:pPr algn="l" rtl="0">
            <a:defRPr sz="1000"/>
          </a:pPr>
          <a:r>
            <a:rPr lang="es-SV" sz="1100" b="1" i="1" u="none" strike="noStrike" baseline="0">
              <a:solidFill>
                <a:srgbClr val="000000"/>
              </a:solidFill>
              <a:latin typeface="Calibri"/>
              <a:cs typeface="Calibri"/>
            </a:rPr>
            <a:t>Seleccione la opción que desea ver:</a:t>
          </a:r>
        </a:p>
      </xdr:txBody>
    </xdr:sp>
    <xdr:clientData/>
  </xdr:twoCellAnchor>
  <xdr:twoCellAnchor>
    <xdr:from>
      <xdr:col>8</xdr:col>
      <xdr:colOff>314325</xdr:colOff>
      <xdr:row>10</xdr:row>
      <xdr:rowOff>180975</xdr:rowOff>
    </xdr:from>
    <xdr:to>
      <xdr:col>11</xdr:col>
      <xdr:colOff>190500</xdr:colOff>
      <xdr:row>13</xdr:row>
      <xdr:rowOff>19050</xdr:rowOff>
    </xdr:to>
    <xdr:sp macro="" textlink="">
      <xdr:nvSpPr>
        <xdr:cNvPr id="1038" name="AutoShape 30">
          <a:extLst>
            <a:ext uri="{FF2B5EF4-FFF2-40B4-BE49-F238E27FC236}">
              <a16:creationId xmlns:a16="http://schemas.microsoft.com/office/drawing/2014/main" id="{2ECBCEAB-8F37-49F7-AA10-682CC0DCDC70}"/>
            </a:ext>
          </a:extLst>
        </xdr:cNvPr>
        <xdr:cNvSpPr>
          <a:spLocks noChangeArrowheads="1"/>
        </xdr:cNvSpPr>
      </xdr:nvSpPr>
      <xdr:spPr bwMode="auto">
        <a:xfrm>
          <a:off x="5724525" y="2562225"/>
          <a:ext cx="1504950" cy="409575"/>
        </a:xfrm>
        <a:custGeom>
          <a:avLst/>
          <a:gdLst>
            <a:gd name="G0" fmla="*/ 1 0 0"/>
            <a:gd name="G1" fmla="+- G0 0 13152"/>
            <a:gd name="G2" fmla="*/ 1 0 0"/>
            <a:gd name="G3" fmla="+- 50000 0 13152"/>
            <a:gd name="G4" fmla="?: G3 13152 50000"/>
            <a:gd name="G5" fmla="?: G1 G2 G3"/>
            <a:gd name="G6" fmla="min 4405 1144"/>
            <a:gd name="G7" fmla="*/ G6 G5 1"/>
            <a:gd name="G8" fmla="*/ G7 1 34464"/>
            <a:gd name="G9" fmla="+- 4405 0 G8"/>
            <a:gd name="G10" fmla="+- 1144 0 G8"/>
            <a:gd name="G11" fmla="*/ G8 29289 1"/>
            <a:gd name="G12" fmla="*/ G11 1 34464"/>
            <a:gd name="G13" fmla="+- 4405 0 G12"/>
            <a:gd name="G14" fmla="+- 1144 0 G12"/>
            <a:gd name="G15" fmla="*/ 4405 1 2"/>
            <a:gd name="G16" fmla="*/ 1144 1 2"/>
            <a:gd name="G17" fmla="+- 1144 0 0"/>
            <a:gd name="G18" fmla="+- 4405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223"/>
              </a:moveTo>
              <a:lnTo>
                <a:pt x="1223" y="1223"/>
              </a:lnTo>
              <a:lnTo>
                <a:pt x="180" y="90"/>
              </a:lnTo>
              <a:lnTo>
                <a:pt x="3182" y="0"/>
              </a:lnTo>
              <a:lnTo>
                <a:pt x="1223" y="1223"/>
              </a:lnTo>
              <a:lnTo>
                <a:pt x="270" y="90"/>
              </a:lnTo>
              <a:lnTo>
                <a:pt x="4405" y="-79"/>
              </a:lnTo>
              <a:lnTo>
                <a:pt x="1223" y="1223"/>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8</xdr:col>
      <xdr:colOff>381000</xdr:colOff>
      <xdr:row>11</xdr:row>
      <xdr:rowOff>38100</xdr:rowOff>
    </xdr:from>
    <xdr:to>
      <xdr:col>11</xdr:col>
      <xdr:colOff>171450</xdr:colOff>
      <xdr:row>12</xdr:row>
      <xdr:rowOff>180975</xdr:rowOff>
    </xdr:to>
    <xdr:sp macro="" textlink="" fLocksText="0">
      <xdr:nvSpPr>
        <xdr:cNvPr id="1039" name="AutoShape 31">
          <a:hlinkClick xmlns:r="http://schemas.openxmlformats.org/officeDocument/2006/relationships" r:id="rId6"/>
          <a:extLst>
            <a:ext uri="{FF2B5EF4-FFF2-40B4-BE49-F238E27FC236}">
              <a16:creationId xmlns:a16="http://schemas.microsoft.com/office/drawing/2014/main" id="{DEE5DF9C-431B-4D5B-B2BA-82B3890A7B54}"/>
            </a:ext>
          </a:extLst>
        </xdr:cNvPr>
        <xdr:cNvSpPr>
          <a:spLocks noChangeArrowheads="1"/>
        </xdr:cNvSpPr>
      </xdr:nvSpPr>
      <xdr:spPr bwMode="auto">
        <a:xfrm>
          <a:off x="5791200" y="2609850"/>
          <a:ext cx="1419225" cy="333375"/>
        </a:xfrm>
        <a:custGeom>
          <a:avLst/>
          <a:gdLst>
            <a:gd name="G0" fmla="*/ 1 0 0"/>
            <a:gd name="G1" fmla="+- G0 0 13375"/>
            <a:gd name="G2" fmla="*/ 1 0 0"/>
            <a:gd name="G3" fmla="+- 50000 0 13375"/>
            <a:gd name="G4" fmla="?: G3 13375 50000"/>
            <a:gd name="G5" fmla="?: G1 G2 G3"/>
            <a:gd name="G6" fmla="min 4183 932"/>
            <a:gd name="G7" fmla="*/ G6 G5 1"/>
            <a:gd name="G8" fmla="*/ G7 1 34464"/>
            <a:gd name="G9" fmla="+- 4183 0 G8"/>
            <a:gd name="G10" fmla="+- 932 0 G8"/>
            <a:gd name="G11" fmla="*/ G8 29289 1"/>
            <a:gd name="G12" fmla="*/ G11 1 34464"/>
            <a:gd name="G13" fmla="+- 4183 0 G12"/>
            <a:gd name="G14" fmla="+- 932 0 G12"/>
            <a:gd name="G15" fmla="*/ 4183 1 2"/>
            <a:gd name="G16" fmla="*/ 932 1 2"/>
            <a:gd name="G17" fmla="+- 932 0 0"/>
            <a:gd name="G18" fmla="+- 418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90"/>
              </a:moveTo>
              <a:lnTo>
                <a:pt x="990" y="990"/>
              </a:lnTo>
              <a:lnTo>
                <a:pt x="180" y="90"/>
              </a:lnTo>
              <a:lnTo>
                <a:pt x="3193" y="0"/>
              </a:lnTo>
              <a:lnTo>
                <a:pt x="990" y="990"/>
              </a:lnTo>
              <a:lnTo>
                <a:pt x="270" y="90"/>
              </a:lnTo>
              <a:lnTo>
                <a:pt x="4183" y="-58"/>
              </a:lnTo>
              <a:lnTo>
                <a:pt x="990" y="990"/>
              </a:lnTo>
              <a:close/>
            </a:path>
          </a:pathLst>
        </a:custGeom>
        <a:solidFill>
          <a:srgbClr val="99FF99"/>
        </a:soli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000000"/>
              </a:solidFill>
              <a:latin typeface="Arial"/>
              <a:cs typeface="Arial"/>
            </a:rPr>
            <a:t>Recomendaciones</a:t>
          </a:r>
        </a:p>
      </xdr:txBody>
    </xdr:sp>
    <xdr:clientData/>
  </xdr:twoCellAnchor>
  <xdr:twoCellAnchor>
    <xdr:from>
      <xdr:col>8</xdr:col>
      <xdr:colOff>371475</xdr:colOff>
      <xdr:row>11</xdr:row>
      <xdr:rowOff>38100</xdr:rowOff>
    </xdr:from>
    <xdr:to>
      <xdr:col>8</xdr:col>
      <xdr:colOff>514350</xdr:colOff>
      <xdr:row>12</xdr:row>
      <xdr:rowOff>28575</xdr:rowOff>
    </xdr:to>
    <xdr:sp macro="" textlink="">
      <xdr:nvSpPr>
        <xdr:cNvPr id="1040" name="Freeform 32">
          <a:extLst>
            <a:ext uri="{FF2B5EF4-FFF2-40B4-BE49-F238E27FC236}">
              <a16:creationId xmlns:a16="http://schemas.microsoft.com/office/drawing/2014/main" id="{37D139C1-D583-44D1-A09A-3EFC268E2039}"/>
            </a:ext>
          </a:extLst>
        </xdr:cNvPr>
        <xdr:cNvSpPr>
          <a:spLocks noChangeArrowheads="1"/>
        </xdr:cNvSpPr>
      </xdr:nvSpPr>
      <xdr:spPr bwMode="auto">
        <a:xfrm>
          <a:off x="5781675" y="2609850"/>
          <a:ext cx="142875" cy="180975"/>
        </a:xfrm>
        <a:custGeom>
          <a:avLst/>
          <a:gdLst>
            <a:gd name="G0" fmla="*/ 65534 402 1"/>
            <a:gd name="G1" fmla="*/ G0 1 596"/>
            <a:gd name="G2" fmla="*/ 1 0 0"/>
            <a:gd name="G3" fmla="*/ G2 508 1"/>
            <a:gd name="G4" fmla="*/ G3 1 598"/>
            <a:gd name="G5" fmla="*/ 1 0 0"/>
            <a:gd name="G6" fmla="*/ G5 402 1"/>
            <a:gd name="G7" fmla="*/ G6 1 596"/>
            <a:gd name="G8" fmla="*/ 65534 508 1"/>
            <a:gd name="G9" fmla="*/ G8 1 598"/>
            <a:gd name="G10" fmla="*/ 1 0 0"/>
            <a:gd name="G11" fmla="*/ G10 402 1"/>
            <a:gd name="G12" fmla="*/ G11 1 596"/>
            <a:gd name="G13" fmla="*/ 65534 508 1"/>
            <a:gd name="G14" fmla="*/ G13 1 598"/>
            <a:gd name="G15" fmla="*/ 65534 402 1"/>
            <a:gd name="G16" fmla="*/ G15 1 596"/>
            <a:gd name="G17" fmla="*/ 65534 508 1"/>
            <a:gd name="G18" fmla="*/ G17 1 598"/>
            <a:gd name="G19" fmla="*/ 65534 402 1"/>
            <a:gd name="G20" fmla="*/ G19 1 596"/>
            <a:gd name="G21" fmla="*/ 1 0 0"/>
            <a:gd name="G22" fmla="*/ G21 508 1"/>
            <a:gd name="G23" fmla="*/ G22 1 598"/>
            <a:gd name="G24" fmla="*/ 65534 402 1"/>
            <a:gd name="G25" fmla="*/ G24 1 596"/>
            <a:gd name="G26" fmla="*/ 1 0 0"/>
            <a:gd name="G27" fmla="*/ G26 508 1"/>
            <a:gd name="G28" fmla="*/ G27 1 598"/>
            <a:gd name="G29" fmla="*/ 1 0 0"/>
            <a:gd name="G30" fmla="*/ 1 0 0"/>
            <a:gd name="G31" fmla="*/ 1 0 0"/>
            <a:gd name="G32" fmla="*/ 1 0 0"/>
            <a:gd name="G33" fmla="*/ 1 0 0"/>
            <a:gd name="G34" fmla="*/ 1 0 0"/>
            <a:gd name="G35" fmla="*/ 1 0 0"/>
            <a:gd name="G36" fmla="*/ G35 402 1"/>
            <a:gd name="G37" fmla="*/ G36 1 596"/>
            <a:gd name="G38" fmla="*/ 1 0 0"/>
            <a:gd name="G39" fmla="*/ G38 508 1"/>
            <a:gd name="G40" fmla="*/ G39 1 598"/>
            <a:gd name="G41" fmla="*/ 596 402 1"/>
            <a:gd name="G42" fmla="*/ G41 1 596"/>
            <a:gd name="G43" fmla="*/ 598 508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257175</xdr:colOff>
      <xdr:row>7</xdr:row>
      <xdr:rowOff>66675</xdr:rowOff>
    </xdr:from>
    <xdr:to>
      <xdr:col>4</xdr:col>
      <xdr:colOff>114300</xdr:colOff>
      <xdr:row>18</xdr:row>
      <xdr:rowOff>104775</xdr:rowOff>
    </xdr:to>
    <xdr:sp macro="" textlink="">
      <xdr:nvSpPr>
        <xdr:cNvPr id="1041" name="AutoShape 31">
          <a:extLst>
            <a:ext uri="{FF2B5EF4-FFF2-40B4-BE49-F238E27FC236}">
              <a16:creationId xmlns:a16="http://schemas.microsoft.com/office/drawing/2014/main" id="{903A1370-1B4F-43A1-86AC-BE0052CBEEB1}"/>
            </a:ext>
          </a:extLst>
        </xdr:cNvPr>
        <xdr:cNvSpPr>
          <a:spLocks noChangeArrowheads="1"/>
        </xdr:cNvSpPr>
      </xdr:nvSpPr>
      <xdr:spPr bwMode="auto">
        <a:xfrm>
          <a:off x="333375" y="1876425"/>
          <a:ext cx="2143125" cy="2133600"/>
        </a:xfrm>
        <a:custGeom>
          <a:avLst/>
          <a:gdLst>
            <a:gd name="G0" fmla="*/ 1 0 0"/>
            <a:gd name="G1" fmla="+- G0 0 13375"/>
            <a:gd name="G2" fmla="*/ 1 0 0"/>
            <a:gd name="G3" fmla="+- 50000 0 13375"/>
            <a:gd name="G4" fmla="?: G3 13375 50000"/>
            <a:gd name="G5" fmla="?: G1 G2 G3"/>
            <a:gd name="G6" fmla="min 6313 5884"/>
            <a:gd name="G7" fmla="*/ G6 G5 1"/>
            <a:gd name="G8" fmla="*/ G7 1 34464"/>
            <a:gd name="G9" fmla="+- 6313 0 G8"/>
            <a:gd name="G10" fmla="+- 5884 0 G8"/>
            <a:gd name="G11" fmla="*/ G8 29289 1"/>
            <a:gd name="G12" fmla="*/ G11 1 34464"/>
            <a:gd name="G13" fmla="+- 6313 0 G12"/>
            <a:gd name="G14" fmla="+- 5884 0 G12"/>
            <a:gd name="G15" fmla="*/ 6313 1 2"/>
            <a:gd name="G16" fmla="*/ 5884 1 2"/>
            <a:gd name="G17" fmla="+- 5884 0 0"/>
            <a:gd name="G18" fmla="+- 631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6253"/>
              </a:moveTo>
              <a:lnTo>
                <a:pt x="6253" y="6253"/>
              </a:lnTo>
              <a:lnTo>
                <a:pt x="180" y="90"/>
              </a:lnTo>
              <a:lnTo>
                <a:pt x="60" y="0"/>
              </a:lnTo>
              <a:lnTo>
                <a:pt x="6253" y="6253"/>
              </a:lnTo>
              <a:lnTo>
                <a:pt x="270" y="90"/>
              </a:lnTo>
              <a:lnTo>
                <a:pt x="6313" y="-369"/>
              </a:lnTo>
              <a:lnTo>
                <a:pt x="6253" y="6253"/>
              </a:lnTo>
              <a:close/>
            </a:path>
          </a:pathLst>
        </a:custGeom>
        <a:gradFill rotWithShape="0">
          <a:gsLst>
            <a:gs pos="0">
              <a:srgbClr val="87AFD3"/>
            </a:gs>
            <a:gs pos="100000">
              <a:srgbClr val="4C7BB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361950</xdr:colOff>
      <xdr:row>7</xdr:row>
      <xdr:rowOff>161925</xdr:rowOff>
    </xdr:from>
    <xdr:to>
      <xdr:col>2</xdr:col>
      <xdr:colOff>85725</xdr:colOff>
      <xdr:row>9</xdr:row>
      <xdr:rowOff>85725</xdr:rowOff>
    </xdr:to>
    <xdr:sp macro="" textlink="">
      <xdr:nvSpPr>
        <xdr:cNvPr id="1042" name="Freeform 32">
          <a:extLst>
            <a:ext uri="{FF2B5EF4-FFF2-40B4-BE49-F238E27FC236}">
              <a16:creationId xmlns:a16="http://schemas.microsoft.com/office/drawing/2014/main" id="{B42B8676-4C9F-46A7-B758-738474369CEB}"/>
            </a:ext>
          </a:extLst>
        </xdr:cNvPr>
        <xdr:cNvSpPr>
          <a:spLocks noChangeArrowheads="1"/>
        </xdr:cNvSpPr>
      </xdr:nvSpPr>
      <xdr:spPr bwMode="auto">
        <a:xfrm>
          <a:off x="438150" y="1971675"/>
          <a:ext cx="485775" cy="304800"/>
        </a:xfrm>
        <a:custGeom>
          <a:avLst/>
          <a:gdLst>
            <a:gd name="G0" fmla="*/ 65534 1434 1"/>
            <a:gd name="G1" fmla="*/ G0 1 596"/>
            <a:gd name="G2" fmla="*/ 1 0 0"/>
            <a:gd name="G3" fmla="*/ G2 868 1"/>
            <a:gd name="G4" fmla="*/ G3 1 598"/>
            <a:gd name="G5" fmla="*/ 1 0 0"/>
            <a:gd name="G6" fmla="*/ G5 1434 1"/>
            <a:gd name="G7" fmla="*/ G6 1 596"/>
            <a:gd name="G8" fmla="*/ 65534 868 1"/>
            <a:gd name="G9" fmla="*/ G8 1 598"/>
            <a:gd name="G10" fmla="*/ 1 0 0"/>
            <a:gd name="G11" fmla="*/ G10 1434 1"/>
            <a:gd name="G12" fmla="*/ G11 1 596"/>
            <a:gd name="G13" fmla="*/ 65534 868 1"/>
            <a:gd name="G14" fmla="*/ G13 1 598"/>
            <a:gd name="G15" fmla="*/ 65534 1434 1"/>
            <a:gd name="G16" fmla="*/ G15 1 596"/>
            <a:gd name="G17" fmla="*/ 65534 868 1"/>
            <a:gd name="G18" fmla="*/ G17 1 598"/>
            <a:gd name="G19" fmla="*/ 65534 1434 1"/>
            <a:gd name="G20" fmla="*/ G19 1 596"/>
            <a:gd name="G21" fmla="*/ 1 0 0"/>
            <a:gd name="G22" fmla="*/ G21 868 1"/>
            <a:gd name="G23" fmla="*/ G22 1 598"/>
            <a:gd name="G24" fmla="*/ 65534 1434 1"/>
            <a:gd name="G25" fmla="*/ G24 1 596"/>
            <a:gd name="G26" fmla="*/ 1 0 0"/>
            <a:gd name="G27" fmla="*/ G26 868 1"/>
            <a:gd name="G28" fmla="*/ G27 1 598"/>
            <a:gd name="G29" fmla="*/ 1 0 0"/>
            <a:gd name="G30" fmla="*/ 1 0 0"/>
            <a:gd name="G31" fmla="*/ 1 0 0"/>
            <a:gd name="G32" fmla="*/ 1 0 0"/>
            <a:gd name="G33" fmla="*/ 1 0 0"/>
            <a:gd name="G34" fmla="*/ 1 0 0"/>
            <a:gd name="G35" fmla="*/ 1 0 0"/>
            <a:gd name="G36" fmla="*/ G35 1434 1"/>
            <a:gd name="G37" fmla="*/ G36 1 596"/>
            <a:gd name="G38" fmla="*/ 1 0 0"/>
            <a:gd name="G39" fmla="*/ G38 868 1"/>
            <a:gd name="G40" fmla="*/ G39 1 598"/>
            <a:gd name="G41" fmla="*/ 596 1434 1"/>
            <a:gd name="G42" fmla="*/ G41 1 596"/>
            <a:gd name="G43" fmla="*/ 598 868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314325</xdr:colOff>
      <xdr:row>14</xdr:row>
      <xdr:rowOff>38100</xdr:rowOff>
    </xdr:from>
    <xdr:to>
      <xdr:col>11</xdr:col>
      <xdr:colOff>171450</xdr:colOff>
      <xdr:row>16</xdr:row>
      <xdr:rowOff>66675</xdr:rowOff>
    </xdr:to>
    <xdr:sp macro="" textlink="">
      <xdr:nvSpPr>
        <xdr:cNvPr id="1043" name="AutoShape 30">
          <a:extLst>
            <a:ext uri="{FF2B5EF4-FFF2-40B4-BE49-F238E27FC236}">
              <a16:creationId xmlns:a16="http://schemas.microsoft.com/office/drawing/2014/main" id="{F6BCD2A7-9365-4878-907D-786D0A2D97E0}"/>
            </a:ext>
          </a:extLst>
        </xdr:cNvPr>
        <xdr:cNvSpPr>
          <a:spLocks noChangeArrowheads="1"/>
        </xdr:cNvSpPr>
      </xdr:nvSpPr>
      <xdr:spPr bwMode="auto">
        <a:xfrm>
          <a:off x="5724525" y="3181350"/>
          <a:ext cx="1485900" cy="409575"/>
        </a:xfrm>
        <a:custGeom>
          <a:avLst/>
          <a:gdLst>
            <a:gd name="G0" fmla="*/ 1 0 0"/>
            <a:gd name="G1" fmla="+- G0 0 13152"/>
            <a:gd name="G2" fmla="*/ 1 0 0"/>
            <a:gd name="G3" fmla="+- 50000 0 13152"/>
            <a:gd name="G4" fmla="?: G3 13152 50000"/>
            <a:gd name="G5" fmla="?: G1 G2 G3"/>
            <a:gd name="G6" fmla="min 4384 1122"/>
            <a:gd name="G7" fmla="*/ G6 G5 1"/>
            <a:gd name="G8" fmla="*/ G7 1 34464"/>
            <a:gd name="G9" fmla="+- 4384 0 G8"/>
            <a:gd name="G10" fmla="+- 1122 0 G8"/>
            <a:gd name="G11" fmla="*/ G8 29289 1"/>
            <a:gd name="G12" fmla="*/ G11 1 34464"/>
            <a:gd name="G13" fmla="+- 4384 0 G12"/>
            <a:gd name="G14" fmla="+- 1122 0 G12"/>
            <a:gd name="G15" fmla="*/ 4384 1 2"/>
            <a:gd name="G16" fmla="*/ 1122 1 2"/>
            <a:gd name="G17" fmla="+- 1122 0 0"/>
            <a:gd name="G18" fmla="+- 4384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200"/>
              </a:moveTo>
              <a:lnTo>
                <a:pt x="1200" y="1200"/>
              </a:lnTo>
              <a:lnTo>
                <a:pt x="180" y="90"/>
              </a:lnTo>
              <a:lnTo>
                <a:pt x="3184" y="0"/>
              </a:lnTo>
              <a:lnTo>
                <a:pt x="1200" y="1200"/>
              </a:lnTo>
              <a:lnTo>
                <a:pt x="270" y="90"/>
              </a:lnTo>
              <a:lnTo>
                <a:pt x="4384" y="-78"/>
              </a:lnTo>
              <a:lnTo>
                <a:pt x="1200" y="1200"/>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8</xdr:col>
      <xdr:colOff>352425</xdr:colOff>
      <xdr:row>14</xdr:row>
      <xdr:rowOff>85725</xdr:rowOff>
    </xdr:from>
    <xdr:to>
      <xdr:col>11</xdr:col>
      <xdr:colOff>123825</xdr:colOff>
      <xdr:row>16</xdr:row>
      <xdr:rowOff>66675</xdr:rowOff>
    </xdr:to>
    <xdr:sp macro="" textlink="" fLocksText="0">
      <xdr:nvSpPr>
        <xdr:cNvPr id="1044" name="AutoShape 31">
          <a:hlinkClick xmlns:r="http://schemas.openxmlformats.org/officeDocument/2006/relationships" r:id="rId7"/>
          <a:extLst>
            <a:ext uri="{FF2B5EF4-FFF2-40B4-BE49-F238E27FC236}">
              <a16:creationId xmlns:a16="http://schemas.microsoft.com/office/drawing/2014/main" id="{532D77F7-3050-4077-B05B-53E91B8EB8F3}"/>
            </a:ext>
          </a:extLst>
        </xdr:cNvPr>
        <xdr:cNvSpPr>
          <a:spLocks noChangeArrowheads="1"/>
        </xdr:cNvSpPr>
      </xdr:nvSpPr>
      <xdr:spPr bwMode="auto">
        <a:xfrm>
          <a:off x="5762625" y="3228975"/>
          <a:ext cx="1400175" cy="361950"/>
        </a:xfrm>
        <a:custGeom>
          <a:avLst/>
          <a:gdLst>
            <a:gd name="G0" fmla="*/ 1 0 0"/>
            <a:gd name="G1" fmla="+- G0 0 13375"/>
            <a:gd name="G2" fmla="*/ 1 0 0"/>
            <a:gd name="G3" fmla="+- 50000 0 13375"/>
            <a:gd name="G4" fmla="?: G3 13375 50000"/>
            <a:gd name="G5" fmla="?: G1 G2 G3"/>
            <a:gd name="G6" fmla="min 4109 1000"/>
            <a:gd name="G7" fmla="*/ G6 G5 1"/>
            <a:gd name="G8" fmla="*/ G7 1 34464"/>
            <a:gd name="G9" fmla="+- 4109 0 G8"/>
            <a:gd name="G10" fmla="+- 1000 0 G8"/>
            <a:gd name="G11" fmla="*/ G8 29289 1"/>
            <a:gd name="G12" fmla="*/ G11 1 34464"/>
            <a:gd name="G13" fmla="+- 4109 0 G12"/>
            <a:gd name="G14" fmla="+- 1000 0 G12"/>
            <a:gd name="G15" fmla="*/ 4109 1 2"/>
            <a:gd name="G16" fmla="*/ 1000 1 2"/>
            <a:gd name="G17" fmla="+- 1000 0 0"/>
            <a:gd name="G18" fmla="+- 4109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3"/>
              </a:moveTo>
              <a:lnTo>
                <a:pt x="1063" y="1063"/>
              </a:lnTo>
              <a:lnTo>
                <a:pt x="180" y="90"/>
              </a:lnTo>
              <a:lnTo>
                <a:pt x="3046" y="0"/>
              </a:lnTo>
              <a:lnTo>
                <a:pt x="1063" y="1063"/>
              </a:lnTo>
              <a:lnTo>
                <a:pt x="270" y="90"/>
              </a:lnTo>
              <a:lnTo>
                <a:pt x="4109" y="-63"/>
              </a:lnTo>
              <a:lnTo>
                <a:pt x="1063" y="1063"/>
              </a:lnTo>
              <a:close/>
            </a:path>
          </a:pathLst>
        </a:custGeom>
        <a:solidFill>
          <a:srgbClr val="99FF99"/>
        </a:soli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000000"/>
              </a:solidFill>
              <a:latin typeface="Arial"/>
              <a:cs typeface="Arial"/>
            </a:rPr>
            <a:t>Acciones</a:t>
          </a:r>
        </a:p>
      </xdr:txBody>
    </xdr:sp>
    <xdr:clientData/>
  </xdr:twoCellAnchor>
  <xdr:twoCellAnchor>
    <xdr:from>
      <xdr:col>8</xdr:col>
      <xdr:colOff>352425</xdr:colOff>
      <xdr:row>14</xdr:row>
      <xdr:rowOff>123825</xdr:rowOff>
    </xdr:from>
    <xdr:to>
      <xdr:col>8</xdr:col>
      <xdr:colOff>485775</xdr:colOff>
      <xdr:row>15</xdr:row>
      <xdr:rowOff>85725</xdr:rowOff>
    </xdr:to>
    <xdr:sp macro="" textlink="">
      <xdr:nvSpPr>
        <xdr:cNvPr id="1045" name="Freeform 32">
          <a:extLst>
            <a:ext uri="{FF2B5EF4-FFF2-40B4-BE49-F238E27FC236}">
              <a16:creationId xmlns:a16="http://schemas.microsoft.com/office/drawing/2014/main" id="{7E372F69-9693-403A-8054-4F2E707F43A2}"/>
            </a:ext>
          </a:extLst>
        </xdr:cNvPr>
        <xdr:cNvSpPr>
          <a:spLocks noChangeArrowheads="1"/>
        </xdr:cNvSpPr>
      </xdr:nvSpPr>
      <xdr:spPr bwMode="auto">
        <a:xfrm>
          <a:off x="5762625" y="3267075"/>
          <a:ext cx="133350" cy="152400"/>
        </a:xfrm>
        <a:custGeom>
          <a:avLst/>
          <a:gdLst>
            <a:gd name="G0" fmla="*/ 1 0 0"/>
            <a:gd name="G1" fmla="*/ G0 402 1"/>
            <a:gd name="G2" fmla="*/ G1 1 596"/>
            <a:gd name="G3" fmla="*/ 1 0 0"/>
            <a:gd name="G4" fmla="*/ G3 444 1"/>
            <a:gd name="G5" fmla="*/ G4 1 598"/>
            <a:gd name="G6" fmla="*/ 1 0 0"/>
            <a:gd name="G7" fmla="*/ G6 402 1"/>
            <a:gd name="G8" fmla="*/ G7 1 596"/>
            <a:gd name="G9" fmla="*/ 1 0 0"/>
            <a:gd name="G10" fmla="*/ G9 444 1"/>
            <a:gd name="G11" fmla="*/ G10 1 598"/>
            <a:gd name="G12" fmla="*/ 1 0 0"/>
            <a:gd name="G13" fmla="*/ G12 402 1"/>
            <a:gd name="G14" fmla="*/ G13 1 596"/>
            <a:gd name="G15" fmla="*/ 1 0 0"/>
            <a:gd name="G16" fmla="*/ G15 444 1"/>
            <a:gd name="G17" fmla="*/ G16 1 598"/>
            <a:gd name="G18" fmla="*/ 1 0 0"/>
            <a:gd name="G19" fmla="*/ G18 402 1"/>
            <a:gd name="G20" fmla="*/ G19 1 596"/>
            <a:gd name="G21" fmla="*/ 1 0 0"/>
            <a:gd name="G22" fmla="*/ G21 444 1"/>
            <a:gd name="G23" fmla="*/ G22 1 598"/>
            <a:gd name="G24" fmla="*/ 1 0 0"/>
            <a:gd name="G25" fmla="*/ G24 402 1"/>
            <a:gd name="G26" fmla="*/ G25 1 596"/>
            <a:gd name="G27" fmla="*/ 1 0 0"/>
            <a:gd name="G28" fmla="*/ G27 444 1"/>
            <a:gd name="G29" fmla="*/ G28 1 598"/>
            <a:gd name="G30" fmla="*/ 1 0 0"/>
            <a:gd name="G31" fmla="*/ G30 402 1"/>
            <a:gd name="G32" fmla="*/ G31 1 596"/>
            <a:gd name="G33" fmla="*/ 1 0 0"/>
            <a:gd name="G34" fmla="*/ G33 444 1"/>
            <a:gd name="G35" fmla="*/ G34 1 598"/>
            <a:gd name="G36" fmla="*/ 1 0 0"/>
            <a:gd name="G37" fmla="*/ 1 0 0"/>
            <a:gd name="G38" fmla="*/ 1 0 0"/>
            <a:gd name="G39" fmla="*/ 1 0 0"/>
            <a:gd name="G40" fmla="*/ 1 0 0"/>
            <a:gd name="G41" fmla="*/ 1 0 0"/>
            <a:gd name="G42" fmla="*/ 1 0 0"/>
            <a:gd name="G43" fmla="*/ G42 402 1"/>
            <a:gd name="G44" fmla="*/ G43 1 596"/>
            <a:gd name="G45" fmla="*/ 1 0 0"/>
            <a:gd name="G46" fmla="*/ G45 444 1"/>
            <a:gd name="G47" fmla="*/ G46 1 598"/>
            <a:gd name="G48" fmla="*/ 596 402 1"/>
            <a:gd name="G49" fmla="*/ G48 1 596"/>
            <a:gd name="G50" fmla="*/ 598 444 1"/>
            <a:gd name="G51" fmla="*/ G50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15</xdr:row>
      <xdr:rowOff>133350</xdr:rowOff>
    </xdr:from>
    <xdr:to>
      <xdr:col>3</xdr:col>
      <xdr:colOff>514350</xdr:colOff>
      <xdr:row>17</xdr:row>
      <xdr:rowOff>190500</xdr:rowOff>
    </xdr:to>
    <xdr:sp macro="" textlink="">
      <xdr:nvSpPr>
        <xdr:cNvPr id="1046" name="AutoShape 30">
          <a:extLst>
            <a:ext uri="{FF2B5EF4-FFF2-40B4-BE49-F238E27FC236}">
              <a16:creationId xmlns:a16="http://schemas.microsoft.com/office/drawing/2014/main" id="{10B58E9C-B984-45B5-8236-73C94B773951}"/>
            </a:ext>
          </a:extLst>
        </xdr:cNvPr>
        <xdr:cNvSpPr>
          <a:spLocks noChangeArrowheads="1"/>
        </xdr:cNvSpPr>
      </xdr:nvSpPr>
      <xdr:spPr bwMode="auto">
        <a:xfrm>
          <a:off x="609600" y="3467100"/>
          <a:ext cx="1504950" cy="438150"/>
        </a:xfrm>
        <a:custGeom>
          <a:avLst/>
          <a:gdLst>
            <a:gd name="G0" fmla="*/ 1 0 0"/>
            <a:gd name="G1" fmla="+- G0 0 13152"/>
            <a:gd name="G2" fmla="*/ 1 0 0"/>
            <a:gd name="G3" fmla="+- 50000 0 13152"/>
            <a:gd name="G4" fmla="?: G3 13152 50000"/>
            <a:gd name="G5" fmla="?: G1 G2 G3"/>
            <a:gd name="G6" fmla="min 4391 1227"/>
            <a:gd name="G7" fmla="*/ G6 G5 1"/>
            <a:gd name="G8" fmla="*/ G7 1 34464"/>
            <a:gd name="G9" fmla="+- 4391 0 G8"/>
            <a:gd name="G10" fmla="+- 1227 0 G8"/>
            <a:gd name="G11" fmla="*/ G8 29289 1"/>
            <a:gd name="G12" fmla="*/ G11 1 34464"/>
            <a:gd name="G13" fmla="+- 4391 0 G12"/>
            <a:gd name="G14" fmla="+- 1227 0 G12"/>
            <a:gd name="G15" fmla="*/ 4391 1 2"/>
            <a:gd name="G16" fmla="*/ 1227 1 2"/>
            <a:gd name="G17" fmla="+- 1227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312"/>
              </a:moveTo>
              <a:lnTo>
                <a:pt x="1312" y="1312"/>
              </a:lnTo>
              <a:lnTo>
                <a:pt x="180" y="90"/>
              </a:lnTo>
              <a:lnTo>
                <a:pt x="3079" y="0"/>
              </a:lnTo>
              <a:lnTo>
                <a:pt x="1312" y="1312"/>
              </a:lnTo>
              <a:lnTo>
                <a:pt x="270" y="90"/>
              </a:lnTo>
              <a:lnTo>
                <a:pt x="4391" y="-85"/>
              </a:lnTo>
              <a:lnTo>
                <a:pt x="1312" y="1312"/>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15</xdr:row>
      <xdr:rowOff>161925</xdr:rowOff>
    </xdr:from>
    <xdr:to>
      <xdr:col>3</xdr:col>
      <xdr:colOff>485775</xdr:colOff>
      <xdr:row>17</xdr:row>
      <xdr:rowOff>161925</xdr:rowOff>
    </xdr:to>
    <xdr:sp macro="" textlink="" fLocksText="0">
      <xdr:nvSpPr>
        <xdr:cNvPr id="1047" name="AutoShape 31">
          <a:hlinkClick xmlns:r="http://schemas.openxmlformats.org/officeDocument/2006/relationships" r:id="rId8"/>
          <a:extLst>
            <a:ext uri="{FF2B5EF4-FFF2-40B4-BE49-F238E27FC236}">
              <a16:creationId xmlns:a16="http://schemas.microsoft.com/office/drawing/2014/main" id="{A2BD4DEB-F2D7-45BF-B326-FD21CF7E79DA}"/>
            </a:ext>
          </a:extLst>
        </xdr:cNvPr>
        <xdr:cNvSpPr>
          <a:spLocks noChangeArrowheads="1"/>
        </xdr:cNvSpPr>
      </xdr:nvSpPr>
      <xdr:spPr bwMode="auto">
        <a:xfrm>
          <a:off x="638175" y="3495675"/>
          <a:ext cx="1447800" cy="381000"/>
        </a:xfrm>
        <a:custGeom>
          <a:avLst/>
          <a:gdLst>
            <a:gd name="G0" fmla="*/ 1 0 0"/>
            <a:gd name="G1" fmla="+- G0 0 13375"/>
            <a:gd name="G2" fmla="*/ 1 0 0"/>
            <a:gd name="G3" fmla="+- 50000 0 13375"/>
            <a:gd name="G4" fmla="?: G3 13375 50000"/>
            <a:gd name="G5" fmla="?: G1 G2 G3"/>
            <a:gd name="G6" fmla="min 4243 1058"/>
            <a:gd name="G7" fmla="*/ G6 G5 1"/>
            <a:gd name="G8" fmla="*/ G7 1 34464"/>
            <a:gd name="G9" fmla="+- 4243 0 G8"/>
            <a:gd name="G10" fmla="+- 1058 0 G8"/>
            <a:gd name="G11" fmla="*/ G8 29289 1"/>
            <a:gd name="G12" fmla="*/ G11 1 34464"/>
            <a:gd name="G13" fmla="+- 4243 0 G12"/>
            <a:gd name="G14" fmla="+- 1058 0 G12"/>
            <a:gd name="G15" fmla="*/ 4243 1 2"/>
            <a:gd name="G16" fmla="*/ 1058 1 2"/>
            <a:gd name="G17" fmla="+- 1058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24"/>
              </a:moveTo>
              <a:lnTo>
                <a:pt x="1124" y="1124"/>
              </a:lnTo>
              <a:lnTo>
                <a:pt x="180" y="90"/>
              </a:lnTo>
              <a:lnTo>
                <a:pt x="3119" y="0"/>
              </a:lnTo>
              <a:lnTo>
                <a:pt x="1124" y="1124"/>
              </a:lnTo>
              <a:lnTo>
                <a:pt x="270" y="90"/>
              </a:lnTo>
              <a:lnTo>
                <a:pt x="4243" y="-66"/>
              </a:lnTo>
              <a:lnTo>
                <a:pt x="1124" y="1124"/>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Información de la subvención</a:t>
          </a:r>
        </a:p>
      </xdr:txBody>
    </xdr:sp>
    <xdr:clientData/>
  </xdr:twoCellAnchor>
  <xdr:twoCellAnchor>
    <xdr:from>
      <xdr:col>1</xdr:col>
      <xdr:colOff>581025</xdr:colOff>
      <xdr:row>15</xdr:row>
      <xdr:rowOff>180975</xdr:rowOff>
    </xdr:from>
    <xdr:to>
      <xdr:col>1</xdr:col>
      <xdr:colOff>723900</xdr:colOff>
      <xdr:row>16</xdr:row>
      <xdr:rowOff>123825</xdr:rowOff>
    </xdr:to>
    <xdr:sp macro="" textlink="">
      <xdr:nvSpPr>
        <xdr:cNvPr id="1048" name="Freeform 32">
          <a:extLst>
            <a:ext uri="{FF2B5EF4-FFF2-40B4-BE49-F238E27FC236}">
              <a16:creationId xmlns:a16="http://schemas.microsoft.com/office/drawing/2014/main" id="{764636AD-13AB-4D85-B3DF-68CE9C9CCF45}"/>
            </a:ext>
          </a:extLst>
        </xdr:cNvPr>
        <xdr:cNvSpPr>
          <a:spLocks noChangeArrowheads="1"/>
        </xdr:cNvSpPr>
      </xdr:nvSpPr>
      <xdr:spPr bwMode="auto">
        <a:xfrm>
          <a:off x="657225" y="3514725"/>
          <a:ext cx="142875" cy="133350"/>
        </a:xfrm>
        <a:custGeom>
          <a:avLst/>
          <a:gdLst>
            <a:gd name="G0" fmla="*/ 65534 402 1"/>
            <a:gd name="G1" fmla="*/ G0 1 596"/>
            <a:gd name="G2" fmla="*/ 1 0 0"/>
            <a:gd name="G3" fmla="*/ G2 360 1"/>
            <a:gd name="G4" fmla="*/ G3 1 598"/>
            <a:gd name="G5" fmla="*/ 1 0 0"/>
            <a:gd name="G6" fmla="*/ G5 402 1"/>
            <a:gd name="G7" fmla="*/ G6 1 596"/>
            <a:gd name="G8" fmla="*/ 65534 360 1"/>
            <a:gd name="G9" fmla="*/ G8 1 598"/>
            <a:gd name="G10" fmla="*/ 1 0 0"/>
            <a:gd name="G11" fmla="*/ G10 402 1"/>
            <a:gd name="G12" fmla="*/ G11 1 596"/>
            <a:gd name="G13" fmla="*/ 65534 360 1"/>
            <a:gd name="G14" fmla="*/ G13 1 598"/>
            <a:gd name="G15" fmla="*/ 65534 402 1"/>
            <a:gd name="G16" fmla="*/ G15 1 596"/>
            <a:gd name="G17" fmla="*/ 65534 360 1"/>
            <a:gd name="G18" fmla="*/ G17 1 598"/>
            <a:gd name="G19" fmla="*/ 65534 402 1"/>
            <a:gd name="G20" fmla="*/ G19 1 596"/>
            <a:gd name="G21" fmla="*/ 1 0 0"/>
            <a:gd name="G22" fmla="*/ G21 360 1"/>
            <a:gd name="G23" fmla="*/ G22 1 598"/>
            <a:gd name="G24" fmla="*/ 65534 402 1"/>
            <a:gd name="G25" fmla="*/ G24 1 596"/>
            <a:gd name="G26" fmla="*/ 1 0 0"/>
            <a:gd name="G27" fmla="*/ G26 360 1"/>
            <a:gd name="G28" fmla="*/ G27 1 598"/>
            <a:gd name="G29" fmla="*/ 1 0 0"/>
            <a:gd name="G30" fmla="*/ 1 0 0"/>
            <a:gd name="G31" fmla="*/ 1 0 0"/>
            <a:gd name="G32" fmla="*/ 1 0 0"/>
            <a:gd name="G33" fmla="*/ 1 0 0"/>
            <a:gd name="G34" fmla="*/ 1 0 0"/>
            <a:gd name="G35" fmla="*/ 1 0 0"/>
            <a:gd name="G36" fmla="*/ G35 402 1"/>
            <a:gd name="G37" fmla="*/ G36 1 596"/>
            <a:gd name="G38" fmla="*/ 1 0 0"/>
            <a:gd name="G39" fmla="*/ G38 360 1"/>
            <a:gd name="G40" fmla="*/ G39 1 598"/>
            <a:gd name="G41" fmla="*/ 596 402 1"/>
            <a:gd name="G42" fmla="*/ G41 1 596"/>
            <a:gd name="G43" fmla="*/ 598 360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10</xdr:row>
      <xdr:rowOff>19050</xdr:rowOff>
    </xdr:from>
    <xdr:to>
      <xdr:col>3</xdr:col>
      <xdr:colOff>514350</xdr:colOff>
      <xdr:row>11</xdr:row>
      <xdr:rowOff>190500</xdr:rowOff>
    </xdr:to>
    <xdr:sp macro="" textlink="">
      <xdr:nvSpPr>
        <xdr:cNvPr id="1049" name="AutoShape 30">
          <a:extLst>
            <a:ext uri="{FF2B5EF4-FFF2-40B4-BE49-F238E27FC236}">
              <a16:creationId xmlns:a16="http://schemas.microsoft.com/office/drawing/2014/main" id="{FC0A8342-6D00-4855-BACD-DEBA4090288C}"/>
            </a:ext>
          </a:extLst>
        </xdr:cNvPr>
        <xdr:cNvSpPr>
          <a:spLocks noChangeArrowheads="1"/>
        </xdr:cNvSpPr>
      </xdr:nvSpPr>
      <xdr:spPr bwMode="auto">
        <a:xfrm>
          <a:off x="609600" y="2400300"/>
          <a:ext cx="1504950" cy="361950"/>
        </a:xfrm>
        <a:custGeom>
          <a:avLst/>
          <a:gdLst>
            <a:gd name="G0" fmla="*/ 1 0 0"/>
            <a:gd name="G1" fmla="+- G0 0 13152"/>
            <a:gd name="G2" fmla="*/ 1 0 0"/>
            <a:gd name="G3" fmla="+- 50000 0 13152"/>
            <a:gd name="G4" fmla="?: G3 13152 50000"/>
            <a:gd name="G5" fmla="?: G1 G2 G3"/>
            <a:gd name="G6" fmla="min 4391 995"/>
            <a:gd name="G7" fmla="*/ G6 G5 1"/>
            <a:gd name="G8" fmla="*/ G7 1 34464"/>
            <a:gd name="G9" fmla="+- 4391 0 G8"/>
            <a:gd name="G10" fmla="+- 995 0 G8"/>
            <a:gd name="G11" fmla="*/ G8 29289 1"/>
            <a:gd name="G12" fmla="*/ G11 1 34464"/>
            <a:gd name="G13" fmla="+- 4391 0 G12"/>
            <a:gd name="G14" fmla="+- 995 0 G12"/>
            <a:gd name="G15" fmla="*/ 4391 1 2"/>
            <a:gd name="G16" fmla="*/ 995 1 2"/>
            <a:gd name="G17" fmla="+- 995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4"/>
              </a:moveTo>
              <a:lnTo>
                <a:pt x="1064" y="1064"/>
              </a:lnTo>
              <a:lnTo>
                <a:pt x="180" y="90"/>
              </a:lnTo>
              <a:lnTo>
                <a:pt x="3327" y="0"/>
              </a:lnTo>
              <a:lnTo>
                <a:pt x="1064" y="1064"/>
              </a:lnTo>
              <a:lnTo>
                <a:pt x="270" y="90"/>
              </a:lnTo>
              <a:lnTo>
                <a:pt x="4391" y="-69"/>
              </a:lnTo>
              <a:lnTo>
                <a:pt x="1064" y="1064"/>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10</xdr:row>
      <xdr:rowOff>38100</xdr:rowOff>
    </xdr:from>
    <xdr:to>
      <xdr:col>3</xdr:col>
      <xdr:colOff>485775</xdr:colOff>
      <xdr:row>11</xdr:row>
      <xdr:rowOff>161925</xdr:rowOff>
    </xdr:to>
    <xdr:sp macro="" textlink="" fLocksText="0">
      <xdr:nvSpPr>
        <xdr:cNvPr id="1050" name="AutoShape 31">
          <a:hlinkClick xmlns:r="http://schemas.openxmlformats.org/officeDocument/2006/relationships" r:id="rId9"/>
          <a:extLst>
            <a:ext uri="{FF2B5EF4-FFF2-40B4-BE49-F238E27FC236}">
              <a16:creationId xmlns:a16="http://schemas.microsoft.com/office/drawing/2014/main" id="{9E9F79BF-1E65-4F42-98A7-E890F9A98F42}"/>
            </a:ext>
          </a:extLst>
        </xdr:cNvPr>
        <xdr:cNvSpPr>
          <a:spLocks noChangeArrowheads="1"/>
        </xdr:cNvSpPr>
      </xdr:nvSpPr>
      <xdr:spPr bwMode="auto">
        <a:xfrm>
          <a:off x="638175" y="2419350"/>
          <a:ext cx="1447800" cy="314325"/>
        </a:xfrm>
        <a:custGeom>
          <a:avLst/>
          <a:gdLst>
            <a:gd name="G0" fmla="*/ 1 0 0"/>
            <a:gd name="G1" fmla="+- G0 0 13375"/>
            <a:gd name="G2" fmla="*/ 1 0 0"/>
            <a:gd name="G3" fmla="+- 50000 0 13375"/>
            <a:gd name="G4" fmla="?: G3 13375 50000"/>
            <a:gd name="G5" fmla="?: G1 G2 G3"/>
            <a:gd name="G6" fmla="min 4243 873"/>
            <a:gd name="G7" fmla="*/ G6 G5 1"/>
            <a:gd name="G8" fmla="*/ G7 1 34464"/>
            <a:gd name="G9" fmla="+- 4243 0 G8"/>
            <a:gd name="G10" fmla="+- 873 0 G8"/>
            <a:gd name="G11" fmla="*/ G8 29289 1"/>
            <a:gd name="G12" fmla="*/ G11 1 34464"/>
            <a:gd name="G13" fmla="+- 4243 0 G12"/>
            <a:gd name="G14" fmla="+- 873 0 G12"/>
            <a:gd name="G15" fmla="*/ 4243 1 2"/>
            <a:gd name="G16" fmla="*/ 873 1 2"/>
            <a:gd name="G17" fmla="+- 873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28"/>
              </a:moveTo>
              <a:lnTo>
                <a:pt x="928" y="928"/>
              </a:lnTo>
              <a:lnTo>
                <a:pt x="180" y="90"/>
              </a:lnTo>
              <a:lnTo>
                <a:pt x="3315" y="0"/>
              </a:lnTo>
              <a:lnTo>
                <a:pt x="928" y="928"/>
              </a:lnTo>
              <a:lnTo>
                <a:pt x="270" y="90"/>
              </a:lnTo>
              <a:lnTo>
                <a:pt x="4243" y="-55"/>
              </a:lnTo>
              <a:lnTo>
                <a:pt x="928" y="928"/>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Lista de indicadores</a:t>
          </a:r>
        </a:p>
      </xdr:txBody>
    </xdr:sp>
    <xdr:clientData/>
  </xdr:twoCellAnchor>
  <xdr:twoCellAnchor>
    <xdr:from>
      <xdr:col>1</xdr:col>
      <xdr:colOff>581025</xdr:colOff>
      <xdr:row>10</xdr:row>
      <xdr:rowOff>66675</xdr:rowOff>
    </xdr:from>
    <xdr:to>
      <xdr:col>1</xdr:col>
      <xdr:colOff>723900</xdr:colOff>
      <xdr:row>11</xdr:row>
      <xdr:rowOff>38100</xdr:rowOff>
    </xdr:to>
    <xdr:sp macro="" textlink="">
      <xdr:nvSpPr>
        <xdr:cNvPr id="1051" name="Freeform 32">
          <a:extLst>
            <a:ext uri="{FF2B5EF4-FFF2-40B4-BE49-F238E27FC236}">
              <a16:creationId xmlns:a16="http://schemas.microsoft.com/office/drawing/2014/main" id="{C5634D54-CDA6-4FA3-B442-25B42750C1E6}"/>
            </a:ext>
          </a:extLst>
        </xdr:cNvPr>
        <xdr:cNvSpPr>
          <a:spLocks noChangeArrowheads="1"/>
        </xdr:cNvSpPr>
      </xdr:nvSpPr>
      <xdr:spPr bwMode="auto">
        <a:xfrm>
          <a:off x="657225" y="2447925"/>
          <a:ext cx="142875" cy="161925"/>
        </a:xfrm>
        <a:custGeom>
          <a:avLst/>
          <a:gdLst>
            <a:gd name="G0" fmla="*/ 65534 445 1"/>
            <a:gd name="G1" fmla="*/ G0 1 596"/>
            <a:gd name="G2" fmla="*/ 1 0 0"/>
            <a:gd name="G3" fmla="*/ G2 423 1"/>
            <a:gd name="G4" fmla="*/ G3 1 598"/>
            <a:gd name="G5" fmla="*/ 1 0 0"/>
            <a:gd name="G6" fmla="*/ G5 445 1"/>
            <a:gd name="G7" fmla="*/ G6 1 596"/>
            <a:gd name="G8" fmla="*/ 65534 423 1"/>
            <a:gd name="G9" fmla="*/ G8 1 598"/>
            <a:gd name="G10" fmla="*/ 1 0 0"/>
            <a:gd name="G11" fmla="*/ G10 445 1"/>
            <a:gd name="G12" fmla="*/ G11 1 596"/>
            <a:gd name="G13" fmla="*/ 65534 423 1"/>
            <a:gd name="G14" fmla="*/ G13 1 598"/>
            <a:gd name="G15" fmla="*/ 65534 445 1"/>
            <a:gd name="G16" fmla="*/ G15 1 596"/>
            <a:gd name="G17" fmla="*/ 65534 423 1"/>
            <a:gd name="G18" fmla="*/ G17 1 598"/>
            <a:gd name="G19" fmla="*/ 65534 445 1"/>
            <a:gd name="G20" fmla="*/ G19 1 596"/>
            <a:gd name="G21" fmla="*/ 1 0 0"/>
            <a:gd name="G22" fmla="*/ G21 423 1"/>
            <a:gd name="G23" fmla="*/ G22 1 598"/>
            <a:gd name="G24" fmla="*/ 65534 445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445 1"/>
            <a:gd name="G37" fmla="*/ G36 1 596"/>
            <a:gd name="G38" fmla="*/ 1 0 0"/>
            <a:gd name="G39" fmla="*/ G38 423 1"/>
            <a:gd name="G40" fmla="*/ G39 1 598"/>
            <a:gd name="G41" fmla="*/ 596 445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12</xdr:row>
      <xdr:rowOff>180975</xdr:rowOff>
    </xdr:from>
    <xdr:to>
      <xdr:col>3</xdr:col>
      <xdr:colOff>514350</xdr:colOff>
      <xdr:row>14</xdr:row>
      <xdr:rowOff>161925</xdr:rowOff>
    </xdr:to>
    <xdr:sp macro="" textlink="">
      <xdr:nvSpPr>
        <xdr:cNvPr id="1052" name="AutoShape 30">
          <a:extLst>
            <a:ext uri="{FF2B5EF4-FFF2-40B4-BE49-F238E27FC236}">
              <a16:creationId xmlns:a16="http://schemas.microsoft.com/office/drawing/2014/main" id="{D006BEE2-073B-4699-A31E-1755BE2DB0E8}"/>
            </a:ext>
          </a:extLst>
        </xdr:cNvPr>
        <xdr:cNvSpPr>
          <a:spLocks noChangeArrowheads="1"/>
        </xdr:cNvSpPr>
      </xdr:nvSpPr>
      <xdr:spPr bwMode="auto">
        <a:xfrm>
          <a:off x="609600" y="2943225"/>
          <a:ext cx="1504950" cy="361950"/>
        </a:xfrm>
        <a:custGeom>
          <a:avLst/>
          <a:gdLst>
            <a:gd name="G0" fmla="*/ 1 0 0"/>
            <a:gd name="G1" fmla="+- G0 0 13152"/>
            <a:gd name="G2" fmla="*/ 1 0 0"/>
            <a:gd name="G3" fmla="+- 50000 0 13152"/>
            <a:gd name="G4" fmla="?: G3 13152 50000"/>
            <a:gd name="G5" fmla="?: G1 G2 G3"/>
            <a:gd name="G6" fmla="min 4391 995"/>
            <a:gd name="G7" fmla="*/ G6 G5 1"/>
            <a:gd name="G8" fmla="*/ G7 1 34464"/>
            <a:gd name="G9" fmla="+- 4391 0 G8"/>
            <a:gd name="G10" fmla="+- 995 0 G8"/>
            <a:gd name="G11" fmla="*/ G8 29289 1"/>
            <a:gd name="G12" fmla="*/ G11 1 34464"/>
            <a:gd name="G13" fmla="+- 4391 0 G12"/>
            <a:gd name="G14" fmla="+- 995 0 G12"/>
            <a:gd name="G15" fmla="*/ 4391 1 2"/>
            <a:gd name="G16" fmla="*/ 995 1 2"/>
            <a:gd name="G17" fmla="+- 995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4"/>
              </a:moveTo>
              <a:lnTo>
                <a:pt x="1064" y="1064"/>
              </a:lnTo>
              <a:lnTo>
                <a:pt x="180" y="90"/>
              </a:lnTo>
              <a:lnTo>
                <a:pt x="3327" y="0"/>
              </a:lnTo>
              <a:lnTo>
                <a:pt x="1064" y="1064"/>
              </a:lnTo>
              <a:lnTo>
                <a:pt x="270" y="90"/>
              </a:lnTo>
              <a:lnTo>
                <a:pt x="4391" y="-69"/>
              </a:lnTo>
              <a:lnTo>
                <a:pt x="1064" y="1064"/>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13</xdr:row>
      <xdr:rowOff>19050</xdr:rowOff>
    </xdr:from>
    <xdr:to>
      <xdr:col>3</xdr:col>
      <xdr:colOff>485775</xdr:colOff>
      <xdr:row>14</xdr:row>
      <xdr:rowOff>123825</xdr:rowOff>
    </xdr:to>
    <xdr:sp macro="" textlink="" fLocksText="0">
      <xdr:nvSpPr>
        <xdr:cNvPr id="1053" name="AutoShape 31">
          <a:hlinkClick xmlns:r="http://schemas.openxmlformats.org/officeDocument/2006/relationships" r:id="rId10"/>
          <a:extLst>
            <a:ext uri="{FF2B5EF4-FFF2-40B4-BE49-F238E27FC236}">
              <a16:creationId xmlns:a16="http://schemas.microsoft.com/office/drawing/2014/main" id="{51AA6969-1E58-40C8-9E1B-92CF547B190D}"/>
            </a:ext>
          </a:extLst>
        </xdr:cNvPr>
        <xdr:cNvSpPr>
          <a:spLocks noChangeArrowheads="1"/>
        </xdr:cNvSpPr>
      </xdr:nvSpPr>
      <xdr:spPr bwMode="auto">
        <a:xfrm>
          <a:off x="638175" y="2971800"/>
          <a:ext cx="1447800" cy="295275"/>
        </a:xfrm>
        <a:custGeom>
          <a:avLst/>
          <a:gdLst>
            <a:gd name="G0" fmla="*/ 1 0 0"/>
            <a:gd name="G1" fmla="+- G0 0 13375"/>
            <a:gd name="G2" fmla="*/ 1 0 0"/>
            <a:gd name="G3" fmla="+- 50000 0 13375"/>
            <a:gd name="G4" fmla="?: G3 13375 50000"/>
            <a:gd name="G5" fmla="?: G1 G2 G3"/>
            <a:gd name="G6" fmla="min 4243 825"/>
            <a:gd name="G7" fmla="*/ G6 G5 1"/>
            <a:gd name="G8" fmla="*/ G7 1 34464"/>
            <a:gd name="G9" fmla="+- 4243 0 G8"/>
            <a:gd name="G10" fmla="+- 825 0 G8"/>
            <a:gd name="G11" fmla="*/ G8 29289 1"/>
            <a:gd name="G12" fmla="*/ G11 1 34464"/>
            <a:gd name="G13" fmla="+- 4243 0 G12"/>
            <a:gd name="G14" fmla="+- 825 0 G12"/>
            <a:gd name="G15" fmla="*/ 4243 1 2"/>
            <a:gd name="G16" fmla="*/ 825 1 2"/>
            <a:gd name="G17" fmla="+- 825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877"/>
              </a:moveTo>
              <a:lnTo>
                <a:pt x="877" y="877"/>
              </a:lnTo>
              <a:lnTo>
                <a:pt x="180" y="90"/>
              </a:lnTo>
              <a:lnTo>
                <a:pt x="3366" y="0"/>
              </a:lnTo>
              <a:lnTo>
                <a:pt x="877" y="877"/>
              </a:lnTo>
              <a:lnTo>
                <a:pt x="270" y="90"/>
              </a:lnTo>
              <a:lnTo>
                <a:pt x="4243" y="-52"/>
              </a:lnTo>
              <a:lnTo>
                <a:pt x="877" y="877"/>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Introducción de datos</a:t>
          </a:r>
        </a:p>
      </xdr:txBody>
    </xdr:sp>
    <xdr:clientData/>
  </xdr:twoCellAnchor>
  <xdr:twoCellAnchor>
    <xdr:from>
      <xdr:col>1</xdr:col>
      <xdr:colOff>581025</xdr:colOff>
      <xdr:row>13</xdr:row>
      <xdr:rowOff>38100</xdr:rowOff>
    </xdr:from>
    <xdr:to>
      <xdr:col>1</xdr:col>
      <xdr:colOff>733425</xdr:colOff>
      <xdr:row>13</xdr:row>
      <xdr:rowOff>190500</xdr:rowOff>
    </xdr:to>
    <xdr:sp macro="" textlink="">
      <xdr:nvSpPr>
        <xdr:cNvPr id="1054" name="Freeform 32">
          <a:extLst>
            <a:ext uri="{FF2B5EF4-FFF2-40B4-BE49-F238E27FC236}">
              <a16:creationId xmlns:a16="http://schemas.microsoft.com/office/drawing/2014/main" id="{FB1EF104-FEE2-40BA-B545-AD9D9F8C5C96}"/>
            </a:ext>
          </a:extLst>
        </xdr:cNvPr>
        <xdr:cNvSpPr>
          <a:spLocks noChangeArrowheads="1"/>
        </xdr:cNvSpPr>
      </xdr:nvSpPr>
      <xdr:spPr bwMode="auto">
        <a:xfrm>
          <a:off x="657225" y="2990850"/>
          <a:ext cx="152400" cy="152400"/>
        </a:xfrm>
        <a:custGeom>
          <a:avLst/>
          <a:gdLst>
            <a:gd name="G0" fmla="*/ 65534 445 1"/>
            <a:gd name="G1" fmla="*/ G0 1 596"/>
            <a:gd name="G2" fmla="*/ 1 0 0"/>
            <a:gd name="G3" fmla="*/ G2 423 1"/>
            <a:gd name="G4" fmla="*/ G3 1 598"/>
            <a:gd name="G5" fmla="*/ 1 0 0"/>
            <a:gd name="G6" fmla="*/ G5 445 1"/>
            <a:gd name="G7" fmla="*/ G6 1 596"/>
            <a:gd name="G8" fmla="*/ 65534 423 1"/>
            <a:gd name="G9" fmla="*/ G8 1 598"/>
            <a:gd name="G10" fmla="*/ 1 0 0"/>
            <a:gd name="G11" fmla="*/ G10 445 1"/>
            <a:gd name="G12" fmla="*/ G11 1 596"/>
            <a:gd name="G13" fmla="*/ 65534 423 1"/>
            <a:gd name="G14" fmla="*/ G13 1 598"/>
            <a:gd name="G15" fmla="*/ 65534 445 1"/>
            <a:gd name="G16" fmla="*/ G15 1 596"/>
            <a:gd name="G17" fmla="*/ 65534 423 1"/>
            <a:gd name="G18" fmla="*/ G17 1 598"/>
            <a:gd name="G19" fmla="*/ 65534 445 1"/>
            <a:gd name="G20" fmla="*/ G19 1 596"/>
            <a:gd name="G21" fmla="*/ 1 0 0"/>
            <a:gd name="G22" fmla="*/ G21 423 1"/>
            <a:gd name="G23" fmla="*/ G22 1 598"/>
            <a:gd name="G24" fmla="*/ 65534 445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445 1"/>
            <a:gd name="G37" fmla="*/ G36 1 596"/>
            <a:gd name="G38" fmla="*/ 1 0 0"/>
            <a:gd name="G39" fmla="*/ G38 423 1"/>
            <a:gd name="G40" fmla="*/ G39 1 598"/>
            <a:gd name="G41" fmla="*/ 596 445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7</xdr:row>
      <xdr:rowOff>38100</xdr:rowOff>
    </xdr:from>
    <xdr:to>
      <xdr:col>4</xdr:col>
      <xdr:colOff>114300</xdr:colOff>
      <xdr:row>9</xdr:row>
      <xdr:rowOff>123825</xdr:rowOff>
    </xdr:to>
    <xdr:pic>
      <xdr:nvPicPr>
        <xdr:cNvPr id="1055" name="Picture 2012">
          <a:extLst>
            <a:ext uri="{FF2B5EF4-FFF2-40B4-BE49-F238E27FC236}">
              <a16:creationId xmlns:a16="http://schemas.microsoft.com/office/drawing/2014/main" id="{979C8AEE-867D-48BE-ADF4-CA08B12FB89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2425" y="1847850"/>
          <a:ext cx="2124075" cy="466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323850</xdr:colOff>
      <xdr:row>7</xdr:row>
      <xdr:rowOff>85725</xdr:rowOff>
    </xdr:from>
    <xdr:to>
      <xdr:col>4</xdr:col>
      <xdr:colOff>95250</xdr:colOff>
      <xdr:row>9</xdr:row>
      <xdr:rowOff>180975</xdr:rowOff>
    </xdr:to>
    <xdr:sp macro="" textlink="" fLocksText="0">
      <xdr:nvSpPr>
        <xdr:cNvPr id="1056" name="Text Box 2013">
          <a:extLst>
            <a:ext uri="{FF2B5EF4-FFF2-40B4-BE49-F238E27FC236}">
              <a16:creationId xmlns:a16="http://schemas.microsoft.com/office/drawing/2014/main" id="{05AA8D43-7FE5-4BF3-9099-531AF64277D3}"/>
            </a:ext>
          </a:extLst>
        </xdr:cNvPr>
        <xdr:cNvSpPr>
          <a:spLocks noChangeArrowheads="1"/>
        </xdr:cNvSpPr>
      </xdr:nvSpPr>
      <xdr:spPr bwMode="auto">
        <a:xfrm>
          <a:off x="400050" y="1895475"/>
          <a:ext cx="2057400" cy="476250"/>
        </a:xfrm>
        <a:custGeom>
          <a:avLst/>
          <a:gdLst>
            <a:gd name="G0" fmla="*/ 6027 1 2"/>
            <a:gd name="G1" fmla="*/ 1323 1 2"/>
            <a:gd name="G2" fmla="+- 1323 0 0"/>
            <a:gd name="G3" fmla="+- 6027 0 0"/>
          </a:gdLst>
          <a:ahLst/>
          <a:cxnLst>
            <a:cxn ang="0">
              <a:pos x="r" y="vc"/>
            </a:cxn>
            <a:cxn ang="5400000">
              <a:pos x="hc" y="b"/>
            </a:cxn>
            <a:cxn ang="10800000">
              <a:pos x="l" y="vc"/>
            </a:cxn>
            <a:cxn ang="16200000">
              <a:pos x="hc" y="t"/>
            </a:cxn>
          </a:cxnLst>
          <a:rect l="0" t="0" r="0" b="0"/>
          <a:pathLst>
            <a:path>
              <a:moveTo>
                <a:pt x="0" y="0"/>
              </a:moveTo>
              <a:lnTo>
                <a:pt x="6027" y="0"/>
              </a:lnTo>
              <a:lnTo>
                <a:pt x="6027" y="1323"/>
              </a:lnTo>
              <a:lnTo>
                <a:pt x="0" y="1323"/>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l" rtl="0">
            <a:defRPr sz="1000"/>
          </a:pPr>
          <a:r>
            <a:rPr lang="es-SV" sz="1100" b="0" i="0" u="none" strike="noStrike" baseline="0">
              <a:solidFill>
                <a:srgbClr val="000000"/>
              </a:solidFill>
              <a:latin typeface="Arial"/>
              <a:cs typeface="Arial"/>
            </a:rPr>
            <a:t>Información de la subvención</a:t>
          </a:r>
        </a:p>
        <a:p>
          <a:pPr algn="l" rtl="0">
            <a:defRPr sz="1000"/>
          </a:pPr>
          <a:endParaRPr lang="es-SV" sz="1100" b="0" i="0" u="none" strike="noStrike" baseline="0">
            <a:solidFill>
              <a:srgbClr val="000000"/>
            </a:solidFill>
            <a:latin typeface="Arial"/>
            <a:cs typeface="Arial"/>
          </a:endParaRPr>
        </a:p>
      </xdr:txBody>
    </xdr:sp>
    <xdr:clientData/>
  </xdr:twoCellAnchor>
  <xdr:twoCellAnchor>
    <xdr:from>
      <xdr:col>4</xdr:col>
      <xdr:colOff>257175</xdr:colOff>
      <xdr:row>7</xdr:row>
      <xdr:rowOff>38100</xdr:rowOff>
    </xdr:from>
    <xdr:to>
      <xdr:col>7</xdr:col>
      <xdr:colOff>571500</xdr:colOff>
      <xdr:row>9</xdr:row>
      <xdr:rowOff>123825</xdr:rowOff>
    </xdr:to>
    <xdr:pic>
      <xdr:nvPicPr>
        <xdr:cNvPr id="1057" name="Picture 2016">
          <a:extLst>
            <a:ext uri="{FF2B5EF4-FFF2-40B4-BE49-F238E27FC236}">
              <a16:creationId xmlns:a16="http://schemas.microsoft.com/office/drawing/2014/main" id="{923C9501-B9ED-4DBA-A0CB-EC7CAA4F9BD3}"/>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19375" y="1847850"/>
          <a:ext cx="2600325" cy="466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638175</xdr:colOff>
      <xdr:row>7</xdr:row>
      <xdr:rowOff>85725</xdr:rowOff>
    </xdr:from>
    <xdr:to>
      <xdr:col>7</xdr:col>
      <xdr:colOff>304800</xdr:colOff>
      <xdr:row>9</xdr:row>
      <xdr:rowOff>85725</xdr:rowOff>
    </xdr:to>
    <xdr:sp macro="" textlink="" fLocksText="0">
      <xdr:nvSpPr>
        <xdr:cNvPr id="1058" name="Text Box 2017">
          <a:extLst>
            <a:ext uri="{FF2B5EF4-FFF2-40B4-BE49-F238E27FC236}">
              <a16:creationId xmlns:a16="http://schemas.microsoft.com/office/drawing/2014/main" id="{B1C770D2-D651-4B5A-B493-C39F573BAC1A}"/>
            </a:ext>
          </a:extLst>
        </xdr:cNvPr>
        <xdr:cNvSpPr>
          <a:spLocks noChangeArrowheads="1"/>
        </xdr:cNvSpPr>
      </xdr:nvSpPr>
      <xdr:spPr bwMode="auto">
        <a:xfrm>
          <a:off x="3000375" y="1895475"/>
          <a:ext cx="1952625" cy="381000"/>
        </a:xfrm>
        <a:custGeom>
          <a:avLst/>
          <a:gdLst>
            <a:gd name="G0" fmla="*/ 5747 1 2"/>
            <a:gd name="G1" fmla="*/ 1058 1 2"/>
            <a:gd name="G2" fmla="+- 1058 0 0"/>
            <a:gd name="G3" fmla="+- 5747 0 0"/>
          </a:gdLst>
          <a:ahLst/>
          <a:cxnLst>
            <a:cxn ang="0">
              <a:pos x="r" y="vc"/>
            </a:cxn>
            <a:cxn ang="5400000">
              <a:pos x="hc" y="b"/>
            </a:cxn>
            <a:cxn ang="10800000">
              <a:pos x="l" y="vc"/>
            </a:cxn>
            <a:cxn ang="16200000">
              <a:pos x="hc" y="t"/>
            </a:cxn>
          </a:cxnLst>
          <a:rect l="0" t="0" r="0" b="0"/>
          <a:pathLst>
            <a:path>
              <a:moveTo>
                <a:pt x="0" y="0"/>
              </a:moveTo>
              <a:lnTo>
                <a:pt x="5747" y="0"/>
              </a:lnTo>
              <a:lnTo>
                <a:pt x="5747" y="1058"/>
              </a:lnTo>
              <a:lnTo>
                <a:pt x="0" y="1058"/>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s-SV" sz="1200" b="0" i="0" u="none" strike="noStrike" baseline="0">
              <a:solidFill>
                <a:srgbClr val="000000"/>
              </a:solidFill>
              <a:latin typeface="Arial"/>
              <a:cs typeface="Arial"/>
            </a:rPr>
            <a:t>Indicadores</a:t>
          </a:r>
        </a:p>
        <a:p>
          <a:pPr algn="l" rtl="0">
            <a:defRPr sz="1000"/>
          </a:pPr>
          <a:endParaRPr lang="es-SV" sz="1200" b="0" i="0" u="none" strike="noStrike" baseline="0">
            <a:solidFill>
              <a:srgbClr val="000000"/>
            </a:solidFill>
            <a:latin typeface="Arial"/>
            <a:cs typeface="Arial"/>
          </a:endParaRPr>
        </a:p>
      </xdr:txBody>
    </xdr:sp>
    <xdr:clientData/>
  </xdr:twoCellAnchor>
  <xdr:twoCellAnchor>
    <xdr:from>
      <xdr:col>7</xdr:col>
      <xdr:colOff>723900</xdr:colOff>
      <xdr:row>7</xdr:row>
      <xdr:rowOff>66675</xdr:rowOff>
    </xdr:from>
    <xdr:to>
      <xdr:col>11</xdr:col>
      <xdr:colOff>542925</xdr:colOff>
      <xdr:row>9</xdr:row>
      <xdr:rowOff>123825</xdr:rowOff>
    </xdr:to>
    <xdr:pic>
      <xdr:nvPicPr>
        <xdr:cNvPr id="1059" name="Picture 2018">
          <a:extLst>
            <a:ext uri="{FF2B5EF4-FFF2-40B4-BE49-F238E27FC236}">
              <a16:creationId xmlns:a16="http://schemas.microsoft.com/office/drawing/2014/main" id="{ED611BA0-2495-4912-A3A6-C4CE0158161C}"/>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372100" y="1876425"/>
          <a:ext cx="2209800" cy="438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104775</xdr:colOff>
      <xdr:row>7</xdr:row>
      <xdr:rowOff>85725</xdr:rowOff>
    </xdr:from>
    <xdr:to>
      <xdr:col>11</xdr:col>
      <xdr:colOff>466725</xdr:colOff>
      <xdr:row>9</xdr:row>
      <xdr:rowOff>85725</xdr:rowOff>
    </xdr:to>
    <xdr:sp macro="" textlink="" fLocksText="0">
      <xdr:nvSpPr>
        <xdr:cNvPr id="1060" name="Text Box 2019">
          <a:extLst>
            <a:ext uri="{FF2B5EF4-FFF2-40B4-BE49-F238E27FC236}">
              <a16:creationId xmlns:a16="http://schemas.microsoft.com/office/drawing/2014/main" id="{1C1A8379-FF30-40A0-BD5D-F9200B9CF666}"/>
            </a:ext>
          </a:extLst>
        </xdr:cNvPr>
        <xdr:cNvSpPr>
          <a:spLocks noChangeArrowheads="1"/>
        </xdr:cNvSpPr>
      </xdr:nvSpPr>
      <xdr:spPr bwMode="auto">
        <a:xfrm>
          <a:off x="5514975" y="1895475"/>
          <a:ext cx="1990725" cy="381000"/>
        </a:xfrm>
        <a:custGeom>
          <a:avLst/>
          <a:gdLst>
            <a:gd name="G0" fmla="*/ 5860 1 2"/>
            <a:gd name="G1" fmla="*/ 1058 1 2"/>
            <a:gd name="G2" fmla="+- 1058 0 0"/>
            <a:gd name="G3" fmla="+- 5860 0 0"/>
          </a:gdLst>
          <a:ahLst/>
          <a:cxnLst>
            <a:cxn ang="0">
              <a:pos x="r" y="vc"/>
            </a:cxn>
            <a:cxn ang="5400000">
              <a:pos x="hc" y="b"/>
            </a:cxn>
            <a:cxn ang="10800000">
              <a:pos x="l" y="vc"/>
            </a:cxn>
            <a:cxn ang="16200000">
              <a:pos x="hc" y="t"/>
            </a:cxn>
          </a:cxnLst>
          <a:rect l="0" t="0" r="0" b="0"/>
          <a:pathLst>
            <a:path>
              <a:moveTo>
                <a:pt x="0" y="0"/>
              </a:moveTo>
              <a:lnTo>
                <a:pt x="5860" y="0"/>
              </a:lnTo>
              <a:lnTo>
                <a:pt x="5860" y="1058"/>
              </a:lnTo>
              <a:lnTo>
                <a:pt x="0" y="1058"/>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s-SV" sz="1200" b="0" i="0" u="none" strike="noStrike" baseline="0">
              <a:solidFill>
                <a:srgbClr val="000000"/>
              </a:solidFill>
              <a:latin typeface="Arial"/>
              <a:cs typeface="Arial"/>
            </a:rPr>
            <a:t>Informes</a:t>
          </a:r>
        </a:p>
        <a:p>
          <a:pPr algn="l" rtl="0">
            <a:defRPr sz="1000"/>
          </a:pPr>
          <a:endParaRPr lang="es-SV" sz="12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1</xdr:row>
      <xdr:rowOff>57150</xdr:rowOff>
    </xdr:from>
    <xdr:to>
      <xdr:col>1</xdr:col>
      <xdr:colOff>152400</xdr:colOff>
      <xdr:row>4</xdr:row>
      <xdr:rowOff>66675</xdr:rowOff>
    </xdr:to>
    <xdr:pic>
      <xdr:nvPicPr>
        <xdr:cNvPr id="10241" name="Picture 2">
          <a:extLst>
            <a:ext uri="{FF2B5EF4-FFF2-40B4-BE49-F238E27FC236}">
              <a16:creationId xmlns:a16="http://schemas.microsoft.com/office/drawing/2014/main" id="{AA138177-F9B0-4A11-85C0-11D4E06C00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47650"/>
          <a:ext cx="752475" cy="981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1123950</xdr:colOff>
      <xdr:row>0</xdr:row>
      <xdr:rowOff>419100</xdr:rowOff>
    </xdr:to>
    <xdr:sp macro="" textlink="" fLocksText="0">
      <xdr:nvSpPr>
        <xdr:cNvPr id="2049" name="AutoShape 50">
          <a:hlinkClick xmlns:r="http://schemas.openxmlformats.org/officeDocument/2006/relationships" r:id="rId1"/>
          <a:extLst>
            <a:ext uri="{FF2B5EF4-FFF2-40B4-BE49-F238E27FC236}">
              <a16:creationId xmlns:a16="http://schemas.microsoft.com/office/drawing/2014/main" id="{8CC3A5C1-9EC5-4035-82C5-2738122ECE7F}"/>
            </a:ext>
          </a:extLst>
        </xdr:cNvPr>
        <xdr:cNvSpPr>
          <a:spLocks noChangeArrowheads="1"/>
        </xdr:cNvSpPr>
      </xdr:nvSpPr>
      <xdr:spPr bwMode="auto">
        <a:xfrm>
          <a:off x="47625" y="19050"/>
          <a:ext cx="1247775" cy="400050"/>
        </a:xfrm>
        <a:custGeom>
          <a:avLst/>
          <a:gdLst>
            <a:gd name="G0" fmla="min 3658 1117"/>
            <a:gd name="G1" fmla="*/ 34464 3658 1"/>
            <a:gd name="G2" fmla="*/ G1 1 G0"/>
            <a:gd name="G3" fmla="*/ 1 0 0"/>
            <a:gd name="G4" fmla="+- G3 0 50000"/>
            <a:gd name="G5" fmla="*/ 1 0 0"/>
            <a:gd name="G6" fmla="+- 34464 0 50000"/>
            <a:gd name="G7" fmla="?: G6 50000 34464"/>
            <a:gd name="G8" fmla="?: G4 G5 G6"/>
            <a:gd name="G9" fmla="*/ 1 0 0"/>
            <a:gd name="G10" fmla="+- G9 0 77907"/>
            <a:gd name="G11" fmla="*/ 1 0 0"/>
            <a:gd name="G12" fmla="+- G2 0 77907"/>
            <a:gd name="G13" fmla="?: G12 77907 G2"/>
            <a:gd name="G14" fmla="?: G10 G11 G12"/>
            <a:gd name="G15" fmla="*/ G0 G14 1"/>
            <a:gd name="G16" fmla="*/ G15 1 34464"/>
            <a:gd name="G17" fmla="*/ 1 0 0"/>
            <a:gd name="G18" fmla="+- G16 0 G17"/>
            <a:gd name="G19" fmla="*/ 1117 G8 1"/>
            <a:gd name="G20" fmla="*/ G19 1 3392"/>
            <a:gd name="G21" fmla="*/ 1117 1 2"/>
            <a:gd name="G22" fmla="+- G21 0 G20"/>
            <a:gd name="G23" fmla="+- G21 G20 0"/>
            <a:gd name="G24" fmla="*/ 1 0 0"/>
            <a:gd name="G25" fmla="+- G23 0 G24"/>
            <a:gd name="G26" fmla="*/ 1117 1 2"/>
            <a:gd name="G27" fmla="*/ G22 G16 1"/>
            <a:gd name="G28" fmla="*/ G27 1 G26"/>
            <a:gd name="G29" fmla="+- G18 0 G28"/>
            <a:gd name="G30" fmla="+- 3658 0 0"/>
            <a:gd name="G31" fmla="+- 1117 0 0"/>
          </a:gdLst>
          <a:ahLst/>
          <a:cxnLst>
            <a:cxn ang="0">
              <a:pos x="r" y="vc"/>
            </a:cxn>
            <a:cxn ang="5400000">
              <a:pos x="hc" y="b"/>
            </a:cxn>
            <a:cxn ang="10800000">
              <a:pos x="l" y="vc"/>
            </a:cxn>
            <a:cxn ang="16200000">
              <a:pos x="hc" y="t"/>
            </a:cxn>
          </a:cxnLst>
          <a:rect l="0" t="0" r="0" b="0"/>
          <a:pathLst>
            <a:path>
              <a:moveTo>
                <a:pt x="0" y="559"/>
              </a:moveTo>
              <a:lnTo>
                <a:pt x="1132" y="0"/>
              </a:lnTo>
              <a:lnTo>
                <a:pt x="1132" y="5675"/>
              </a:lnTo>
              <a:lnTo>
                <a:pt x="3658" y="5675"/>
              </a:lnTo>
              <a:lnTo>
                <a:pt x="3658" y="-4558"/>
              </a:lnTo>
              <a:lnTo>
                <a:pt x="1132" y="-4558"/>
              </a:lnTo>
              <a:lnTo>
                <a:pt x="1132" y="1117"/>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458258</xdr:colOff>
      <xdr:row>33</xdr:row>
      <xdr:rowOff>85724</xdr:rowOff>
    </xdr:from>
    <xdr:to>
      <xdr:col>6</xdr:col>
      <xdr:colOff>508000</xdr:colOff>
      <xdr:row>45</xdr:row>
      <xdr:rowOff>190499</xdr:rowOff>
    </xdr:to>
    <xdr:sp macro="" textlink="">
      <xdr:nvSpPr>
        <xdr:cNvPr id="3075" name="AutoShape 100">
          <a:extLst>
            <a:ext uri="{FF2B5EF4-FFF2-40B4-BE49-F238E27FC236}">
              <a16:creationId xmlns:a16="http://schemas.microsoft.com/office/drawing/2014/main" id="{D074DB7D-1774-49C1-8D79-7A20D40EFA13}"/>
            </a:ext>
          </a:extLst>
        </xdr:cNvPr>
        <xdr:cNvSpPr>
          <a:spLocks noChangeShapeType="1"/>
        </xdr:cNvSpPr>
      </xdr:nvSpPr>
      <xdr:spPr bwMode="auto">
        <a:xfrm>
          <a:off x="12269258" y="5472641"/>
          <a:ext cx="49742" cy="2613025"/>
        </a:xfrm>
        <a:prstGeom prst="straightConnector1">
          <a:avLst/>
        </a:prstGeom>
        <a:noFill/>
        <a:ln w="9360">
          <a:solidFill>
            <a:srgbClr val="00000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es-SV"/>
        </a:p>
      </xdr:txBody>
    </xdr:sp>
    <xdr:clientData/>
  </xdr:twoCellAnchor>
  <xdr:twoCellAnchor>
    <xdr:from>
      <xdr:col>1</xdr:col>
      <xdr:colOff>19050</xdr:colOff>
      <xdr:row>0</xdr:row>
      <xdr:rowOff>0</xdr:rowOff>
    </xdr:from>
    <xdr:to>
      <xdr:col>1</xdr:col>
      <xdr:colOff>942975</xdr:colOff>
      <xdr:row>0</xdr:row>
      <xdr:rowOff>333375</xdr:rowOff>
    </xdr:to>
    <xdr:sp macro="" textlink="" fLocksText="0">
      <xdr:nvSpPr>
        <xdr:cNvPr id="3076" name="AutoShape 50">
          <a:hlinkClick xmlns:r="http://schemas.openxmlformats.org/officeDocument/2006/relationships" r:id="rId1"/>
          <a:extLst>
            <a:ext uri="{FF2B5EF4-FFF2-40B4-BE49-F238E27FC236}">
              <a16:creationId xmlns:a16="http://schemas.microsoft.com/office/drawing/2014/main" id="{DF3ADE59-FEAB-4142-8BD5-0392875BE99F}"/>
            </a:ext>
          </a:extLst>
        </xdr:cNvPr>
        <xdr:cNvSpPr>
          <a:spLocks noChangeArrowheads="1"/>
        </xdr:cNvSpPr>
      </xdr:nvSpPr>
      <xdr:spPr bwMode="auto">
        <a:xfrm>
          <a:off x="190500" y="0"/>
          <a:ext cx="923925" cy="333375"/>
        </a:xfrm>
        <a:custGeom>
          <a:avLst/>
          <a:gdLst>
            <a:gd name="G0" fmla="min 2711 926"/>
            <a:gd name="G1" fmla="*/ 34464 2711 1"/>
            <a:gd name="G2" fmla="*/ G1 1 G0"/>
            <a:gd name="G3" fmla="*/ 1 0 0"/>
            <a:gd name="G4" fmla="+- G3 0 50000"/>
            <a:gd name="G5" fmla="*/ 1 0 0"/>
            <a:gd name="G6" fmla="+- 34464 0 50000"/>
            <a:gd name="G7" fmla="?: G6 50000 34464"/>
            <a:gd name="G8" fmla="?: G4 G5 G6"/>
            <a:gd name="G9" fmla="*/ 1 0 0"/>
            <a:gd name="G10" fmla="+- G9 0 79711"/>
            <a:gd name="G11" fmla="*/ 1 0 0"/>
            <a:gd name="G12" fmla="+- G2 0 79711"/>
            <a:gd name="G13" fmla="?: G12 79711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711 0 0"/>
            <a:gd name="G31" fmla="+- 926 0 0"/>
          </a:gdLst>
          <a:ahLst/>
          <a:cxnLst>
            <a:cxn ang="0">
              <a:pos x="r" y="vc"/>
            </a:cxn>
            <a:cxn ang="5400000">
              <a:pos x="hc" y="b"/>
            </a:cxn>
            <a:cxn ang="10800000">
              <a:pos x="l" y="vc"/>
            </a:cxn>
            <a:cxn ang="16200000">
              <a:pos x="hc" y="t"/>
            </a:cxn>
          </a:cxnLst>
          <a:rect l="0" t="0" r="0" b="0"/>
          <a:pathLst>
            <a:path>
              <a:moveTo>
                <a:pt x="0" y="463"/>
              </a:moveTo>
              <a:lnTo>
                <a:pt x="568" y="0"/>
              </a:lnTo>
              <a:lnTo>
                <a:pt x="568" y="4704"/>
              </a:lnTo>
              <a:lnTo>
                <a:pt x="2711" y="4704"/>
              </a:lnTo>
              <a:lnTo>
                <a:pt x="2711" y="-3779"/>
              </a:lnTo>
              <a:lnTo>
                <a:pt x="568" y="-3779"/>
              </a:lnTo>
              <a:lnTo>
                <a:pt x="568"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2</xdr:col>
      <xdr:colOff>1200150</xdr:colOff>
      <xdr:row>49</xdr:row>
      <xdr:rowOff>28575</xdr:rowOff>
    </xdr:from>
    <xdr:to>
      <xdr:col>6</xdr:col>
      <xdr:colOff>971550</xdr:colOff>
      <xdr:row>50</xdr:row>
      <xdr:rowOff>38100</xdr:rowOff>
    </xdr:to>
    <xdr:grpSp>
      <xdr:nvGrpSpPr>
        <xdr:cNvPr id="3077" name="Group 5">
          <a:extLst>
            <a:ext uri="{FF2B5EF4-FFF2-40B4-BE49-F238E27FC236}">
              <a16:creationId xmlns:a16="http://schemas.microsoft.com/office/drawing/2014/main" id="{F2EE299B-E3A8-4707-ADA7-307BE5B37359}"/>
            </a:ext>
          </a:extLst>
        </xdr:cNvPr>
        <xdr:cNvGrpSpPr>
          <a:grpSpLocks/>
        </xdr:cNvGrpSpPr>
      </xdr:nvGrpSpPr>
      <xdr:grpSpPr bwMode="auto">
        <a:xfrm>
          <a:off x="7927181" y="8648700"/>
          <a:ext cx="4843463" cy="200025"/>
          <a:chOff x="13221" y="13635"/>
          <a:chExt cx="8060" cy="312"/>
        </a:xfrm>
      </xdr:grpSpPr>
      <xdr:sp macro="" textlink="">
        <xdr:nvSpPr>
          <xdr:cNvPr id="3078" name="AutoShape 100">
            <a:extLst>
              <a:ext uri="{FF2B5EF4-FFF2-40B4-BE49-F238E27FC236}">
                <a16:creationId xmlns:a16="http://schemas.microsoft.com/office/drawing/2014/main" id="{539CC887-93EA-4930-93E0-34F5C8BE33EA}"/>
              </a:ext>
            </a:extLst>
          </xdr:cNvPr>
          <xdr:cNvSpPr>
            <a:spLocks noChangeShapeType="1"/>
          </xdr:cNvSpPr>
        </xdr:nvSpPr>
        <xdr:spPr bwMode="auto">
          <a:xfrm>
            <a:off x="13242" y="13928"/>
            <a:ext cx="8033" cy="1"/>
          </a:xfrm>
          <a:prstGeom prst="straightConnector1">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9" name="Straight Connector 16">
            <a:extLst>
              <a:ext uri="{FF2B5EF4-FFF2-40B4-BE49-F238E27FC236}">
                <a16:creationId xmlns:a16="http://schemas.microsoft.com/office/drawing/2014/main" id="{4774AE6E-02F1-43B8-B489-93ADBA13F7D5}"/>
              </a:ext>
            </a:extLst>
          </xdr:cNvPr>
          <xdr:cNvSpPr>
            <a:spLocks noChangeShapeType="1"/>
          </xdr:cNvSpPr>
        </xdr:nvSpPr>
        <xdr:spPr bwMode="auto">
          <a:xfrm flipV="1">
            <a:off x="13221" y="13635"/>
            <a:ext cx="0" cy="28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0" name="Straight Connector 17">
            <a:extLst>
              <a:ext uri="{FF2B5EF4-FFF2-40B4-BE49-F238E27FC236}">
                <a16:creationId xmlns:a16="http://schemas.microsoft.com/office/drawing/2014/main" id="{51202865-EEA6-4C1D-8AF7-CE688B78A002}"/>
              </a:ext>
            </a:extLst>
          </xdr:cNvPr>
          <xdr:cNvSpPr>
            <a:spLocks noChangeShapeType="1"/>
          </xdr:cNvSpPr>
        </xdr:nvSpPr>
        <xdr:spPr bwMode="auto">
          <a:xfrm flipV="1">
            <a:off x="21282" y="13661"/>
            <a:ext cx="0" cy="28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1</xdr:row>
      <xdr:rowOff>314325</xdr:rowOff>
    </xdr:from>
    <xdr:to>
      <xdr:col>0</xdr:col>
      <xdr:colOff>1162050</xdr:colOff>
      <xdr:row>2</xdr:row>
      <xdr:rowOff>447675</xdr:rowOff>
    </xdr:to>
    <xdr:sp macro="" textlink="" fLocksText="0">
      <xdr:nvSpPr>
        <xdr:cNvPr id="4097" name="Rectangle 117">
          <a:hlinkClick xmlns:r="http://schemas.openxmlformats.org/officeDocument/2006/relationships" r:id="rId1"/>
          <a:extLst>
            <a:ext uri="{FF2B5EF4-FFF2-40B4-BE49-F238E27FC236}">
              <a16:creationId xmlns:a16="http://schemas.microsoft.com/office/drawing/2014/main" id="{F822478D-4F68-4146-BCFE-3FFFA4AE37ED}"/>
            </a:ext>
          </a:extLst>
        </xdr:cNvPr>
        <xdr:cNvSpPr>
          <a:spLocks noChangeArrowheads="1"/>
        </xdr:cNvSpPr>
      </xdr:nvSpPr>
      <xdr:spPr bwMode="auto">
        <a:xfrm>
          <a:off x="228600" y="581025"/>
          <a:ext cx="933450" cy="457200"/>
        </a:xfrm>
        <a:custGeom>
          <a:avLst/>
          <a:gdLst>
            <a:gd name="G0" fmla="*/ 2762 1 2"/>
            <a:gd name="G1" fmla="*/ 1265 1 2"/>
            <a:gd name="G2" fmla="+- 1265 0 0"/>
            <a:gd name="G3" fmla="+- 2762 0 0"/>
          </a:gdLst>
          <a:ahLst/>
          <a:cxnLst>
            <a:cxn ang="0">
              <a:pos x="r" y="vc"/>
            </a:cxn>
            <a:cxn ang="5400000">
              <a:pos x="hc" y="b"/>
            </a:cxn>
            <a:cxn ang="10800000">
              <a:pos x="l" y="vc"/>
            </a:cxn>
            <a:cxn ang="16200000">
              <a:pos x="hc" y="t"/>
            </a:cxn>
          </a:cxnLst>
          <a:rect l="0" t="0" r="0" b="0"/>
          <a:pathLst>
            <a:path>
              <a:moveTo>
                <a:pt x="0" y="0"/>
              </a:moveTo>
              <a:lnTo>
                <a:pt x="2762" y="0"/>
              </a:lnTo>
              <a:lnTo>
                <a:pt x="2762" y="1265"/>
              </a:lnTo>
              <a:lnTo>
                <a:pt x="0" y="1265"/>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es-SV" sz="900" b="0" i="0" u="none" strike="noStrike" baseline="0">
              <a:solidFill>
                <a:srgbClr val="000000"/>
              </a:solidFill>
              <a:latin typeface="Calibri"/>
              <a:cs typeface="Calibri"/>
            </a:rPr>
            <a:t>http://www.crwflags.com/fotw/flags/country.html</a:t>
          </a:r>
        </a:p>
      </xdr:txBody>
    </xdr:sp>
    <xdr:clientData/>
  </xdr:twoCellAnchor>
  <xdr:twoCellAnchor>
    <xdr:from>
      <xdr:col>0</xdr:col>
      <xdr:colOff>114300</xdr:colOff>
      <xdr:row>0</xdr:row>
      <xdr:rowOff>28575</xdr:rowOff>
    </xdr:from>
    <xdr:to>
      <xdr:col>0</xdr:col>
      <xdr:colOff>1000125</xdr:colOff>
      <xdr:row>1</xdr:row>
      <xdr:rowOff>104775</xdr:rowOff>
    </xdr:to>
    <xdr:sp macro="" textlink="" fLocksText="0">
      <xdr:nvSpPr>
        <xdr:cNvPr id="4098" name="AutoShape 50">
          <a:hlinkClick xmlns:r="http://schemas.openxmlformats.org/officeDocument/2006/relationships" r:id="rId2"/>
          <a:extLst>
            <a:ext uri="{FF2B5EF4-FFF2-40B4-BE49-F238E27FC236}">
              <a16:creationId xmlns:a16="http://schemas.microsoft.com/office/drawing/2014/main" id="{8036BF29-0CB6-45F5-BF94-4E83E8C2C8FB}"/>
            </a:ext>
          </a:extLst>
        </xdr:cNvPr>
        <xdr:cNvSpPr>
          <a:spLocks noChangeArrowheads="1"/>
        </xdr:cNvSpPr>
      </xdr:nvSpPr>
      <xdr:spPr bwMode="auto">
        <a:xfrm>
          <a:off x="114300" y="28575"/>
          <a:ext cx="885825" cy="342900"/>
        </a:xfrm>
        <a:custGeom>
          <a:avLst/>
          <a:gdLst>
            <a:gd name="G0" fmla="min 2599 952"/>
            <a:gd name="G1" fmla="*/ 34464 2599 1"/>
            <a:gd name="G2" fmla="*/ G1 1 G0"/>
            <a:gd name="G3" fmla="*/ 1 0 0"/>
            <a:gd name="G4" fmla="+- G3 0 50000"/>
            <a:gd name="G5" fmla="*/ 1 0 0"/>
            <a:gd name="G6" fmla="+- 34464 0 50000"/>
            <a:gd name="G7" fmla="?: G6 50000 34464"/>
            <a:gd name="G8" fmla="?: G4 G5 G6"/>
            <a:gd name="G9" fmla="*/ 1 0 0"/>
            <a:gd name="G10" fmla="+- G9 0 74365"/>
            <a:gd name="G11" fmla="*/ 1 0 0"/>
            <a:gd name="G12" fmla="+- G2 0 74365"/>
            <a:gd name="G13" fmla="?: G12 74365 G2"/>
            <a:gd name="G14" fmla="?: G10 G11 G12"/>
            <a:gd name="G15" fmla="*/ G0 G14 1"/>
            <a:gd name="G16" fmla="*/ G15 1 34464"/>
            <a:gd name="G17" fmla="*/ 1 0 0"/>
            <a:gd name="G18" fmla="+- G16 0 G17"/>
            <a:gd name="G19" fmla="*/ 952 G8 1"/>
            <a:gd name="G20" fmla="*/ G19 1 3392"/>
            <a:gd name="G21" fmla="*/ 952 1 2"/>
            <a:gd name="G22" fmla="+- G21 0 G20"/>
            <a:gd name="G23" fmla="+- G21 G20 0"/>
            <a:gd name="G24" fmla="*/ 1 0 0"/>
            <a:gd name="G25" fmla="+- G23 0 G24"/>
            <a:gd name="G26" fmla="*/ 952 1 2"/>
            <a:gd name="G27" fmla="*/ G22 G16 1"/>
            <a:gd name="G28" fmla="*/ G27 1 G26"/>
            <a:gd name="G29" fmla="+- G18 0 G28"/>
            <a:gd name="G30" fmla="+- 2599 0 0"/>
            <a:gd name="G31" fmla="+- 952 0 0"/>
          </a:gdLst>
          <a:ahLst/>
          <a:cxnLst>
            <a:cxn ang="0">
              <a:pos x="r" y="vc"/>
            </a:cxn>
            <a:cxn ang="5400000">
              <a:pos x="hc" y="b"/>
            </a:cxn>
            <a:cxn ang="10800000">
              <a:pos x="l" y="vc"/>
            </a:cxn>
            <a:cxn ang="16200000">
              <a:pos x="hc" y="t"/>
            </a:cxn>
          </a:cxnLst>
          <a:rect l="0" t="0" r="0" b="0"/>
          <a:pathLst>
            <a:path>
              <a:moveTo>
                <a:pt x="0" y="476"/>
              </a:moveTo>
              <a:lnTo>
                <a:pt x="544" y="0"/>
              </a:lnTo>
              <a:lnTo>
                <a:pt x="544" y="4836"/>
              </a:lnTo>
              <a:lnTo>
                <a:pt x="2599" y="4836"/>
              </a:lnTo>
              <a:lnTo>
                <a:pt x="2599" y="-3885"/>
              </a:lnTo>
              <a:lnTo>
                <a:pt x="544" y="-3885"/>
              </a:lnTo>
              <a:lnTo>
                <a:pt x="544" y="952"/>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0</xdr:col>
      <xdr:colOff>247650</xdr:colOff>
      <xdr:row>1</xdr:row>
      <xdr:rowOff>266700</xdr:rowOff>
    </xdr:from>
    <xdr:to>
      <xdr:col>0</xdr:col>
      <xdr:colOff>1200150</xdr:colOff>
      <xdr:row>3</xdr:row>
      <xdr:rowOff>38100</xdr:rowOff>
    </xdr:to>
    <xdr:pic>
      <xdr:nvPicPr>
        <xdr:cNvPr id="4099" name="Picture 711">
          <a:extLst>
            <a:ext uri="{FF2B5EF4-FFF2-40B4-BE49-F238E27FC236}">
              <a16:creationId xmlns:a16="http://schemas.microsoft.com/office/drawing/2014/main" id="{209B8E24-543C-47C8-82E0-43BE62C1C51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7650" y="533400"/>
          <a:ext cx="952500" cy="552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0</xdr:rowOff>
    </xdr:from>
    <xdr:to>
      <xdr:col>1</xdr:col>
      <xdr:colOff>714375</xdr:colOff>
      <xdr:row>0</xdr:row>
      <xdr:rowOff>333375</xdr:rowOff>
    </xdr:to>
    <xdr:sp macro="" textlink="" fLocksText="0">
      <xdr:nvSpPr>
        <xdr:cNvPr id="4" name="AutoShape 50">
          <a:hlinkClick xmlns:r="http://schemas.openxmlformats.org/officeDocument/2006/relationships" r:id="rId1"/>
          <a:extLst>
            <a:ext uri="{FF2B5EF4-FFF2-40B4-BE49-F238E27FC236}">
              <a16:creationId xmlns:a16="http://schemas.microsoft.com/office/drawing/2014/main" id="{6B2C1998-452D-4181-B69F-E809E60C2AF8}"/>
            </a:ext>
          </a:extLst>
        </xdr:cNvPr>
        <xdr:cNvSpPr>
          <a:spLocks noChangeArrowheads="1"/>
        </xdr:cNvSpPr>
      </xdr:nvSpPr>
      <xdr:spPr bwMode="auto">
        <a:xfrm>
          <a:off x="28575" y="0"/>
          <a:ext cx="914400" cy="333375"/>
        </a:xfrm>
        <a:custGeom>
          <a:avLst/>
          <a:gdLst>
            <a:gd name="G0" fmla="min 2692 926"/>
            <a:gd name="G1" fmla="*/ 34464 2692 1"/>
            <a:gd name="G2" fmla="*/ G1 1 G0"/>
            <a:gd name="G3" fmla="*/ 1 0 0"/>
            <a:gd name="G4" fmla="+- G3 0 50000"/>
            <a:gd name="G5" fmla="*/ 1 0 0"/>
            <a:gd name="G6" fmla="+- 34464 0 50000"/>
            <a:gd name="G7" fmla="?: G6 50000 34464"/>
            <a:gd name="G8" fmla="?: G4 G5 G6"/>
            <a:gd name="G9" fmla="*/ 1 0 0"/>
            <a:gd name="G10" fmla="+- G9 0 78906"/>
            <a:gd name="G11" fmla="*/ 1 0 0"/>
            <a:gd name="G12" fmla="+- G2 0 78906"/>
            <a:gd name="G13" fmla="?: G12 7890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692 0 0"/>
            <a:gd name="G31" fmla="+- 926 0 0"/>
          </a:gdLst>
          <a:ahLst/>
          <a:cxnLst>
            <a:cxn ang="0">
              <a:pos x="r" y="vc"/>
            </a:cxn>
            <a:cxn ang="5400000">
              <a:pos x="hc" y="b"/>
            </a:cxn>
            <a:cxn ang="10800000">
              <a:pos x="l" y="vc"/>
            </a:cxn>
            <a:cxn ang="16200000">
              <a:pos x="hc" y="t"/>
            </a:cxn>
          </a:cxnLst>
          <a:rect l="0" t="0" r="0" b="0"/>
          <a:pathLst>
            <a:path>
              <a:moveTo>
                <a:pt x="0" y="463"/>
              </a:moveTo>
              <a:lnTo>
                <a:pt x="571" y="0"/>
              </a:lnTo>
              <a:lnTo>
                <a:pt x="571" y="4704"/>
              </a:lnTo>
              <a:lnTo>
                <a:pt x="2692" y="4704"/>
              </a:lnTo>
              <a:lnTo>
                <a:pt x="2692" y="-3779"/>
              </a:lnTo>
              <a:lnTo>
                <a:pt x="571" y="-3779"/>
              </a:lnTo>
              <a:lnTo>
                <a:pt x="571"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0</xdr:col>
      <xdr:colOff>0</xdr:colOff>
      <xdr:row>24</xdr:row>
      <xdr:rowOff>47624</xdr:rowOff>
    </xdr:from>
    <xdr:to>
      <xdr:col>7</xdr:col>
      <xdr:colOff>228600</xdr:colOff>
      <xdr:row>38</xdr:row>
      <xdr:rowOff>133350</xdr:rowOff>
    </xdr:to>
    <xdr:graphicFrame macro="">
      <xdr:nvGraphicFramePr>
        <xdr:cNvPr id="6" name="Gráfico 5">
          <a:extLst>
            <a:ext uri="{FF2B5EF4-FFF2-40B4-BE49-F238E27FC236}">
              <a16:creationId xmlns:a16="http://schemas.microsoft.com/office/drawing/2014/main" id="{6EF06005-F232-434E-A696-835D573CB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542925</xdr:colOff>
      <xdr:row>8</xdr:row>
      <xdr:rowOff>1238250</xdr:rowOff>
    </xdr:from>
    <xdr:to>
      <xdr:col>6</xdr:col>
      <xdr:colOff>401410</xdr:colOff>
      <xdr:row>21</xdr:row>
      <xdr:rowOff>85725</xdr:rowOff>
    </xdr:to>
    <xdr:graphicFrame macro="">
      <xdr:nvGraphicFramePr>
        <xdr:cNvPr id="12" name="Gráfico 1">
          <a:extLst>
            <a:ext uri="{FF2B5EF4-FFF2-40B4-BE49-F238E27FC236}">
              <a16:creationId xmlns:a16="http://schemas.microsoft.com/office/drawing/2014/main" id="{930820FC-0D4E-4623-B689-61FABE3A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1990725</xdr:colOff>
      <xdr:row>9</xdr:row>
      <xdr:rowOff>272142</xdr:rowOff>
    </xdr:from>
    <xdr:to>
      <xdr:col>14</xdr:col>
      <xdr:colOff>163286</xdr:colOff>
      <xdr:row>21</xdr:row>
      <xdr:rowOff>367393</xdr:rowOff>
    </xdr:to>
    <xdr:graphicFrame macro="">
      <xdr:nvGraphicFramePr>
        <xdr:cNvPr id="13" name="Gráfico 2">
          <a:extLst>
            <a:ext uri="{FF2B5EF4-FFF2-40B4-BE49-F238E27FC236}">
              <a16:creationId xmlns:a16="http://schemas.microsoft.com/office/drawing/2014/main" id="{BFD12A66-DC84-48B8-865F-4CD666F65F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828675</xdr:colOff>
      <xdr:row>9</xdr:row>
      <xdr:rowOff>228600</xdr:rowOff>
    </xdr:from>
    <xdr:to>
      <xdr:col>28</xdr:col>
      <xdr:colOff>127513</xdr:colOff>
      <xdr:row>21</xdr:row>
      <xdr:rowOff>789215</xdr:rowOff>
    </xdr:to>
    <xdr:graphicFrame macro="">
      <xdr:nvGraphicFramePr>
        <xdr:cNvPr id="14" name="Gráfico 4">
          <a:extLst>
            <a:ext uri="{FF2B5EF4-FFF2-40B4-BE49-F238E27FC236}">
              <a16:creationId xmlns:a16="http://schemas.microsoft.com/office/drawing/2014/main" id="{7E75CAEC-A06F-40D9-929B-636DDE04F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xdr:colOff>
      <xdr:row>7</xdr:row>
      <xdr:rowOff>152400</xdr:rowOff>
    </xdr:from>
    <xdr:to>
      <xdr:col>12</xdr:col>
      <xdr:colOff>295275</xdr:colOff>
      <xdr:row>15</xdr:row>
      <xdr:rowOff>142875</xdr:rowOff>
    </xdr:to>
    <xdr:graphicFrame macro="">
      <xdr:nvGraphicFramePr>
        <xdr:cNvPr id="6145" name="Gráfico 1">
          <a:extLst>
            <a:ext uri="{FF2B5EF4-FFF2-40B4-BE49-F238E27FC236}">
              <a16:creationId xmlns:a16="http://schemas.microsoft.com/office/drawing/2014/main" id="{87F66D71-DEE9-4396-8D6B-73CFE886C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16</xdr:row>
      <xdr:rowOff>361950</xdr:rowOff>
    </xdr:from>
    <xdr:to>
      <xdr:col>6</xdr:col>
      <xdr:colOff>28575</xdr:colOff>
      <xdr:row>26</xdr:row>
      <xdr:rowOff>19050</xdr:rowOff>
    </xdr:to>
    <xdr:graphicFrame macro="">
      <xdr:nvGraphicFramePr>
        <xdr:cNvPr id="6146" name="Gráfico 2">
          <a:extLst>
            <a:ext uri="{FF2B5EF4-FFF2-40B4-BE49-F238E27FC236}">
              <a16:creationId xmlns:a16="http://schemas.microsoft.com/office/drawing/2014/main" id="{8382C917-20EC-4CF8-9F75-D532ABCD5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7</xdr:row>
      <xdr:rowOff>180975</xdr:rowOff>
    </xdr:from>
    <xdr:to>
      <xdr:col>6</xdr:col>
      <xdr:colOff>114300</xdr:colOff>
      <xdr:row>15</xdr:row>
      <xdr:rowOff>238125</xdr:rowOff>
    </xdr:to>
    <xdr:graphicFrame macro="">
      <xdr:nvGraphicFramePr>
        <xdr:cNvPr id="6147" name="Gráfico 3">
          <a:extLst>
            <a:ext uri="{FF2B5EF4-FFF2-40B4-BE49-F238E27FC236}">
              <a16:creationId xmlns:a16="http://schemas.microsoft.com/office/drawing/2014/main" id="{BB6A065B-D6F3-4155-90D8-6B969D2C2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933450</xdr:colOff>
      <xdr:row>17</xdr:row>
      <xdr:rowOff>19050</xdr:rowOff>
    </xdr:from>
    <xdr:to>
      <xdr:col>12</xdr:col>
      <xdr:colOff>561975</xdr:colOff>
      <xdr:row>25</xdr:row>
      <xdr:rowOff>257175</xdr:rowOff>
    </xdr:to>
    <xdr:graphicFrame macro="">
      <xdr:nvGraphicFramePr>
        <xdr:cNvPr id="6148" name="Gráfico 4">
          <a:extLst>
            <a:ext uri="{FF2B5EF4-FFF2-40B4-BE49-F238E27FC236}">
              <a16:creationId xmlns:a16="http://schemas.microsoft.com/office/drawing/2014/main" id="{AD5EA788-D5C4-4AA8-BE58-9DF948903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28</xdr:row>
      <xdr:rowOff>38100</xdr:rowOff>
    </xdr:from>
    <xdr:to>
      <xdr:col>6</xdr:col>
      <xdr:colOff>123825</xdr:colOff>
      <xdr:row>31</xdr:row>
      <xdr:rowOff>257175</xdr:rowOff>
    </xdr:to>
    <xdr:graphicFrame macro="">
      <xdr:nvGraphicFramePr>
        <xdr:cNvPr id="6149" name="Gráfico 5">
          <a:extLst>
            <a:ext uri="{FF2B5EF4-FFF2-40B4-BE49-F238E27FC236}">
              <a16:creationId xmlns:a16="http://schemas.microsoft.com/office/drawing/2014/main" id="{84092C96-2392-44DD-9A0A-7F5A85C94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0</xdr:row>
      <xdr:rowOff>0</xdr:rowOff>
    </xdr:from>
    <xdr:to>
      <xdr:col>1</xdr:col>
      <xdr:colOff>704850</xdr:colOff>
      <xdr:row>0</xdr:row>
      <xdr:rowOff>333375</xdr:rowOff>
    </xdr:to>
    <xdr:sp macro="" textlink="" fLocksText="0">
      <xdr:nvSpPr>
        <xdr:cNvPr id="6150" name="AutoShape 50">
          <a:hlinkClick xmlns:r="http://schemas.openxmlformats.org/officeDocument/2006/relationships" r:id="rId6"/>
          <a:extLst>
            <a:ext uri="{FF2B5EF4-FFF2-40B4-BE49-F238E27FC236}">
              <a16:creationId xmlns:a16="http://schemas.microsoft.com/office/drawing/2014/main" id="{57801220-9B1B-4284-920B-CED319F6EAF9}"/>
            </a:ext>
          </a:extLst>
        </xdr:cNvPr>
        <xdr:cNvSpPr>
          <a:spLocks noChangeArrowheads="1"/>
        </xdr:cNvSpPr>
      </xdr:nvSpPr>
      <xdr:spPr bwMode="auto">
        <a:xfrm>
          <a:off x="28575" y="0"/>
          <a:ext cx="904875" cy="333375"/>
        </a:xfrm>
        <a:custGeom>
          <a:avLst/>
          <a:gdLst>
            <a:gd name="G0" fmla="min 2670 926"/>
            <a:gd name="G1" fmla="*/ 34464 2670 1"/>
            <a:gd name="G2" fmla="*/ G1 1 G0"/>
            <a:gd name="G3" fmla="*/ 1 0 0"/>
            <a:gd name="G4" fmla="+- G3 0 50000"/>
            <a:gd name="G5" fmla="*/ 1 0 0"/>
            <a:gd name="G6" fmla="+- 34464 0 50000"/>
            <a:gd name="G7" fmla="?: G6 50000 34464"/>
            <a:gd name="G8" fmla="?: G4 G5 G6"/>
            <a:gd name="G9" fmla="*/ 1 0 0"/>
            <a:gd name="G10" fmla="+- G9 0 78906"/>
            <a:gd name="G11" fmla="*/ 1 0 0"/>
            <a:gd name="G12" fmla="+- G2 0 78906"/>
            <a:gd name="G13" fmla="?: G12 7890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670 0 0"/>
            <a:gd name="G31" fmla="+- 926 0 0"/>
          </a:gdLst>
          <a:ahLst/>
          <a:cxnLst>
            <a:cxn ang="0">
              <a:pos x="r" y="vc"/>
            </a:cxn>
            <a:cxn ang="5400000">
              <a:pos x="hc" y="b"/>
            </a:cxn>
            <a:cxn ang="10800000">
              <a:pos x="l" y="vc"/>
            </a:cxn>
            <a:cxn ang="16200000">
              <a:pos x="hc" y="t"/>
            </a:cxn>
          </a:cxnLst>
          <a:rect l="0" t="0" r="0" b="0"/>
          <a:pathLst>
            <a:path>
              <a:moveTo>
                <a:pt x="0" y="463"/>
              </a:moveTo>
              <a:lnTo>
                <a:pt x="549" y="0"/>
              </a:lnTo>
              <a:lnTo>
                <a:pt x="549" y="4704"/>
              </a:lnTo>
              <a:lnTo>
                <a:pt x="2670" y="4704"/>
              </a:lnTo>
              <a:lnTo>
                <a:pt x="2670" y="-3779"/>
              </a:lnTo>
              <a:lnTo>
                <a:pt x="549" y="-3779"/>
              </a:lnTo>
              <a:lnTo>
                <a:pt x="549"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438150</xdr:colOff>
      <xdr:row>9</xdr:row>
      <xdr:rowOff>104774</xdr:rowOff>
    </xdr:from>
    <xdr:to>
      <xdr:col>10</xdr:col>
      <xdr:colOff>1661583</xdr:colOff>
      <xdr:row>14</xdr:row>
      <xdr:rowOff>105833</xdr:rowOff>
    </xdr:to>
    <xdr:graphicFrame macro="">
      <xdr:nvGraphicFramePr>
        <xdr:cNvPr id="7169" name="Gráfico 1">
          <a:extLst>
            <a:ext uri="{FF2B5EF4-FFF2-40B4-BE49-F238E27FC236}">
              <a16:creationId xmlns:a16="http://schemas.microsoft.com/office/drawing/2014/main" id="{B6F86160-55D2-41BB-B955-CF9D8A95A4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9</xdr:row>
      <xdr:rowOff>57150</xdr:rowOff>
    </xdr:from>
    <xdr:to>
      <xdr:col>17</xdr:col>
      <xdr:colOff>9525</xdr:colOff>
      <xdr:row>16</xdr:row>
      <xdr:rowOff>161925</xdr:rowOff>
    </xdr:to>
    <xdr:graphicFrame macro="">
      <xdr:nvGraphicFramePr>
        <xdr:cNvPr id="7170" name="Gráfico 2">
          <a:extLst>
            <a:ext uri="{FF2B5EF4-FFF2-40B4-BE49-F238E27FC236}">
              <a16:creationId xmlns:a16="http://schemas.microsoft.com/office/drawing/2014/main" id="{80D8ECAF-8A60-4848-B2BE-100DB6894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0</xdr:row>
      <xdr:rowOff>9525</xdr:rowOff>
    </xdr:from>
    <xdr:to>
      <xdr:col>1</xdr:col>
      <xdr:colOff>942975</xdr:colOff>
      <xdr:row>1</xdr:row>
      <xdr:rowOff>0</xdr:rowOff>
    </xdr:to>
    <xdr:sp macro="" textlink="" fLocksText="0">
      <xdr:nvSpPr>
        <xdr:cNvPr id="7171" name="AutoShape 50">
          <a:hlinkClick xmlns:r="http://schemas.openxmlformats.org/officeDocument/2006/relationships" r:id="rId3"/>
          <a:extLst>
            <a:ext uri="{FF2B5EF4-FFF2-40B4-BE49-F238E27FC236}">
              <a16:creationId xmlns:a16="http://schemas.microsoft.com/office/drawing/2014/main" id="{1EB1D272-1627-450E-9221-0CBA7938D313}"/>
            </a:ext>
          </a:extLst>
        </xdr:cNvPr>
        <xdr:cNvSpPr>
          <a:spLocks noChangeArrowheads="1"/>
        </xdr:cNvSpPr>
      </xdr:nvSpPr>
      <xdr:spPr bwMode="auto">
        <a:xfrm>
          <a:off x="57150" y="9525"/>
          <a:ext cx="914400" cy="323850"/>
        </a:xfrm>
        <a:custGeom>
          <a:avLst/>
          <a:gdLst>
            <a:gd name="G0" fmla="min 2704 900"/>
            <a:gd name="G1" fmla="*/ 34464 2704 1"/>
            <a:gd name="G2" fmla="*/ G1 1 G0"/>
            <a:gd name="G3" fmla="*/ 1 0 0"/>
            <a:gd name="G4" fmla="+- G3 0 50000"/>
            <a:gd name="G5" fmla="*/ 1 0 0"/>
            <a:gd name="G6" fmla="+- 34464 0 50000"/>
            <a:gd name="G7" fmla="?: G6 50000 34464"/>
            <a:gd name="G8" fmla="?: G4 G5 G6"/>
            <a:gd name="G9" fmla="*/ 1 0 0"/>
            <a:gd name="G10" fmla="+- G9 0 82055"/>
            <a:gd name="G11" fmla="*/ 1 0 0"/>
            <a:gd name="G12" fmla="+- G2 0 82055"/>
            <a:gd name="G13" fmla="?: G12 82055 G2"/>
            <a:gd name="G14" fmla="?: G10 G11 G12"/>
            <a:gd name="G15" fmla="*/ G0 G14 1"/>
            <a:gd name="G16" fmla="*/ G15 1 34464"/>
            <a:gd name="G17" fmla="*/ 1 0 0"/>
            <a:gd name="G18" fmla="+- G16 0 G17"/>
            <a:gd name="G19" fmla="*/ 900 G8 1"/>
            <a:gd name="G20" fmla="*/ G19 1 3392"/>
            <a:gd name="G21" fmla="*/ 900 1 2"/>
            <a:gd name="G22" fmla="+- G21 0 G20"/>
            <a:gd name="G23" fmla="+- G21 G20 0"/>
            <a:gd name="G24" fmla="*/ 1 0 0"/>
            <a:gd name="G25" fmla="+- G23 0 G24"/>
            <a:gd name="G26" fmla="*/ 900 1 2"/>
            <a:gd name="G27" fmla="*/ G22 G16 1"/>
            <a:gd name="G28" fmla="*/ G27 1 G26"/>
            <a:gd name="G29" fmla="+- G18 0 G28"/>
            <a:gd name="G30" fmla="+- 2704 0 0"/>
            <a:gd name="G31" fmla="+- 900 0 0"/>
          </a:gdLst>
          <a:ahLst/>
          <a:cxnLst>
            <a:cxn ang="0">
              <a:pos x="r" y="vc"/>
            </a:cxn>
            <a:cxn ang="5400000">
              <a:pos x="hc" y="b"/>
            </a:cxn>
            <a:cxn ang="10800000">
              <a:pos x="l" y="vc"/>
            </a:cxn>
            <a:cxn ang="16200000">
              <a:pos x="hc" y="t"/>
            </a:cxn>
          </a:cxnLst>
          <a:rect l="0" t="0" r="0" b="0"/>
          <a:pathLst>
            <a:path>
              <a:moveTo>
                <a:pt x="0" y="450"/>
              </a:moveTo>
              <a:lnTo>
                <a:pt x="560" y="0"/>
              </a:lnTo>
              <a:lnTo>
                <a:pt x="560" y="4572"/>
              </a:lnTo>
              <a:lnTo>
                <a:pt x="2704" y="4572"/>
              </a:lnTo>
              <a:lnTo>
                <a:pt x="2704" y="-3673"/>
              </a:lnTo>
              <a:lnTo>
                <a:pt x="560" y="-3673"/>
              </a:lnTo>
              <a:lnTo>
                <a:pt x="560" y="900"/>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1</xdr:col>
      <xdr:colOff>76200</xdr:colOff>
      <xdr:row>9</xdr:row>
      <xdr:rowOff>57150</xdr:rowOff>
    </xdr:from>
    <xdr:to>
      <xdr:col>5</xdr:col>
      <xdr:colOff>285750</xdr:colOff>
      <xdr:row>17</xdr:row>
      <xdr:rowOff>57150</xdr:rowOff>
    </xdr:to>
    <xdr:graphicFrame macro="">
      <xdr:nvGraphicFramePr>
        <xdr:cNvPr id="7172" name="Gráfico 4">
          <a:extLst>
            <a:ext uri="{FF2B5EF4-FFF2-40B4-BE49-F238E27FC236}">
              <a16:creationId xmlns:a16="http://schemas.microsoft.com/office/drawing/2014/main" id="{CABE6820-645B-4F24-AF9B-7F25500B0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923925</xdr:colOff>
      <xdr:row>0</xdr:row>
      <xdr:rowOff>371475</xdr:rowOff>
    </xdr:to>
    <xdr:sp macro="" textlink="" fLocksText="0">
      <xdr:nvSpPr>
        <xdr:cNvPr id="8193" name="AutoShape 50">
          <a:hlinkClick xmlns:r="http://schemas.openxmlformats.org/officeDocument/2006/relationships" r:id="rId1"/>
          <a:extLst>
            <a:ext uri="{FF2B5EF4-FFF2-40B4-BE49-F238E27FC236}">
              <a16:creationId xmlns:a16="http://schemas.microsoft.com/office/drawing/2014/main" id="{B3615DE2-8969-47F9-A751-94979C57B9E3}"/>
            </a:ext>
          </a:extLst>
        </xdr:cNvPr>
        <xdr:cNvSpPr>
          <a:spLocks noChangeArrowheads="1"/>
        </xdr:cNvSpPr>
      </xdr:nvSpPr>
      <xdr:spPr bwMode="auto">
        <a:xfrm>
          <a:off x="57150" y="38100"/>
          <a:ext cx="942975" cy="333375"/>
        </a:xfrm>
        <a:custGeom>
          <a:avLst/>
          <a:gdLst>
            <a:gd name="G0" fmla="min 2743 926"/>
            <a:gd name="G1" fmla="*/ 34464 2743 1"/>
            <a:gd name="G2" fmla="*/ G1 1 G0"/>
            <a:gd name="G3" fmla="*/ 1 0 0"/>
            <a:gd name="G4" fmla="+- G3 0 50000"/>
            <a:gd name="G5" fmla="*/ 1 0 0"/>
            <a:gd name="G6" fmla="+- 34464 0 50000"/>
            <a:gd name="G7" fmla="?: G6 50000 34464"/>
            <a:gd name="G8" fmla="?: G4 G5 G6"/>
            <a:gd name="G9" fmla="*/ 1 0 0"/>
            <a:gd name="G10" fmla="+- G9 0 80516"/>
            <a:gd name="G11" fmla="*/ 1 0 0"/>
            <a:gd name="G12" fmla="+- G2 0 80516"/>
            <a:gd name="G13" fmla="?: G12 8051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743 0 0"/>
            <a:gd name="G31" fmla="+- 926 0 0"/>
          </a:gdLst>
          <a:ahLst/>
          <a:cxnLst>
            <a:cxn ang="0">
              <a:pos x="r" y="vc"/>
            </a:cxn>
            <a:cxn ang="5400000">
              <a:pos x="hc" y="b"/>
            </a:cxn>
            <a:cxn ang="10800000">
              <a:pos x="l" y="vc"/>
            </a:cxn>
            <a:cxn ang="16200000">
              <a:pos x="hc" y="t"/>
            </a:cxn>
          </a:cxnLst>
          <a:rect l="0" t="0" r="0" b="0"/>
          <a:pathLst>
            <a:path>
              <a:moveTo>
                <a:pt x="0" y="463"/>
              </a:moveTo>
              <a:lnTo>
                <a:pt x="579" y="0"/>
              </a:lnTo>
              <a:lnTo>
                <a:pt x="579" y="4704"/>
              </a:lnTo>
              <a:lnTo>
                <a:pt x="2743" y="4704"/>
              </a:lnTo>
              <a:lnTo>
                <a:pt x="2743" y="-3779"/>
              </a:lnTo>
              <a:lnTo>
                <a:pt x="579" y="-3779"/>
              </a:lnTo>
              <a:lnTo>
                <a:pt x="579"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19050</xdr:rowOff>
    </xdr:from>
    <xdr:to>
      <xdr:col>1</xdr:col>
      <xdr:colOff>676275</xdr:colOff>
      <xdr:row>0</xdr:row>
      <xdr:rowOff>342900</xdr:rowOff>
    </xdr:to>
    <xdr:sp macro="" textlink="" fLocksText="0">
      <xdr:nvSpPr>
        <xdr:cNvPr id="9217" name="AutoShape 50">
          <a:hlinkClick xmlns:r="http://schemas.openxmlformats.org/officeDocument/2006/relationships" r:id="rId1"/>
          <a:extLst>
            <a:ext uri="{FF2B5EF4-FFF2-40B4-BE49-F238E27FC236}">
              <a16:creationId xmlns:a16="http://schemas.microsoft.com/office/drawing/2014/main" id="{94F4392F-33BB-45F2-9388-B17E8E4CF03B}"/>
            </a:ext>
          </a:extLst>
        </xdr:cNvPr>
        <xdr:cNvSpPr>
          <a:spLocks noChangeArrowheads="1"/>
        </xdr:cNvSpPr>
      </xdr:nvSpPr>
      <xdr:spPr bwMode="auto">
        <a:xfrm>
          <a:off x="57150" y="19050"/>
          <a:ext cx="895350" cy="323850"/>
        </a:xfrm>
        <a:custGeom>
          <a:avLst/>
          <a:gdLst>
            <a:gd name="G0" fmla="min 2626 900"/>
            <a:gd name="G1" fmla="*/ 34464 2626 1"/>
            <a:gd name="G2" fmla="*/ G1 1 G0"/>
            <a:gd name="G3" fmla="*/ 1 0 0"/>
            <a:gd name="G4" fmla="+- G3 0 50000"/>
            <a:gd name="G5" fmla="*/ 1 0 0"/>
            <a:gd name="G6" fmla="+- 34464 0 50000"/>
            <a:gd name="G7" fmla="?: G6 50000 34464"/>
            <a:gd name="G8" fmla="?: G4 G5 G6"/>
            <a:gd name="G9" fmla="*/ 1 0 0"/>
            <a:gd name="G10" fmla="+- G9 0 79569"/>
            <a:gd name="G11" fmla="*/ 1 0 0"/>
            <a:gd name="G12" fmla="+- G2 0 79569"/>
            <a:gd name="G13" fmla="?: G12 79569 G2"/>
            <a:gd name="G14" fmla="?: G10 G11 G12"/>
            <a:gd name="G15" fmla="*/ G0 G14 1"/>
            <a:gd name="G16" fmla="*/ G15 1 34464"/>
            <a:gd name="G17" fmla="*/ 1 0 0"/>
            <a:gd name="G18" fmla="+- G16 0 G17"/>
            <a:gd name="G19" fmla="*/ 900 G8 1"/>
            <a:gd name="G20" fmla="*/ G19 1 3392"/>
            <a:gd name="G21" fmla="*/ 900 1 2"/>
            <a:gd name="G22" fmla="+- G21 0 G20"/>
            <a:gd name="G23" fmla="+- G21 G20 0"/>
            <a:gd name="G24" fmla="*/ 1 0 0"/>
            <a:gd name="G25" fmla="+- G23 0 G24"/>
            <a:gd name="G26" fmla="*/ 900 1 2"/>
            <a:gd name="G27" fmla="*/ G22 G16 1"/>
            <a:gd name="G28" fmla="*/ G27 1 G26"/>
            <a:gd name="G29" fmla="+- G18 0 G28"/>
            <a:gd name="G30" fmla="+- 2626 0 0"/>
            <a:gd name="G31" fmla="+- 900 0 0"/>
          </a:gdLst>
          <a:ahLst/>
          <a:cxnLst>
            <a:cxn ang="0">
              <a:pos x="r" y="vc"/>
            </a:cxn>
            <a:cxn ang="5400000">
              <a:pos x="hc" y="b"/>
            </a:cxn>
            <a:cxn ang="10800000">
              <a:pos x="l" y="vc"/>
            </a:cxn>
            <a:cxn ang="16200000">
              <a:pos x="hc" y="t"/>
            </a:cxn>
          </a:cxnLst>
          <a:rect l="0" t="0" r="0" b="0"/>
          <a:pathLst>
            <a:path>
              <a:moveTo>
                <a:pt x="0" y="450"/>
              </a:moveTo>
              <a:lnTo>
                <a:pt x="547" y="0"/>
              </a:lnTo>
              <a:lnTo>
                <a:pt x="547" y="4572"/>
              </a:lnTo>
              <a:lnTo>
                <a:pt x="2626" y="4572"/>
              </a:lnTo>
              <a:lnTo>
                <a:pt x="2626" y="-3673"/>
              </a:lnTo>
              <a:lnTo>
                <a:pt x="547" y="-3673"/>
              </a:lnTo>
              <a:lnTo>
                <a:pt x="547" y="900"/>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20MENSUALES/REPORTE%20SEMESTRAL/Documents%20and%20Settings/Administrator/My%20Documents/Downloads/Ficticia%20HIV%20Dashboard_ES%20-%20Set%20Up%20and%20Maintenance%20Gu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royecto%20FM%20(PENMTB%202016%20-%202021)%20_%20ESA\A&#241;o%202021\Tablero%20de%20Mando%20(a&#241;o%202020_TB)\TABLERO%20DE%20MANDO%20TB%20NMFFASE2%20al%20300621%20MC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refreshError="1"/>
      <sheetData sheetId="1">
        <row r="6">
          <cell r="B6" t="str">
            <v>Subvención nº:</v>
          </cell>
          <cell r="C6" t="str">
            <v>FIC-910-G01-H</v>
          </cell>
        </row>
      </sheetData>
      <sheetData sheetId="2">
        <row r="3">
          <cell r="B3" t="str">
            <v>Tablero de mando:  Ficticia - VIH / SIDA</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sheetData sheetId="1"/>
      <sheetData sheetId="2">
        <row r="33">
          <cell r="C33">
            <v>1721029</v>
          </cell>
          <cell r="D33">
            <v>3110315</v>
          </cell>
          <cell r="E33">
            <v>4242741</v>
          </cell>
          <cell r="F33"/>
          <cell r="G33"/>
          <cell r="H33"/>
          <cell r="I33"/>
          <cell r="J33"/>
          <cell r="K33"/>
          <cell r="L33"/>
          <cell r="M33"/>
          <cell r="N33"/>
        </row>
        <row r="34">
          <cell r="C34">
            <v>1721029</v>
          </cell>
          <cell r="D34">
            <v>3110315</v>
          </cell>
          <cell r="E34">
            <v>4184306</v>
          </cell>
          <cell r="F34"/>
          <cell r="G34"/>
          <cell r="H34"/>
          <cell r="I34"/>
          <cell r="J34"/>
          <cell r="K34"/>
          <cell r="L34"/>
          <cell r="M34"/>
          <cell r="N34"/>
        </row>
        <row r="55">
          <cell r="B55" t="str">
            <v>Desembolsado por el FM al RP+Saldode caja del periodo anterios</v>
          </cell>
          <cell r="D55">
            <v>1233345.3900000001</v>
          </cell>
        </row>
        <row r="56">
          <cell r="B56" t="str">
            <v>Gasto* + Desembolso agentes*</v>
          </cell>
          <cell r="D56">
            <v>1070977.08</v>
          </cell>
        </row>
        <row r="57">
          <cell r="B57" t="str">
            <v xml:space="preserve">Compromisos al 30 de Junio  MINSAL </v>
          </cell>
          <cell r="D57">
            <v>83798</v>
          </cell>
        </row>
        <row r="58">
          <cell r="B58" t="str">
            <v>Saldo en caja</v>
          </cell>
          <cell r="D58">
            <v>78570.310000000056</v>
          </cell>
        </row>
        <row r="60">
          <cell r="B60" t="str">
            <v>Desembolsado compras  PNUD</v>
          </cell>
          <cell r="E60">
            <v>2417567.9299999997</v>
          </cell>
        </row>
        <row r="61">
          <cell r="B61" t="str">
            <v>Gastos de los Agentes de Compra PNUD</v>
          </cell>
          <cell r="E61">
            <v>1469612.09</v>
          </cell>
        </row>
        <row r="62">
          <cell r="B62" t="str">
            <v>Monto compras MINSAL</v>
          </cell>
          <cell r="E62">
            <v>732084.92999999993</v>
          </cell>
        </row>
        <row r="63">
          <cell r="B63" t="str">
            <v>Gasto MINSAL</v>
          </cell>
          <cell r="E63">
            <v>484006.22</v>
          </cell>
        </row>
        <row r="64">
          <cell r="B64" t="str">
            <v>Desembolsado compras OPS</v>
          </cell>
          <cell r="E64">
            <v>1104244.07</v>
          </cell>
        </row>
        <row r="65">
          <cell r="B65" t="str">
            <v>Gastos de los Agentes de Compra OPS</v>
          </cell>
          <cell r="E65">
            <v>1008210.32</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O4"/>
  <sheetViews>
    <sheetView showGridLines="0" topLeftCell="A3" zoomScale="80" zoomScaleNormal="80" workbookViewId="0">
      <selection activeCell="B4" sqref="B4:E4"/>
    </sheetView>
  </sheetViews>
  <sheetFormatPr baseColWidth="10" defaultColWidth="10.7109375" defaultRowHeight="15"/>
  <cols>
    <col min="1" max="1" width="1.140625" customWidth="1"/>
    <col min="2" max="10" width="11.42578125" customWidth="1"/>
    <col min="11" max="11" width="1.5703125" customWidth="1"/>
  </cols>
  <sheetData>
    <row r="1" spans="2:15" ht="25.5" customHeight="1"/>
    <row r="2" spans="2:15" ht="36">
      <c r="B2" s="451" t="str">
        <f>+'[1]Información de la subvención'!B3:J3</f>
        <v>Tablero de mando:  Ficticia - VIH / SIDA</v>
      </c>
      <c r="C2" s="451"/>
      <c r="D2" s="451"/>
      <c r="E2" s="451"/>
      <c r="F2" s="451"/>
      <c r="G2" s="451"/>
      <c r="H2" s="451"/>
      <c r="I2" s="451"/>
      <c r="J2" s="451"/>
      <c r="K2" s="451"/>
      <c r="L2" s="451"/>
      <c r="M2" s="1"/>
      <c r="N2" s="1"/>
      <c r="O2" s="1"/>
    </row>
    <row r="4" spans="2:15" ht="21">
      <c r="B4" s="452" t="str">
        <f>+'Introducción de datos'!G6&amp;"  "&amp;+'Introducción de datos'!G8&amp;",  "&amp;+'Introducción de datos'!I8</f>
        <v xml:space="preserve">TB  ,  </v>
      </c>
      <c r="C4" s="452"/>
      <c r="D4" s="452"/>
      <c r="E4" s="452"/>
      <c r="F4" s="2"/>
      <c r="G4" s="2"/>
      <c r="H4" s="3" t="str">
        <f>+'[1]Introducción de datos'!B6&amp;" "&amp;+'[1]Introducción de datos'!C6</f>
        <v>Subvención nº: FIC-910-G01-H</v>
      </c>
      <c r="I4" s="3"/>
      <c r="J4" s="3"/>
      <c r="K4" s="2"/>
      <c r="L4" s="2"/>
    </row>
  </sheetData>
  <sheetProtection selectLockedCells="1" selectUnlockedCells="1"/>
  <mergeCells count="2">
    <mergeCell ref="B2:L2"/>
    <mergeCell ref="B4:E4"/>
  </mergeCells>
  <phoneticPr fontId="66"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48"/>
  <sheetViews>
    <sheetView showGridLines="0" topLeftCell="G6" zoomScale="80" zoomScaleNormal="80" workbookViewId="0">
      <selection activeCell="H9" sqref="H9"/>
    </sheetView>
  </sheetViews>
  <sheetFormatPr baseColWidth="10" defaultColWidth="10.7109375" defaultRowHeight="15"/>
  <cols>
    <col min="1" max="1" width="11.42578125" customWidth="1"/>
    <col min="2" max="2" width="16.140625" customWidth="1"/>
    <col min="3" max="3" width="14.5703125" customWidth="1"/>
    <col min="4" max="4" width="15.42578125" customWidth="1"/>
    <col min="5" max="6" width="11.42578125" customWidth="1"/>
    <col min="7" max="7" width="14.42578125" customWidth="1"/>
    <col min="8" max="8" width="35.42578125" customWidth="1"/>
    <col min="9" max="9" width="45.5703125" customWidth="1"/>
    <col min="10" max="10" width="33.42578125" customWidth="1"/>
    <col min="11" max="12" width="11.42578125" customWidth="1"/>
    <col min="13" max="13" width="28.42578125" customWidth="1"/>
    <col min="14" max="14" width="46.42578125" customWidth="1"/>
  </cols>
  <sheetData>
    <row r="2" spans="2:13" ht="25.5" customHeight="1"/>
    <row r="3" spans="2:13" ht="36">
      <c r="B3" s="524" t="str">
        <f>'Información de la subvención'!B3:J3</f>
        <v>Tablero de mando:  El Salvador - TB</v>
      </c>
      <c r="C3" s="524"/>
      <c r="D3" s="524"/>
      <c r="E3" s="524"/>
      <c r="F3" s="524"/>
      <c r="G3" s="524"/>
      <c r="H3" s="524"/>
      <c r="I3" s="285"/>
    </row>
    <row r="6" spans="2:13" ht="18.75">
      <c r="B6" s="632" t="s">
        <v>242</v>
      </c>
      <c r="C6" s="632"/>
      <c r="D6" s="632"/>
      <c r="E6" s="632"/>
      <c r="F6" s="632"/>
      <c r="G6" s="632"/>
      <c r="H6" s="632"/>
    </row>
    <row r="8" spans="2:13" ht="18.75">
      <c r="B8" s="397" t="s">
        <v>243</v>
      </c>
      <c r="C8" s="397" t="s">
        <v>244</v>
      </c>
      <c r="D8" s="397" t="s">
        <v>245</v>
      </c>
      <c r="E8" s="397" t="s">
        <v>246</v>
      </c>
      <c r="F8" s="397" t="s">
        <v>247</v>
      </c>
      <c r="G8" s="397" t="s">
        <v>248</v>
      </c>
      <c r="H8" s="397" t="s">
        <v>249</v>
      </c>
      <c r="I8" s="397" t="s">
        <v>250</v>
      </c>
      <c r="J8" s="397" t="s">
        <v>251</v>
      </c>
    </row>
    <row r="9" spans="2:13">
      <c r="B9" s="398" t="s">
        <v>252</v>
      </c>
      <c r="C9" s="398" t="s">
        <v>252</v>
      </c>
      <c r="D9" s="398" t="s">
        <v>252</v>
      </c>
      <c r="E9" s="398" t="s">
        <v>252</v>
      </c>
      <c r="F9" s="398" t="s">
        <v>252</v>
      </c>
      <c r="G9" s="398" t="s">
        <v>252</v>
      </c>
      <c r="H9" s="398" t="s">
        <v>252</v>
      </c>
      <c r="I9" s="399" t="s">
        <v>252</v>
      </c>
      <c r="J9" s="398" t="s">
        <v>252</v>
      </c>
    </row>
    <row r="10" spans="2:13">
      <c r="B10" s="400" t="s">
        <v>253</v>
      </c>
      <c r="C10" s="400" t="s">
        <v>73</v>
      </c>
      <c r="D10" s="400" t="s">
        <v>254</v>
      </c>
      <c r="E10" s="400" t="s">
        <v>255</v>
      </c>
      <c r="F10" s="400" t="s">
        <v>77</v>
      </c>
      <c r="G10" s="400" t="s">
        <v>256</v>
      </c>
      <c r="H10" s="401" t="s">
        <v>257</v>
      </c>
      <c r="I10" s="399" t="s">
        <v>163</v>
      </c>
      <c r="J10" s="398" t="s">
        <v>258</v>
      </c>
    </row>
    <row r="11" spans="2:13">
      <c r="B11" s="400" t="s">
        <v>259</v>
      </c>
      <c r="C11" s="400" t="s">
        <v>260</v>
      </c>
      <c r="D11" s="400" t="s">
        <v>261</v>
      </c>
      <c r="E11" s="400" t="s">
        <v>262</v>
      </c>
      <c r="F11" s="400" t="s">
        <v>61</v>
      </c>
      <c r="G11" s="400" t="s">
        <v>263</v>
      </c>
      <c r="H11" s="401" t="s">
        <v>264</v>
      </c>
      <c r="I11" s="399" t="s">
        <v>164</v>
      </c>
      <c r="J11" s="398" t="s">
        <v>265</v>
      </c>
    </row>
    <row r="12" spans="2:13">
      <c r="B12" s="400" t="s">
        <v>49</v>
      </c>
      <c r="D12" s="400" t="s">
        <v>266</v>
      </c>
      <c r="E12" s="400" t="s">
        <v>267</v>
      </c>
      <c r="F12" s="400" t="s">
        <v>78</v>
      </c>
      <c r="G12" s="400" t="s">
        <v>57</v>
      </c>
      <c r="H12" s="401" t="s">
        <v>268</v>
      </c>
      <c r="I12" s="399" t="s">
        <v>165</v>
      </c>
      <c r="J12" s="398" t="s">
        <v>269</v>
      </c>
      <c r="M12" s="402"/>
    </row>
    <row r="13" spans="2:13">
      <c r="B13" s="400" t="s">
        <v>270</v>
      </c>
      <c r="D13" s="400" t="s">
        <v>271</v>
      </c>
      <c r="E13" s="403"/>
      <c r="F13" s="400" t="s">
        <v>79</v>
      </c>
      <c r="G13" s="400" t="s">
        <v>272</v>
      </c>
      <c r="H13" s="401" t="s">
        <v>273</v>
      </c>
      <c r="I13" s="399" t="s">
        <v>166</v>
      </c>
      <c r="J13" s="398" t="s">
        <v>274</v>
      </c>
      <c r="M13" s="402"/>
    </row>
    <row r="14" spans="2:13">
      <c r="B14" s="400" t="s">
        <v>275</v>
      </c>
      <c r="D14" s="400" t="s">
        <v>276</v>
      </c>
      <c r="F14" s="400" t="s">
        <v>80</v>
      </c>
      <c r="G14" s="400" t="s">
        <v>277</v>
      </c>
      <c r="H14" s="401" t="s">
        <v>278</v>
      </c>
      <c r="I14" s="399" t="s">
        <v>279</v>
      </c>
      <c r="J14" s="398" t="s">
        <v>280</v>
      </c>
      <c r="M14" s="402"/>
    </row>
    <row r="15" spans="2:13">
      <c r="D15" s="400" t="s">
        <v>281</v>
      </c>
      <c r="F15" s="400" t="s">
        <v>81</v>
      </c>
      <c r="H15" s="401" t="s">
        <v>282</v>
      </c>
      <c r="I15" s="399" t="s">
        <v>283</v>
      </c>
      <c r="J15" s="398" t="s">
        <v>284</v>
      </c>
      <c r="M15" s="402"/>
    </row>
    <row r="16" spans="2:13">
      <c r="D16" s="400" t="s">
        <v>285</v>
      </c>
      <c r="F16" s="400" t="s">
        <v>82</v>
      </c>
      <c r="H16" s="401" t="s">
        <v>286</v>
      </c>
      <c r="I16" s="399" t="s">
        <v>287</v>
      </c>
      <c r="J16" s="398" t="s">
        <v>288</v>
      </c>
      <c r="M16" s="402"/>
    </row>
    <row r="17" spans="4:13">
      <c r="D17" s="400" t="s">
        <v>289</v>
      </c>
      <c r="F17" s="400" t="s">
        <v>83</v>
      </c>
      <c r="H17" s="401" t="s">
        <v>290</v>
      </c>
      <c r="I17" s="399" t="s">
        <v>291</v>
      </c>
      <c r="J17" s="398" t="s">
        <v>292</v>
      </c>
      <c r="M17" s="402"/>
    </row>
    <row r="18" spans="4:13">
      <c r="D18" s="400" t="s">
        <v>293</v>
      </c>
      <c r="F18" s="400" t="s">
        <v>84</v>
      </c>
      <c r="H18" s="401" t="s">
        <v>294</v>
      </c>
      <c r="I18" s="399" t="s">
        <v>295</v>
      </c>
      <c r="J18" s="398" t="s">
        <v>296</v>
      </c>
      <c r="M18" s="402"/>
    </row>
    <row r="19" spans="4:13">
      <c r="D19" s="400" t="s">
        <v>297</v>
      </c>
      <c r="F19" s="400" t="s">
        <v>85</v>
      </c>
      <c r="H19" s="401" t="s">
        <v>298</v>
      </c>
      <c r="I19" s="399" t="s">
        <v>299</v>
      </c>
      <c r="J19" s="398" t="s">
        <v>300</v>
      </c>
      <c r="M19" s="402"/>
    </row>
    <row r="20" spans="4:13">
      <c r="D20" s="404"/>
      <c r="F20" s="400" t="s">
        <v>86</v>
      </c>
      <c r="H20" s="401" t="s">
        <v>301</v>
      </c>
      <c r="I20" s="399" t="s">
        <v>302</v>
      </c>
      <c r="J20" s="398" t="s">
        <v>303</v>
      </c>
    </row>
    <row r="21" spans="4:13">
      <c r="D21" s="398"/>
      <c r="F21" s="400" t="s">
        <v>87</v>
      </c>
      <c r="H21" s="398"/>
      <c r="I21" s="399" t="s">
        <v>304</v>
      </c>
      <c r="J21" s="398" t="s">
        <v>305</v>
      </c>
    </row>
    <row r="22" spans="4:13">
      <c r="H22" s="398"/>
      <c r="I22" s="399" t="s">
        <v>306</v>
      </c>
      <c r="J22" s="398" t="s">
        <v>307</v>
      </c>
    </row>
    <row r="23" spans="4:13">
      <c r="I23" s="399" t="s">
        <v>308</v>
      </c>
      <c r="J23" s="398" t="s">
        <v>309</v>
      </c>
    </row>
    <row r="24" spans="4:13">
      <c r="I24" s="399" t="s">
        <v>310</v>
      </c>
      <c r="J24" s="398" t="s">
        <v>311</v>
      </c>
    </row>
    <row r="25" spans="4:13">
      <c r="I25" s="398"/>
      <c r="J25" s="398" t="s">
        <v>312</v>
      </c>
    </row>
    <row r="26" spans="4:13">
      <c r="I26" s="399" t="s">
        <v>313</v>
      </c>
      <c r="J26" s="398" t="s">
        <v>314</v>
      </c>
    </row>
    <row r="27" spans="4:13">
      <c r="I27" s="399" t="s">
        <v>315</v>
      </c>
      <c r="J27" s="398" t="s">
        <v>44</v>
      </c>
    </row>
    <row r="28" spans="4:13">
      <c r="I28" s="398" t="s">
        <v>316</v>
      </c>
      <c r="J28" s="398" t="s">
        <v>317</v>
      </c>
    </row>
    <row r="29" spans="4:13">
      <c r="I29" s="398" t="s">
        <v>318</v>
      </c>
      <c r="J29" s="398" t="s">
        <v>319</v>
      </c>
    </row>
    <row r="30" spans="4:13">
      <c r="I30" s="398" t="s">
        <v>320</v>
      </c>
      <c r="J30" s="398" t="s">
        <v>321</v>
      </c>
    </row>
    <row r="31" spans="4:13">
      <c r="J31" s="398" t="s">
        <v>322</v>
      </c>
    </row>
    <row r="32" spans="4:13">
      <c r="J32" s="398" t="s">
        <v>323</v>
      </c>
    </row>
    <row r="33" spans="10:10">
      <c r="J33" s="398" t="s">
        <v>324</v>
      </c>
    </row>
    <row r="34" spans="10:10">
      <c r="J34" s="398" t="s">
        <v>325</v>
      </c>
    </row>
    <row r="35" spans="10:10">
      <c r="J35" s="398" t="s">
        <v>326</v>
      </c>
    </row>
    <row r="36" spans="10:10">
      <c r="J36" s="398" t="s">
        <v>327</v>
      </c>
    </row>
    <row r="37" spans="10:10">
      <c r="J37" s="398" t="s">
        <v>328</v>
      </c>
    </row>
    <row r="38" spans="10:10">
      <c r="J38" s="398" t="s">
        <v>329</v>
      </c>
    </row>
    <row r="39" spans="10:10">
      <c r="J39" s="398" t="s">
        <v>330</v>
      </c>
    </row>
    <row r="40" spans="10:10">
      <c r="J40" s="398" t="s">
        <v>331</v>
      </c>
    </row>
    <row r="41" spans="10:10">
      <c r="J41" s="398" t="s">
        <v>332</v>
      </c>
    </row>
    <row r="42" spans="10:10">
      <c r="J42" s="398" t="s">
        <v>333</v>
      </c>
    </row>
    <row r="43" spans="10:10">
      <c r="J43" s="398" t="s">
        <v>334</v>
      </c>
    </row>
    <row r="44" spans="10:10">
      <c r="J44" s="398" t="s">
        <v>335</v>
      </c>
    </row>
    <row r="45" spans="10:10">
      <c r="J45" s="398" t="s">
        <v>336</v>
      </c>
    </row>
    <row r="46" spans="10:10">
      <c r="J46" s="398" t="s">
        <v>337</v>
      </c>
    </row>
    <row r="47" spans="10:10">
      <c r="J47" s="398" t="s">
        <v>338</v>
      </c>
    </row>
    <row r="48" spans="10:10">
      <c r="J48" s="398" t="s">
        <v>339</v>
      </c>
    </row>
  </sheetData>
  <sheetProtection selectLockedCells="1" selectUnlockedCells="1"/>
  <mergeCells count="2">
    <mergeCell ref="B3:H3"/>
    <mergeCell ref="B6:H6"/>
  </mergeCells>
  <phoneticPr fontId="66" type="noConversion"/>
  <dataValidations count="1">
    <dataValidation type="list" allowBlank="1" showErrorMessage="1" sqref="M28" xr:uid="{00000000-0002-0000-0900-000000000000}">
      <formula1>$J$10:$J$48</formula1>
      <formula2>0</formula2>
    </dataValidation>
  </dataValidations>
  <pageMargins left="0.7" right="0.7" top="0.75" bottom="0.75" header="0.51180555555555551" footer="0.3"/>
  <pageSetup firstPageNumber="0" orientation="landscape" horizontalDpi="300" verticalDpi="300"/>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H48"/>
  <sheetViews>
    <sheetView showGridLines="0" topLeftCell="B1" zoomScale="70" zoomScaleNormal="70" workbookViewId="0">
      <pane ySplit="2" topLeftCell="A3" activePane="bottomLeft" state="frozen"/>
      <selection activeCell="B1" sqref="B1"/>
      <selection pane="bottomLeft" activeCell="B11" sqref="B11:D11"/>
    </sheetView>
  </sheetViews>
  <sheetFormatPr baseColWidth="10" defaultColWidth="10.7109375" defaultRowHeight="15"/>
  <cols>
    <col min="1" max="1" width="2.5703125" customWidth="1"/>
    <col min="2" max="2" width="21.42578125" customWidth="1"/>
    <col min="3" max="3" width="11.42578125" customWidth="1"/>
    <col min="4" max="4" width="11.140625" customWidth="1"/>
    <col min="5" max="5" width="16.42578125" customWidth="1"/>
    <col min="6" max="6" width="15.5703125" customWidth="1"/>
    <col min="7" max="7" width="37.42578125" customWidth="1"/>
    <col min="8" max="8" width="17.42578125" customWidth="1"/>
    <col min="9" max="9" width="71.140625" customWidth="1"/>
    <col min="10" max="10" width="14.140625" customWidth="1"/>
    <col min="11" max="11" width="16" customWidth="1"/>
    <col min="12" max="12" width="13.140625" customWidth="1"/>
    <col min="13" max="13" width="49.42578125" customWidth="1"/>
    <col min="14" max="14" width="2.42578125" customWidth="1"/>
    <col min="15" max="15" width="3" customWidth="1"/>
    <col min="16" max="16" width="2.42578125" customWidth="1"/>
    <col min="17" max="17" width="16.140625" customWidth="1"/>
    <col min="18" max="18" width="13.5703125" customWidth="1"/>
    <col min="19" max="19" width="11.42578125" customWidth="1"/>
    <col min="20" max="20" width="14.85546875" customWidth="1"/>
    <col min="21" max="21" width="16" customWidth="1"/>
    <col min="22" max="22" width="0" hidden="1" customWidth="1"/>
    <col min="23" max="23" width="15.42578125" customWidth="1"/>
    <col min="24" max="24" width="11.42578125" customWidth="1"/>
    <col min="25" max="25" width="2.42578125" customWidth="1"/>
    <col min="26" max="26" width="1.140625" customWidth="1"/>
    <col min="27" max="27" width="3.425781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42578125" customWidth="1"/>
    <col min="36" max="36" width="2.42578125" customWidth="1"/>
    <col min="37" max="37" width="40.5703125" customWidth="1"/>
    <col min="38" max="38" width="15.42578125" customWidth="1"/>
  </cols>
  <sheetData>
    <row r="1" spans="2:60" ht="34.5" customHeight="1"/>
    <row r="2" spans="2:60" ht="36" customHeight="1">
      <c r="B2" s="456" t="str">
        <f>+"Cuadro de mando:  "&amp;"  "&amp;+'Introducción de datos'!C4&amp;" - "&amp;'Introducción de datos'!G6</f>
        <v>Cuadro de mando:    El Salvador - TB</v>
      </c>
      <c r="C2" s="456"/>
      <c r="D2" s="456"/>
      <c r="E2" s="456"/>
      <c r="F2" s="456"/>
      <c r="G2" s="456"/>
      <c r="H2" s="456"/>
      <c r="I2" s="456"/>
      <c r="J2" s="456"/>
      <c r="K2" s="456"/>
      <c r="L2" s="456"/>
      <c r="M2" s="456"/>
    </row>
    <row r="3" spans="2:60" ht="15.75" customHeight="1">
      <c r="B3" s="4"/>
      <c r="C3" s="4"/>
      <c r="D3" s="4"/>
      <c r="E3" s="4"/>
      <c r="F3" s="4"/>
      <c r="G3" s="4"/>
      <c r="H3" s="4"/>
      <c r="I3" s="4"/>
      <c r="J3" s="4"/>
      <c r="K3" s="5"/>
      <c r="L3" s="5"/>
    </row>
    <row r="5" spans="2:60" ht="23.25">
      <c r="B5" s="457" t="s">
        <v>0</v>
      </c>
      <c r="C5" s="457"/>
      <c r="D5" s="457"/>
      <c r="E5" s="457"/>
      <c r="F5" s="457"/>
      <c r="G5" s="457"/>
      <c r="H5" s="457"/>
      <c r="I5" s="457"/>
      <c r="J5" s="457"/>
      <c r="K5" s="457"/>
      <c r="L5" s="457"/>
      <c r="M5" s="457"/>
      <c r="N5" s="457"/>
      <c r="O5" s="457"/>
    </row>
    <row r="7" spans="2:60" ht="21">
      <c r="B7" s="458" t="s">
        <v>1</v>
      </c>
      <c r="C7" s="458"/>
      <c r="D7" s="458"/>
      <c r="E7" s="458" t="s">
        <v>2</v>
      </c>
      <c r="F7" s="458"/>
      <c r="G7" s="458"/>
      <c r="H7" s="458"/>
      <c r="I7" s="458"/>
      <c r="J7" s="458" t="s">
        <v>3</v>
      </c>
      <c r="K7" s="458"/>
      <c r="L7" s="458"/>
      <c r="M7" s="458" t="s">
        <v>4</v>
      </c>
      <c r="N7" s="458"/>
      <c r="O7" s="458"/>
    </row>
    <row r="8" spans="2:60" ht="92.25" customHeight="1">
      <c r="B8" s="453" t="str">
        <f>+'Introducción de datos'!B27</f>
        <v>F1: Presupuesto y desembolsos del Fondo Mundial</v>
      </c>
      <c r="C8" s="453"/>
      <c r="D8" s="453"/>
      <c r="E8" s="454" t="s">
        <v>5</v>
      </c>
      <c r="F8" s="454"/>
      <c r="G8" s="454"/>
      <c r="H8" s="454"/>
      <c r="I8" s="454"/>
      <c r="J8" s="455" t="s">
        <v>6</v>
      </c>
      <c r="K8" s="455"/>
      <c r="L8" s="455"/>
      <c r="M8" s="455" t="s">
        <v>7</v>
      </c>
      <c r="N8" s="455"/>
      <c r="O8" s="455"/>
    </row>
    <row r="9" spans="2:60" ht="117.75" customHeight="1">
      <c r="B9" s="453" t="str">
        <f>+'Introducción de datos'!B36</f>
        <v>F2: Presupuesto y gastos reales por estrategias de la subvención anual</v>
      </c>
      <c r="C9" s="453"/>
      <c r="D9" s="453"/>
      <c r="E9" s="460" t="s">
        <v>8</v>
      </c>
      <c r="F9" s="460"/>
      <c r="G9" s="460"/>
      <c r="H9" s="460"/>
      <c r="I9" s="460"/>
      <c r="J9" s="461" t="s">
        <v>9</v>
      </c>
      <c r="K9" s="461"/>
      <c r="L9" s="461"/>
      <c r="M9" s="461" t="s">
        <v>7</v>
      </c>
      <c r="N9" s="461"/>
      <c r="O9" s="461"/>
    </row>
    <row r="10" spans="2:60" ht="233.25" customHeight="1">
      <c r="B10" s="459" t="str">
        <f>+'Introducción de datos'!B51</f>
        <v>F3: Desembolsos y gastos</v>
      </c>
      <c r="C10" s="459"/>
      <c r="D10" s="459"/>
      <c r="E10" s="460" t="s">
        <v>10</v>
      </c>
      <c r="F10" s="460"/>
      <c r="G10" s="460"/>
      <c r="H10" s="460"/>
      <c r="I10" s="460"/>
      <c r="J10" s="461" t="s">
        <v>11</v>
      </c>
      <c r="K10" s="461"/>
      <c r="L10" s="461"/>
      <c r="M10" s="461" t="s">
        <v>12</v>
      </c>
      <c r="N10" s="461"/>
      <c r="O10" s="461"/>
    </row>
    <row r="11" spans="2:60" ht="279.75" customHeight="1">
      <c r="B11" s="459" t="str">
        <f>+'Introducción de datos'!B69</f>
        <v>F4: Último ciclo de información y desembolso del RP</v>
      </c>
      <c r="C11" s="459"/>
      <c r="D11" s="459"/>
      <c r="E11" s="460" t="s">
        <v>13</v>
      </c>
      <c r="F11" s="460"/>
      <c r="G11" s="460"/>
      <c r="H11" s="460"/>
      <c r="I11" s="460"/>
      <c r="J11" s="461" t="s">
        <v>14</v>
      </c>
      <c r="K11" s="461"/>
      <c r="L11" s="461"/>
      <c r="M11" s="461" t="s">
        <v>15</v>
      </c>
      <c r="N11" s="461"/>
      <c r="O11" s="461"/>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2:60">
      <c r="B12" s="462"/>
      <c r="C12" s="462"/>
      <c r="D12" s="462"/>
      <c r="E12" s="463"/>
      <c r="F12" s="463"/>
      <c r="G12" s="463"/>
      <c r="H12" s="463"/>
      <c r="I12" s="463"/>
      <c r="J12" s="463"/>
      <c r="K12" s="463"/>
      <c r="L12" s="463"/>
      <c r="M12" s="463"/>
      <c r="N12" s="463"/>
      <c r="O12" s="463"/>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row>
    <row r="13" spans="2:60">
      <c r="B13" s="464"/>
      <c r="C13" s="464"/>
      <c r="D13" s="464"/>
      <c r="E13" s="465"/>
      <c r="F13" s="465"/>
      <c r="G13" s="465"/>
      <c r="H13" s="465"/>
      <c r="I13" s="465"/>
      <c r="J13" s="465"/>
      <c r="K13" s="465"/>
      <c r="L13" s="465"/>
      <c r="M13" s="465"/>
      <c r="N13" s="465"/>
      <c r="O13" s="465"/>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2:60">
      <c r="B14" s="464"/>
      <c r="C14" s="464"/>
      <c r="D14" s="464"/>
      <c r="E14" s="465"/>
      <c r="F14" s="465"/>
      <c r="G14" s="465"/>
      <c r="H14" s="465"/>
      <c r="I14" s="465"/>
      <c r="J14" s="465"/>
      <c r="K14" s="465"/>
      <c r="L14" s="465"/>
      <c r="M14" s="465"/>
      <c r="N14" s="465"/>
      <c r="O14" s="465"/>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row>
    <row r="15" spans="2:60">
      <c r="B15" s="464"/>
      <c r="C15" s="464"/>
      <c r="D15" s="464"/>
      <c r="E15" s="465"/>
      <c r="F15" s="465"/>
      <c r="G15" s="465"/>
      <c r="H15" s="465"/>
      <c r="I15" s="465"/>
      <c r="J15" s="465"/>
      <c r="K15" s="465"/>
      <c r="L15" s="465"/>
      <c r="M15" s="465"/>
      <c r="N15" s="465"/>
      <c r="O15" s="465"/>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row>
    <row r="16" spans="2:60" ht="23.25">
      <c r="B16" s="457" t="s">
        <v>16</v>
      </c>
      <c r="C16" s="457"/>
      <c r="D16" s="457"/>
      <c r="E16" s="457"/>
      <c r="F16" s="457"/>
      <c r="G16" s="457"/>
      <c r="H16" s="457"/>
      <c r="I16" s="457"/>
      <c r="J16" s="457"/>
      <c r="K16" s="457"/>
      <c r="L16" s="457"/>
      <c r="M16" s="457"/>
      <c r="N16" s="457"/>
      <c r="O16" s="457"/>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row>
    <row r="17" spans="2:60">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row>
    <row r="18" spans="2:60" ht="21">
      <c r="B18" s="466" t="s">
        <v>1</v>
      </c>
      <c r="C18" s="466"/>
      <c r="D18" s="466"/>
      <c r="E18" s="466" t="s">
        <v>2</v>
      </c>
      <c r="F18" s="466"/>
      <c r="G18" s="466"/>
      <c r="H18" s="466"/>
      <c r="I18" s="466"/>
      <c r="J18" s="466" t="s">
        <v>3</v>
      </c>
      <c r="K18" s="466"/>
      <c r="L18" s="466"/>
      <c r="M18" s="466" t="s">
        <v>17</v>
      </c>
      <c r="N18" s="466"/>
      <c r="O18" s="46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row>
    <row r="19" spans="2:60" ht="149.25" customHeight="1">
      <c r="B19" s="453" t="str">
        <f>+'Introducción de datos'!B80</f>
        <v>M1: Estado de las condiciones precedentes y acciones con fecha límite</v>
      </c>
      <c r="C19" s="453"/>
      <c r="D19" s="453"/>
      <c r="E19" s="460" t="s">
        <v>18</v>
      </c>
      <c r="F19" s="460"/>
      <c r="G19" s="460"/>
      <c r="H19" s="460"/>
      <c r="I19" s="460"/>
      <c r="J19" s="461" t="s">
        <v>19</v>
      </c>
      <c r="K19" s="461"/>
      <c r="L19" s="461"/>
      <c r="M19" s="461" t="s">
        <v>20</v>
      </c>
      <c r="N19" s="461"/>
      <c r="O19" s="461"/>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row>
    <row r="20" spans="2:60" ht="102.75" customHeight="1">
      <c r="B20" s="453" t="str">
        <f>+'Introducción de datos'!B87</f>
        <v>M2: Estado de los principales puestos directivos del RP</v>
      </c>
      <c r="C20" s="453"/>
      <c r="D20" s="453"/>
      <c r="E20" s="460" t="s">
        <v>21</v>
      </c>
      <c r="F20" s="460"/>
      <c r="G20" s="460"/>
      <c r="H20" s="460"/>
      <c r="I20" s="460"/>
      <c r="J20" s="461" t="s">
        <v>22</v>
      </c>
      <c r="K20" s="461"/>
      <c r="L20" s="461"/>
      <c r="M20" s="461" t="s">
        <v>23</v>
      </c>
      <c r="N20" s="461"/>
      <c r="O20" s="461"/>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row>
    <row r="21" spans="2:60" ht="137.25" customHeight="1">
      <c r="B21" s="453" t="str">
        <f>+'Introducción de datos'!B92</f>
        <v>M3: Acuerdos contractuales</v>
      </c>
      <c r="C21" s="453"/>
      <c r="D21" s="453"/>
      <c r="E21" s="467" t="s">
        <v>24</v>
      </c>
      <c r="F21" s="467"/>
      <c r="G21" s="467"/>
      <c r="H21" s="467"/>
      <c r="I21" s="467"/>
      <c r="J21" s="461" t="s">
        <v>25</v>
      </c>
      <c r="K21" s="461"/>
      <c r="L21" s="461"/>
      <c r="M21" s="461" t="s">
        <v>26</v>
      </c>
      <c r="N21" s="461"/>
      <c r="O21" s="461"/>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2:60" ht="74.25" customHeight="1">
      <c r="B22" s="453" t="str">
        <f>+'Introducción de datos'!B97</f>
        <v>M4: Número de informes completos recibidos a tiempo</v>
      </c>
      <c r="C22" s="453"/>
      <c r="D22" s="453"/>
      <c r="E22" s="467" t="s">
        <v>27</v>
      </c>
      <c r="F22" s="467"/>
      <c r="G22" s="467"/>
      <c r="H22" s="467"/>
      <c r="I22" s="467"/>
      <c r="J22" s="461" t="s">
        <v>28</v>
      </c>
      <c r="K22" s="461"/>
      <c r="L22" s="461"/>
      <c r="M22" s="461" t="s">
        <v>29</v>
      </c>
      <c r="N22" s="461"/>
      <c r="O22" s="461"/>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row>
    <row r="23" spans="2:60" ht="207.75" customHeight="1">
      <c r="B23" s="459" t="str">
        <f>+'Introducción de datos'!B103</f>
        <v>M5: Presupuesto y compra de productos y equipo sanitario, medicamentos y productos farmacéuticos</v>
      </c>
      <c r="C23" s="459"/>
      <c r="D23" s="459"/>
      <c r="E23" s="471" t="s">
        <v>30</v>
      </c>
      <c r="F23" s="471"/>
      <c r="G23" s="471"/>
      <c r="H23" s="471"/>
      <c r="I23" s="471"/>
      <c r="J23" s="461" t="s">
        <v>31</v>
      </c>
      <c r="K23" s="461"/>
      <c r="L23" s="461"/>
      <c r="M23" s="461" t="s">
        <v>32</v>
      </c>
      <c r="N23" s="461"/>
      <c r="O23" s="461"/>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row>
    <row r="24" spans="2:60" ht="114.75" customHeight="1">
      <c r="B24" s="459"/>
      <c r="C24" s="459"/>
      <c r="D24" s="459"/>
      <c r="E24" s="472" t="s">
        <v>33</v>
      </c>
      <c r="F24" s="472"/>
      <c r="G24" s="472"/>
      <c r="H24" s="472"/>
      <c r="I24" s="472"/>
      <c r="J24" s="461"/>
      <c r="K24" s="461"/>
      <c r="L24" s="461"/>
      <c r="M24" s="461"/>
      <c r="N24" s="461"/>
      <c r="O24" s="461"/>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row>
    <row r="25" spans="2:60" ht="206.25" customHeight="1">
      <c r="B25" s="453" t="str">
        <f>+'Introducción de datos'!B116</f>
        <v>M6: Diferencia entre existencias actuales y existencias de seguridad</v>
      </c>
      <c r="C25" s="453"/>
      <c r="D25" s="453"/>
      <c r="E25" s="468" t="s">
        <v>34</v>
      </c>
      <c r="F25" s="468"/>
      <c r="G25" s="468"/>
      <c r="H25" s="468"/>
      <c r="I25" s="468"/>
      <c r="J25" s="469" t="s">
        <v>35</v>
      </c>
      <c r="K25" s="469"/>
      <c r="L25" s="469"/>
      <c r="M25" s="470" t="s">
        <v>36</v>
      </c>
      <c r="N25" s="470"/>
      <c r="O25" s="470"/>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row>
    <row r="26" spans="2:60">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row>
    <row r="27" spans="2:60">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2:60">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2:60" ht="18.75">
      <c r="B29" s="8"/>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2:60" ht="23.25">
      <c r="B30" s="457" t="s">
        <v>37</v>
      </c>
      <c r="C30" s="457"/>
      <c r="D30" s="457"/>
      <c r="E30" s="457"/>
      <c r="F30" s="457"/>
      <c r="G30" s="457"/>
      <c r="H30" s="457"/>
      <c r="I30" s="457"/>
      <c r="J30" s="457"/>
      <c r="K30" s="457"/>
      <c r="L30" s="457"/>
      <c r="M30" s="457"/>
      <c r="N30" s="457"/>
      <c r="O30" s="457"/>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row>
    <row r="31" spans="2:60">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row>
    <row r="32" spans="2:60" ht="28.5" customHeight="1">
      <c r="B32" s="476" t="s">
        <v>38</v>
      </c>
      <c r="C32" s="476"/>
      <c r="D32" s="476"/>
      <c r="E32" s="477" t="s">
        <v>39</v>
      </c>
      <c r="F32" s="477"/>
      <c r="G32" s="477"/>
      <c r="H32" s="477"/>
      <c r="I32" s="477"/>
      <c r="J32" s="477" t="s">
        <v>3</v>
      </c>
      <c r="K32" s="477"/>
      <c r="L32" s="477"/>
      <c r="M32" s="477" t="s">
        <v>17</v>
      </c>
      <c r="N32" s="477"/>
      <c r="O32" s="477"/>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2:60" ht="47.25" customHeight="1">
      <c r="B33" s="473"/>
      <c r="C33" s="473"/>
      <c r="D33" s="473"/>
      <c r="E33" s="474"/>
      <c r="F33" s="474"/>
      <c r="G33" s="474"/>
      <c r="H33" s="474"/>
      <c r="I33" s="474"/>
      <c r="J33" s="475"/>
      <c r="K33" s="475"/>
      <c r="L33" s="475"/>
      <c r="M33" s="475"/>
      <c r="N33" s="475"/>
      <c r="O33" s="475"/>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row>
    <row r="34" spans="2:60" ht="59.25" customHeight="1">
      <c r="B34" s="473"/>
      <c r="C34" s="473"/>
      <c r="D34" s="473"/>
      <c r="E34" s="474"/>
      <c r="F34" s="474"/>
      <c r="G34" s="474"/>
      <c r="H34" s="474"/>
      <c r="I34" s="474"/>
      <c r="J34" s="475"/>
      <c r="K34" s="475"/>
      <c r="L34" s="475"/>
      <c r="M34" s="475"/>
      <c r="N34" s="475"/>
      <c r="O34" s="475"/>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2:60" ht="57.75" customHeight="1">
      <c r="B35" s="473"/>
      <c r="C35" s="473"/>
      <c r="D35" s="473"/>
      <c r="E35" s="475"/>
      <c r="F35" s="475"/>
      <c r="G35" s="475"/>
      <c r="H35" s="475"/>
      <c r="I35" s="475"/>
      <c r="J35" s="475"/>
      <c r="K35" s="475"/>
      <c r="L35" s="475"/>
      <c r="M35" s="475"/>
      <c r="N35" s="475"/>
      <c r="O35" s="475"/>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row>
    <row r="36" spans="2:60" ht="9.75" customHeight="1">
      <c r="B36" s="479"/>
      <c r="C36" s="479"/>
      <c r="D36" s="479"/>
      <c r="E36" s="9"/>
      <c r="F36" s="10"/>
      <c r="G36" s="10"/>
      <c r="H36" s="10"/>
      <c r="I36" s="11"/>
      <c r="J36" s="12"/>
      <c r="K36" s="13"/>
      <c r="L36" s="14"/>
      <c r="M36" s="12"/>
      <c r="N36" s="13"/>
      <c r="O36" s="14"/>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row>
    <row r="37" spans="2:60" ht="46.5" customHeight="1">
      <c r="B37" s="473"/>
      <c r="C37" s="473"/>
      <c r="D37" s="473"/>
      <c r="E37" s="475"/>
      <c r="F37" s="475"/>
      <c r="G37" s="475"/>
      <c r="H37" s="475"/>
      <c r="I37" s="475"/>
      <c r="J37" s="15"/>
      <c r="K37" s="16"/>
      <c r="L37" s="17"/>
      <c r="M37" s="15"/>
      <c r="N37" s="16"/>
      <c r="O37" s="17"/>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2:60" ht="69" customHeight="1">
      <c r="B38" s="473"/>
      <c r="C38" s="473"/>
      <c r="D38" s="473"/>
      <c r="E38" s="474"/>
      <c r="F38" s="474"/>
      <c r="G38" s="474"/>
      <c r="H38" s="474"/>
      <c r="I38" s="474"/>
      <c r="J38" s="475"/>
      <c r="K38" s="475"/>
      <c r="L38" s="475"/>
      <c r="M38" s="475"/>
      <c r="N38" s="475"/>
      <c r="O38" s="475"/>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row>
    <row r="39" spans="2:60" ht="64.5" customHeight="1">
      <c r="B39" s="478"/>
      <c r="C39" s="478"/>
      <c r="D39" s="478"/>
      <c r="E39" s="475"/>
      <c r="F39" s="475"/>
      <c r="G39" s="475"/>
      <c r="H39" s="475"/>
      <c r="I39" s="475"/>
      <c r="J39" s="15"/>
      <c r="K39" s="16"/>
      <c r="L39" s="17"/>
      <c r="M39" s="15"/>
      <c r="N39" s="16"/>
      <c r="O39" s="17"/>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row>
    <row r="40" spans="2:60" ht="45" customHeight="1">
      <c r="B40" s="482"/>
      <c r="C40" s="482"/>
      <c r="D40" s="482"/>
      <c r="E40" s="475"/>
      <c r="F40" s="475"/>
      <c r="G40" s="475"/>
      <c r="H40" s="475"/>
      <c r="I40" s="475"/>
      <c r="J40" s="475"/>
      <c r="K40" s="475"/>
      <c r="L40" s="475"/>
      <c r="M40" s="475"/>
      <c r="N40" s="475"/>
      <c r="O40" s="475"/>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row>
    <row r="41" spans="2:60" ht="62.25" customHeight="1">
      <c r="B41" s="478"/>
      <c r="C41" s="478"/>
      <c r="D41" s="478"/>
      <c r="E41" s="474"/>
      <c r="F41" s="474"/>
      <c r="G41" s="474"/>
      <c r="H41" s="474"/>
      <c r="I41" s="474"/>
      <c r="J41" s="475"/>
      <c r="K41" s="475"/>
      <c r="L41" s="475"/>
      <c r="M41" s="475"/>
      <c r="N41" s="475"/>
      <c r="O41" s="475"/>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60" ht="84" customHeight="1">
      <c r="B42" s="478"/>
      <c r="C42" s="478"/>
      <c r="D42" s="478"/>
      <c r="E42" s="475"/>
      <c r="F42" s="475"/>
      <c r="G42" s="475"/>
      <c r="H42" s="475"/>
      <c r="I42" s="475"/>
      <c r="J42" s="15"/>
      <c r="K42" s="16"/>
      <c r="L42" s="17"/>
      <c r="M42" s="15"/>
      <c r="N42" s="16"/>
      <c r="O42" s="17"/>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row>
    <row r="43" spans="2:60" ht="45" customHeight="1">
      <c r="B43" s="478"/>
      <c r="C43" s="478"/>
      <c r="D43" s="478"/>
      <c r="E43" s="474"/>
      <c r="F43" s="474"/>
      <c r="G43" s="474"/>
      <c r="H43" s="474"/>
      <c r="I43" s="474"/>
      <c r="J43" s="475"/>
      <c r="K43" s="475"/>
      <c r="L43" s="475"/>
      <c r="M43" s="15"/>
      <c r="N43" s="16"/>
      <c r="O43" s="17"/>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row>
    <row r="44" spans="2:60" ht="64.5" customHeight="1">
      <c r="B44" s="482"/>
      <c r="C44" s="482"/>
      <c r="D44" s="482"/>
      <c r="E44" s="474"/>
      <c r="F44" s="474"/>
      <c r="G44" s="474"/>
      <c r="H44" s="474"/>
      <c r="I44" s="474"/>
      <c r="J44" s="475"/>
      <c r="K44" s="475"/>
      <c r="L44" s="475"/>
      <c r="M44" s="15"/>
      <c r="N44" s="16"/>
      <c r="O44" s="17"/>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row>
    <row r="45" spans="2:60" ht="49.5" customHeight="1">
      <c r="B45" s="482"/>
      <c r="C45" s="482"/>
      <c r="D45" s="482"/>
      <c r="E45" s="474"/>
      <c r="F45" s="474"/>
      <c r="G45" s="474"/>
      <c r="H45" s="474"/>
      <c r="I45" s="474"/>
      <c r="J45" s="475"/>
      <c r="K45" s="475"/>
      <c r="L45" s="475"/>
      <c r="M45" s="15"/>
      <c r="N45" s="16"/>
      <c r="O45" s="17"/>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row>
    <row r="46" spans="2:60" ht="30" customHeight="1">
      <c r="B46" s="483"/>
      <c r="C46" s="483"/>
      <c r="D46" s="483"/>
      <c r="E46" s="18"/>
      <c r="F46" s="19"/>
      <c r="G46" s="19"/>
      <c r="H46" s="19"/>
      <c r="I46" s="20"/>
      <c r="J46" s="15"/>
      <c r="K46" s="16"/>
      <c r="L46" s="17"/>
      <c r="M46" s="15"/>
      <c r="N46" s="16"/>
      <c r="O46" s="17"/>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row>
    <row r="47" spans="2:60" ht="33.75" customHeight="1">
      <c r="B47" s="21"/>
      <c r="C47" s="22"/>
      <c r="D47" s="22"/>
      <c r="E47" s="23"/>
      <c r="F47" s="24"/>
      <c r="G47" s="24"/>
      <c r="H47" s="24"/>
      <c r="I47" s="24"/>
      <c r="J47" s="23"/>
      <c r="K47" s="23"/>
      <c r="L47" s="25"/>
      <c r="M47" s="26"/>
      <c r="N47" s="23"/>
      <c r="O47" s="25"/>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row>
    <row r="48" spans="2:60" ht="15.75" customHeight="1">
      <c r="B48" s="480" t="s">
        <v>40</v>
      </c>
      <c r="C48" s="480"/>
      <c r="D48" s="480"/>
      <c r="E48" s="480"/>
      <c r="F48" s="480"/>
      <c r="G48" s="480"/>
      <c r="H48" s="480"/>
      <c r="I48" s="480"/>
      <c r="J48" s="480"/>
      <c r="K48" s="480"/>
      <c r="L48" s="480"/>
      <c r="M48" s="481" t="s">
        <v>41</v>
      </c>
      <c r="N48" s="481"/>
      <c r="O48" s="481"/>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sheetData>
  <sheetProtection password="CFC9" sheet="1"/>
  <mergeCells count="116">
    <mergeCell ref="B48:L48"/>
    <mergeCell ref="M48:O48"/>
    <mergeCell ref="B45:D45"/>
    <mergeCell ref="E45:I45"/>
    <mergeCell ref="J45:L45"/>
    <mergeCell ref="B46:D46"/>
    <mergeCell ref="J41:L41"/>
    <mergeCell ref="M41:O41"/>
    <mergeCell ref="B40:D40"/>
    <mergeCell ref="E40:I40"/>
    <mergeCell ref="J40:L40"/>
    <mergeCell ref="M40:O40"/>
    <mergeCell ref="J43:L43"/>
    <mergeCell ref="B44:D44"/>
    <mergeCell ref="E44:I44"/>
    <mergeCell ref="J44:L44"/>
    <mergeCell ref="B42:D42"/>
    <mergeCell ref="E42:I42"/>
    <mergeCell ref="B43:D43"/>
    <mergeCell ref="E43:I43"/>
    <mergeCell ref="B39:D39"/>
    <mergeCell ref="E39:I39"/>
    <mergeCell ref="B36:D36"/>
    <mergeCell ref="B37:D37"/>
    <mergeCell ref="E37:I37"/>
    <mergeCell ref="B38:D38"/>
    <mergeCell ref="E38:I38"/>
    <mergeCell ref="B41:D41"/>
    <mergeCell ref="E41:I41"/>
    <mergeCell ref="B35:D35"/>
    <mergeCell ref="E35:I35"/>
    <mergeCell ref="J35:L35"/>
    <mergeCell ref="M35:O35"/>
    <mergeCell ref="B34:D34"/>
    <mergeCell ref="E34:I34"/>
    <mergeCell ref="J34:L34"/>
    <mergeCell ref="M34:O34"/>
    <mergeCell ref="J38:L38"/>
    <mergeCell ref="M38:O38"/>
    <mergeCell ref="B33:D33"/>
    <mergeCell ref="E33:I33"/>
    <mergeCell ref="J33:L33"/>
    <mergeCell ref="M33:O33"/>
    <mergeCell ref="B30:O30"/>
    <mergeCell ref="B32:D32"/>
    <mergeCell ref="E32:I32"/>
    <mergeCell ref="J32:L32"/>
    <mergeCell ref="M32:O32"/>
    <mergeCell ref="B22:D22"/>
    <mergeCell ref="E22:I22"/>
    <mergeCell ref="J22:L22"/>
    <mergeCell ref="M22:O22"/>
    <mergeCell ref="B21:D21"/>
    <mergeCell ref="E21:I21"/>
    <mergeCell ref="J21:L21"/>
    <mergeCell ref="M21:O21"/>
    <mergeCell ref="B25:D25"/>
    <mergeCell ref="E25:I25"/>
    <mergeCell ref="J25:L25"/>
    <mergeCell ref="M25:O25"/>
    <mergeCell ref="B23:D24"/>
    <mergeCell ref="E23:I23"/>
    <mergeCell ref="J23:L24"/>
    <mergeCell ref="M23:O24"/>
    <mergeCell ref="E24:I24"/>
    <mergeCell ref="B18:D18"/>
    <mergeCell ref="E18:I18"/>
    <mergeCell ref="J18:L18"/>
    <mergeCell ref="M18:O18"/>
    <mergeCell ref="B15:D15"/>
    <mergeCell ref="E15:I15"/>
    <mergeCell ref="J15:L15"/>
    <mergeCell ref="M15:O15"/>
    <mergeCell ref="B20:D20"/>
    <mergeCell ref="E20:I20"/>
    <mergeCell ref="J20:L20"/>
    <mergeCell ref="M20:O20"/>
    <mergeCell ref="B19:D19"/>
    <mergeCell ref="E19:I19"/>
    <mergeCell ref="J19:L19"/>
    <mergeCell ref="M19:O19"/>
    <mergeCell ref="B14:D14"/>
    <mergeCell ref="E14:I14"/>
    <mergeCell ref="J14:L14"/>
    <mergeCell ref="M14:O14"/>
    <mergeCell ref="B13:D13"/>
    <mergeCell ref="E13:I13"/>
    <mergeCell ref="J13:L13"/>
    <mergeCell ref="M13:O13"/>
    <mergeCell ref="B16:O16"/>
    <mergeCell ref="B10:D10"/>
    <mergeCell ref="E10:I10"/>
    <mergeCell ref="J10:L10"/>
    <mergeCell ref="M10:O10"/>
    <mergeCell ref="B9:D9"/>
    <mergeCell ref="E9:I9"/>
    <mergeCell ref="J9:L9"/>
    <mergeCell ref="M9:O9"/>
    <mergeCell ref="B12:D12"/>
    <mergeCell ref="E12:I12"/>
    <mergeCell ref="J12:L12"/>
    <mergeCell ref="M12:O12"/>
    <mergeCell ref="B11:D11"/>
    <mergeCell ref="E11:I11"/>
    <mergeCell ref="J11:L11"/>
    <mergeCell ref="M11:O11"/>
    <mergeCell ref="B8:D8"/>
    <mergeCell ref="E8:I8"/>
    <mergeCell ref="J8:L8"/>
    <mergeCell ref="M8:O8"/>
    <mergeCell ref="B2:M2"/>
    <mergeCell ref="B5:O5"/>
    <mergeCell ref="B7:D7"/>
    <mergeCell ref="E7:I7"/>
    <mergeCell ref="J7:L7"/>
    <mergeCell ref="M7:O7"/>
  </mergeCells>
  <phoneticPr fontId="66"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pageSetUpPr fitToPage="1"/>
  </sheetPr>
  <dimension ref="A1:AC155"/>
  <sheetViews>
    <sheetView showGridLines="0" topLeftCell="A23" zoomScale="80" zoomScaleNormal="80" zoomScalePageLayoutView="30" workbookViewId="0">
      <selection activeCell="J139" sqref="J139"/>
    </sheetView>
  </sheetViews>
  <sheetFormatPr baseColWidth="10" defaultColWidth="10.7109375" defaultRowHeight="15"/>
  <cols>
    <col min="1" max="1" width="2.5703125" customWidth="1"/>
    <col min="2" max="2" width="98.425781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42578125" customWidth="1"/>
    <col min="10" max="10" width="21.28515625" customWidth="1"/>
    <col min="11" max="11" width="18.42578125" customWidth="1"/>
    <col min="12" max="12" width="15.42578125" customWidth="1"/>
    <col min="13" max="13" width="20.42578125" customWidth="1"/>
    <col min="14" max="14" width="14.42578125" customWidth="1"/>
    <col min="15" max="15" width="16.140625" customWidth="1"/>
    <col min="16" max="16" width="13.5703125" customWidth="1"/>
    <col min="17" max="17" width="13.42578125" customWidth="1"/>
    <col min="18" max="18" width="11.42578125" customWidth="1"/>
    <col min="19" max="19" width="2.42578125" customWidth="1"/>
    <col min="20" max="20" width="1.140625" customWidth="1"/>
    <col min="21" max="21" width="3.42578125" customWidth="1"/>
    <col min="22" max="22" width="17" customWidth="1"/>
    <col min="23" max="23" width="15" customWidth="1"/>
    <col min="24" max="24" width="11.42578125" customWidth="1"/>
    <col min="25" max="25" width="13.42578125" customWidth="1"/>
    <col min="26" max="26" width="16.85546875" customWidth="1"/>
    <col min="27" max="27" width="11.42578125" customWidth="1"/>
    <col min="28" max="28" width="2" customWidth="1"/>
    <col min="29" max="29" width="3.42578125" customWidth="1"/>
    <col min="30" max="30" width="2.42578125" customWidth="1"/>
    <col min="31" max="31" width="40.5703125" customWidth="1"/>
    <col min="32" max="32" width="15.42578125" customWidth="1"/>
  </cols>
  <sheetData>
    <row r="1" spans="2:13" ht="29.25" customHeight="1"/>
    <row r="2" spans="2:13" ht="15.75" customHeight="1">
      <c r="B2" s="484" t="s">
        <v>42</v>
      </c>
      <c r="C2" s="484"/>
      <c r="D2" s="484"/>
      <c r="E2" s="484"/>
      <c r="F2" s="484"/>
      <c r="G2" s="484"/>
      <c r="H2" s="484"/>
      <c r="I2" s="484"/>
      <c r="J2" s="484"/>
      <c r="K2" s="27"/>
      <c r="L2" s="27"/>
      <c r="M2" s="27"/>
    </row>
    <row r="3" spans="2:13" ht="4.5" customHeight="1"/>
    <row r="4" spans="2:13" ht="14.25" customHeight="1">
      <c r="B4" s="28" t="s">
        <v>43</v>
      </c>
      <c r="C4" s="485" t="s">
        <v>44</v>
      </c>
      <c r="D4" s="485"/>
      <c r="E4" s="486" t="s">
        <v>45</v>
      </c>
      <c r="F4" s="486"/>
      <c r="G4" s="487" t="s">
        <v>341</v>
      </c>
      <c r="H4" s="487"/>
      <c r="I4" s="487"/>
      <c r="J4" s="487"/>
    </row>
    <row r="5" spans="2:13" ht="3" customHeight="1">
      <c r="B5" s="30"/>
      <c r="E5" s="31"/>
      <c r="F5" s="31"/>
    </row>
    <row r="6" spans="2:13">
      <c r="B6" s="28" t="s">
        <v>46</v>
      </c>
      <c r="C6" s="490" t="s">
        <v>47</v>
      </c>
      <c r="D6" s="490"/>
      <c r="E6" s="486" t="s">
        <v>48</v>
      </c>
      <c r="F6" s="486"/>
      <c r="G6" s="29" t="s">
        <v>49</v>
      </c>
      <c r="H6" s="32" t="s">
        <v>50</v>
      </c>
      <c r="I6" s="491">
        <v>4242741</v>
      </c>
      <c r="J6" s="491"/>
    </row>
    <row r="7" spans="2:13" ht="3" customHeight="1">
      <c r="B7" s="30"/>
      <c r="E7" s="31"/>
      <c r="F7" s="31"/>
      <c r="H7" s="30"/>
    </row>
    <row r="8" spans="2:13">
      <c r="B8" s="28" t="s">
        <v>51</v>
      </c>
      <c r="C8" s="490" t="s">
        <v>52</v>
      </c>
      <c r="D8" s="490"/>
      <c r="E8" s="31"/>
      <c r="F8" s="28"/>
      <c r="G8" s="29"/>
      <c r="H8" s="28"/>
      <c r="I8" s="485"/>
      <c r="J8" s="485"/>
    </row>
    <row r="9" spans="2:13" ht="3" customHeight="1">
      <c r="B9" s="31"/>
      <c r="C9" s="33">
        <v>39825</v>
      </c>
      <c r="E9" s="31"/>
      <c r="F9" s="31"/>
    </row>
    <row r="10" spans="2:13">
      <c r="B10" s="28" t="s">
        <v>53</v>
      </c>
      <c r="C10" s="488">
        <v>43466</v>
      </c>
      <c r="D10" s="488"/>
      <c r="E10" s="489" t="s">
        <v>54</v>
      </c>
      <c r="F10" s="489"/>
      <c r="G10" s="485" t="s">
        <v>55</v>
      </c>
      <c r="H10" s="485"/>
      <c r="I10" s="485"/>
      <c r="J10" s="485"/>
    </row>
    <row r="11" spans="2:13" ht="5.25" customHeight="1"/>
    <row r="12" spans="2:13" ht="15" customHeight="1">
      <c r="B12" s="28" t="s">
        <v>56</v>
      </c>
      <c r="C12" s="492" t="s">
        <v>256</v>
      </c>
      <c r="D12" s="492"/>
      <c r="E12" s="493" t="s">
        <v>58</v>
      </c>
      <c r="F12" s="493"/>
      <c r="G12" s="494" t="s">
        <v>349</v>
      </c>
      <c r="H12" s="494"/>
      <c r="I12" s="494"/>
      <c r="J12" s="494"/>
    </row>
    <row r="13" spans="2:13" ht="5.25" customHeight="1"/>
    <row r="14" spans="2:13" ht="15.75" customHeight="1">
      <c r="B14" s="484" t="s">
        <v>59</v>
      </c>
      <c r="C14" s="484"/>
      <c r="D14" s="484"/>
      <c r="E14" s="484"/>
      <c r="F14" s="484"/>
      <c r="G14" s="484"/>
      <c r="H14" s="484"/>
      <c r="I14" s="484"/>
      <c r="J14" s="484"/>
    </row>
    <row r="15" spans="2:13" ht="3" customHeight="1"/>
    <row r="16" spans="2:13">
      <c r="B16" s="28" t="s">
        <v>60</v>
      </c>
      <c r="C16" s="29" t="s">
        <v>78</v>
      </c>
      <c r="D16" s="28" t="s">
        <v>62</v>
      </c>
      <c r="E16" s="34">
        <v>44197</v>
      </c>
      <c r="F16" s="35" t="s">
        <v>63</v>
      </c>
      <c r="G16" s="34">
        <v>44561</v>
      </c>
      <c r="H16" s="496" t="s">
        <v>64</v>
      </c>
      <c r="I16" s="496"/>
      <c r="J16" s="34">
        <v>44683</v>
      </c>
    </row>
    <row r="17" spans="2:29" ht="3" customHeight="1"/>
    <row r="18" spans="2:29">
      <c r="B18" s="497" t="s">
        <v>65</v>
      </c>
      <c r="C18" s="497"/>
      <c r="D18" s="498" t="s">
        <v>350</v>
      </c>
      <c r="E18" s="498"/>
      <c r="F18" s="498"/>
    </row>
    <row r="19" spans="2:29" ht="3" customHeight="1"/>
    <row r="20" spans="2:29" ht="5.25" customHeight="1"/>
    <row r="21" spans="2:29" ht="15.75" customHeight="1">
      <c r="B21" s="484" t="s">
        <v>66</v>
      </c>
      <c r="C21" s="484"/>
      <c r="D21" s="484"/>
      <c r="E21" s="484"/>
      <c r="F21" s="484"/>
      <c r="G21" s="484"/>
      <c r="H21" s="484"/>
      <c r="I21" s="484"/>
      <c r="J21" s="484"/>
    </row>
    <row r="22" spans="2:29">
      <c r="B22" s="36" t="s">
        <v>67</v>
      </c>
    </row>
    <row r="23" spans="2:29" ht="3" customHeight="1"/>
    <row r="24" spans="2:29">
      <c r="B24" s="28" t="s">
        <v>68</v>
      </c>
      <c r="C24" s="37"/>
      <c r="D24" s="486" t="s">
        <v>69</v>
      </c>
      <c r="E24" s="486"/>
      <c r="F24" s="38"/>
      <c r="G24" s="486" t="s">
        <v>70</v>
      </c>
      <c r="H24" s="486"/>
      <c r="I24" s="495"/>
      <c r="J24" s="495"/>
    </row>
    <row r="25" spans="2:29" ht="18.75">
      <c r="B25" s="39" t="s">
        <v>68</v>
      </c>
      <c r="C25" s="40"/>
      <c r="D25" s="40"/>
      <c r="E25" s="40"/>
      <c r="F25" s="40"/>
      <c r="G25" s="40"/>
      <c r="H25" s="41"/>
      <c r="I25" s="41"/>
      <c r="J25" s="41" t="s">
        <v>71</v>
      </c>
      <c r="K25" s="41"/>
      <c r="L25" s="40"/>
      <c r="M25" s="40"/>
      <c r="N25" s="42"/>
      <c r="AC25" s="43"/>
    </row>
    <row r="26" spans="2:29">
      <c r="B26" s="503" t="s">
        <v>72</v>
      </c>
      <c r="C26" s="503"/>
      <c r="D26" s="44" t="s">
        <v>73</v>
      </c>
      <c r="E26" s="45"/>
      <c r="F26" s="45"/>
      <c r="G26" s="45"/>
      <c r="H26" s="45"/>
      <c r="I26" s="45"/>
      <c r="J26" s="46"/>
      <c r="K26" s="45"/>
      <c r="L26" s="45"/>
      <c r="M26" s="45"/>
      <c r="N26" s="47"/>
      <c r="AC26" s="43"/>
    </row>
    <row r="27" spans="2:29" ht="18.75">
      <c r="B27" s="48" t="s">
        <v>74</v>
      </c>
      <c r="C27" s="45"/>
      <c r="D27" s="45"/>
      <c r="E27" s="45"/>
      <c r="F27" s="45"/>
      <c r="G27" s="45"/>
      <c r="H27" s="45"/>
      <c r="I27" s="45"/>
      <c r="J27" s="46"/>
      <c r="K27" s="45"/>
      <c r="L27" s="45"/>
      <c r="M27" s="45"/>
      <c r="N27" s="47"/>
      <c r="AC27" s="43"/>
    </row>
    <row r="29" spans="2:29">
      <c r="B29" s="504" t="s">
        <v>75</v>
      </c>
      <c r="C29" s="504"/>
      <c r="D29" s="504"/>
      <c r="E29" s="504"/>
      <c r="F29" s="504"/>
      <c r="G29" s="504"/>
      <c r="H29" s="504"/>
      <c r="I29" s="504"/>
      <c r="J29" s="504"/>
      <c r="K29" s="504"/>
      <c r="L29" s="504"/>
      <c r="M29" s="504"/>
      <c r="N29" s="504"/>
      <c r="O29" s="49"/>
      <c r="P29" s="50">
        <f>+C33</f>
        <v>1721029</v>
      </c>
      <c r="Q29" s="49"/>
    </row>
    <row r="30" spans="2:29" ht="45" customHeight="1">
      <c r="B30" s="51" t="s">
        <v>76</v>
      </c>
      <c r="C30" s="52" t="s">
        <v>77</v>
      </c>
      <c r="D30" s="52" t="s">
        <v>61</v>
      </c>
      <c r="E30" s="52" t="s">
        <v>78</v>
      </c>
      <c r="F30" s="52" t="s">
        <v>79</v>
      </c>
      <c r="G30" s="52" t="s">
        <v>80</v>
      </c>
      <c r="H30" s="52" t="s">
        <v>81</v>
      </c>
      <c r="I30" s="52" t="s">
        <v>82</v>
      </c>
      <c r="J30" s="52" t="s">
        <v>83</v>
      </c>
      <c r="K30" s="52" t="s">
        <v>84</v>
      </c>
      <c r="L30" s="52" t="s">
        <v>85</v>
      </c>
      <c r="M30" s="52" t="s">
        <v>86</v>
      </c>
      <c r="N30" s="52" t="s">
        <v>87</v>
      </c>
      <c r="O30" s="49"/>
      <c r="P30" s="50">
        <f>+D33</f>
        <v>3110315</v>
      </c>
      <c r="Q30" s="49"/>
    </row>
    <row r="31" spans="2:29" ht="14.25" customHeight="1">
      <c r="B31" s="53" t="str">
        <f>CONCATENATE("Presupuesto (en ",'Introducción de datos'!$D$26,")")</f>
        <v>Presupuesto (en $)</v>
      </c>
      <c r="C31" s="54">
        <v>1721029</v>
      </c>
      <c r="D31" s="54">
        <v>1389286</v>
      </c>
      <c r="E31" s="54">
        <v>1132426</v>
      </c>
      <c r="F31" s="55"/>
      <c r="G31" s="55"/>
      <c r="H31" s="55"/>
      <c r="I31" s="55"/>
      <c r="J31" s="55"/>
      <c r="K31" s="55"/>
      <c r="L31" s="55"/>
      <c r="M31" s="55"/>
      <c r="N31" s="55"/>
      <c r="O31" s="49"/>
      <c r="P31" s="50">
        <f>+E33</f>
        <v>4242741</v>
      </c>
      <c r="Q31" s="49"/>
    </row>
    <row r="32" spans="2:29" ht="14.25" customHeight="1">
      <c r="B32" s="56" t="str">
        <f>CONCATENATE("Desembolsos por el Fondo Mundial (en ",$D$26,")")</f>
        <v>Desembolsos por el Fondo Mundial (en $)</v>
      </c>
      <c r="C32" s="54">
        <v>1721029</v>
      </c>
      <c r="D32" s="54">
        <v>1389286</v>
      </c>
      <c r="E32" s="54">
        <v>1073991</v>
      </c>
      <c r="F32" s="57"/>
      <c r="G32" s="57"/>
      <c r="H32" s="57"/>
      <c r="I32" s="55"/>
      <c r="J32" s="55"/>
      <c r="K32" s="55"/>
      <c r="L32" s="55"/>
      <c r="M32" s="55"/>
      <c r="N32" s="55"/>
      <c r="O32" s="49"/>
      <c r="P32" s="50">
        <f>+F33</f>
        <v>0</v>
      </c>
      <c r="Q32" s="49"/>
    </row>
    <row r="33" spans="2:17" ht="14.25" customHeight="1">
      <c r="B33" s="58" t="s">
        <v>88</v>
      </c>
      <c r="C33" s="409">
        <f>+C31</f>
        <v>1721029</v>
      </c>
      <c r="D33" s="409">
        <f>C33+D31</f>
        <v>3110315</v>
      </c>
      <c r="E33" s="409">
        <f>D33+E31</f>
        <v>4242741</v>
      </c>
      <c r="F33" s="59"/>
      <c r="G33" s="59"/>
      <c r="H33" s="59"/>
      <c r="I33" s="59"/>
      <c r="J33" s="60"/>
      <c r="K33" s="59"/>
      <c r="L33" s="59"/>
      <c r="M33" s="59"/>
      <c r="N33" s="59"/>
      <c r="O33" s="49"/>
      <c r="P33" s="50">
        <f>+G33</f>
        <v>0</v>
      </c>
      <c r="Q33" s="49"/>
    </row>
    <row r="34" spans="2:17" ht="15" customHeight="1" thickBot="1">
      <c r="B34" s="61" t="s">
        <v>89</v>
      </c>
      <c r="C34" s="410">
        <f>+C32</f>
        <v>1721029</v>
      </c>
      <c r="D34" s="410">
        <f>+C34+D32</f>
        <v>3110315</v>
      </c>
      <c r="E34" s="410">
        <f>+D34+E32</f>
        <v>4184306</v>
      </c>
      <c r="F34" s="62"/>
      <c r="G34" s="62"/>
      <c r="H34" s="62"/>
      <c r="I34" s="62"/>
      <c r="J34" s="62"/>
      <c r="K34" s="62"/>
      <c r="L34" s="62"/>
      <c r="M34" s="62"/>
      <c r="N34" s="62"/>
      <c r="O34" s="49"/>
      <c r="P34" s="50">
        <f>+H33</f>
        <v>0</v>
      </c>
      <c r="Q34" s="49"/>
    </row>
    <row r="35" spans="2:17">
      <c r="C35" s="63">
        <f t="shared" ref="C35:N35" si="0">+IF(AND(C30=$C$16,C33&lt;&gt;0),C34/C33,0)</f>
        <v>0</v>
      </c>
      <c r="D35" s="63">
        <f t="shared" si="0"/>
        <v>0</v>
      </c>
      <c r="E35" s="63">
        <f t="shared" si="0"/>
        <v>0.98622706406070981</v>
      </c>
      <c r="F35" s="63">
        <f t="shared" si="0"/>
        <v>0</v>
      </c>
      <c r="G35" s="63">
        <f t="shared" si="0"/>
        <v>0</v>
      </c>
      <c r="H35" s="63">
        <f t="shared" si="0"/>
        <v>0</v>
      </c>
      <c r="I35" s="63">
        <f t="shared" si="0"/>
        <v>0</v>
      </c>
      <c r="J35" s="63">
        <f t="shared" si="0"/>
        <v>0</v>
      </c>
      <c r="K35" s="63">
        <f t="shared" si="0"/>
        <v>0</v>
      </c>
      <c r="L35" s="63">
        <f t="shared" si="0"/>
        <v>0</v>
      </c>
      <c r="M35" s="63">
        <f t="shared" si="0"/>
        <v>0</v>
      </c>
      <c r="N35" s="63">
        <f t="shared" si="0"/>
        <v>0</v>
      </c>
      <c r="O35" s="49"/>
      <c r="P35" s="50">
        <f>+I33</f>
        <v>0</v>
      </c>
      <c r="Q35" s="49"/>
    </row>
    <row r="36" spans="2:17" ht="18.75">
      <c r="B36" s="48" t="s">
        <v>90</v>
      </c>
      <c r="E36" s="64"/>
      <c r="G36" s="65"/>
      <c r="N36" s="66"/>
    </row>
    <row r="37" spans="2:17">
      <c r="N37" s="67"/>
    </row>
    <row r="38" spans="2:17" ht="30" customHeight="1">
      <c r="B38" s="68" t="s">
        <v>91</v>
      </c>
      <c r="C38" s="69" t="str">
        <f>CONCATENATE("Presupuesto acumulado (en ",'Introducción de datos'!$D$26,")")</f>
        <v>Presupuesto acumulado (en $)</v>
      </c>
      <c r="D38" s="70" t="str">
        <f>CONCATENATE("Gastos acumulados (en ",'Introducción de datos'!$D$26,")")</f>
        <v>Gastos acumulados (en $)</v>
      </c>
      <c r="E38" s="71"/>
      <c r="F38" s="72"/>
      <c r="J38" s="73"/>
      <c r="K38" s="73"/>
    </row>
    <row r="39" spans="2:17" ht="14.25" customHeight="1">
      <c r="B39" s="74" t="s">
        <v>92</v>
      </c>
      <c r="C39" s="75">
        <f>485302.48+439071.02+63705-36188.95+208763.05-15000+544096.18+1.11</f>
        <v>1689749.8900000004</v>
      </c>
      <c r="D39" s="75">
        <f>378673.2+611563.07+255944</f>
        <v>1246180.27</v>
      </c>
      <c r="E39" s="76"/>
      <c r="F39" s="77"/>
      <c r="G39" s="78"/>
      <c r="J39" s="7"/>
      <c r="K39" s="7"/>
    </row>
    <row r="40" spans="2:17" ht="14.25" customHeight="1">
      <c r="B40" s="74" t="s">
        <v>93</v>
      </c>
      <c r="C40" s="75">
        <f>136604+145984-14932.9-36805.5+108864.02</f>
        <v>339713.62</v>
      </c>
      <c r="D40" s="75">
        <f>113510.06+90070.72</f>
        <v>203580.78</v>
      </c>
      <c r="F40" s="77"/>
      <c r="G40" s="78"/>
      <c r="K40" s="7"/>
    </row>
    <row r="41" spans="2:17">
      <c r="B41" s="79" t="s">
        <v>94</v>
      </c>
      <c r="C41" s="75">
        <f>13500+162500+17500-5000+17500.02</f>
        <v>206000.02</v>
      </c>
      <c r="D41" s="75">
        <f>7650+140530+28050</f>
        <v>176230</v>
      </c>
      <c r="F41" s="80"/>
      <c r="K41" s="7"/>
    </row>
    <row r="42" spans="2:17" ht="15" customHeight="1">
      <c r="B42" s="74" t="s">
        <v>95</v>
      </c>
      <c r="C42" s="75">
        <v>38186.120000000003</v>
      </c>
      <c r="D42" s="75">
        <v>32546</v>
      </c>
      <c r="F42" s="81"/>
    </row>
    <row r="43" spans="2:17">
      <c r="B43" s="74" t="s">
        <v>96</v>
      </c>
      <c r="C43" s="75">
        <f>36480+46480+5260-2799.33+52563.06</f>
        <v>137983.72999999998</v>
      </c>
      <c r="D43" s="75">
        <f>29827.98+5548.46</f>
        <v>35376.44</v>
      </c>
      <c r="F43" s="80"/>
    </row>
    <row r="44" spans="2:17">
      <c r="B44" s="74" t="s">
        <v>97</v>
      </c>
      <c r="C44" s="75">
        <f>553061.62+251561.62+99145.8-141711.01-69813.55+105056.69</f>
        <v>797301.16999999993</v>
      </c>
      <c r="D44" s="82">
        <f>260030.17+337044.25+78356.9</f>
        <v>675431.32000000007</v>
      </c>
      <c r="F44" s="83"/>
    </row>
    <row r="45" spans="2:17">
      <c r="B45" s="84" t="s">
        <v>98</v>
      </c>
      <c r="C45" s="75">
        <f>10000+25000+10000.01</f>
        <v>45000.01</v>
      </c>
      <c r="D45" s="82">
        <v>15111.5</v>
      </c>
      <c r="F45" s="80"/>
    </row>
    <row r="46" spans="2:17">
      <c r="B46" s="84" t="s">
        <v>99</v>
      </c>
      <c r="C46" s="75">
        <f>285122.98+159062.1-87144+174686.75</f>
        <v>531727.82999999996</v>
      </c>
      <c r="D46" s="82">
        <f>153033.48+55525.57</f>
        <v>208559.05000000002</v>
      </c>
      <c r="F46" s="80"/>
    </row>
    <row r="47" spans="2:17">
      <c r="B47" s="84" t="s">
        <v>100</v>
      </c>
      <c r="C47" s="75">
        <f>162771.78+159626.93+53673.39-38652+130814.77-11156.26</f>
        <v>457078.61</v>
      </c>
      <c r="D47" s="82">
        <f>100456.47+232703.23+36053.51</f>
        <v>369213.21</v>
      </c>
      <c r="F47" s="80"/>
    </row>
    <row r="48" spans="2:17">
      <c r="B48" s="85"/>
      <c r="C48" s="86">
        <v>0</v>
      </c>
      <c r="D48" s="87">
        <v>0</v>
      </c>
    </row>
    <row r="49" spans="2:17">
      <c r="B49" s="88" t="s">
        <v>101</v>
      </c>
      <c r="C49" s="89">
        <f>SUM(C39:C47)</f>
        <v>4242741</v>
      </c>
      <c r="D49" s="89">
        <f>SUM(D39:D47)</f>
        <v>2962228.57</v>
      </c>
      <c r="E49" s="90"/>
      <c r="F49" s="505" t="str">
        <f ca="1">+IF((ROUND(C49,0)=ROUND(OFFSET(B33,0,RIGHT('Introducción de datos'!$C$16,LEN('Introducción de datos'!$C$16)-1),1,1),0)),"OK: Datos corresponden","Atención: Datos no corresponden")</f>
        <v>OK: Datos corresponden</v>
      </c>
      <c r="G49" s="505"/>
      <c r="H49" s="505"/>
      <c r="I49" s="505"/>
      <c r="J49" s="91"/>
      <c r="K49" s="91"/>
      <c r="L49" s="91"/>
      <c r="M49" s="92"/>
      <c r="N49" s="49"/>
    </row>
    <row r="50" spans="2:17">
      <c r="B50" s="93" t="s">
        <v>102</v>
      </c>
      <c r="C50" s="91"/>
      <c r="D50" s="91"/>
      <c r="E50" s="94"/>
      <c r="F50" s="91"/>
      <c r="G50" s="91"/>
      <c r="H50" s="91"/>
      <c r="I50" s="91"/>
      <c r="J50" s="91"/>
      <c r="K50" s="91"/>
      <c r="L50" s="91"/>
      <c r="M50" s="91"/>
      <c r="N50" s="91"/>
      <c r="O50" s="49"/>
      <c r="P50" s="50"/>
      <c r="Q50" s="49"/>
    </row>
    <row r="51" spans="2:17" ht="18.75">
      <c r="B51" s="48" t="s">
        <v>103</v>
      </c>
      <c r="O51" s="49"/>
      <c r="P51" s="50">
        <f>+J33</f>
        <v>0</v>
      </c>
      <c r="Q51" s="49"/>
    </row>
    <row r="52" spans="2:17">
      <c r="O52" s="49"/>
      <c r="P52" s="50">
        <f>+K33</f>
        <v>0</v>
      </c>
      <c r="Q52" s="49"/>
    </row>
    <row r="53" spans="2:17" ht="35.25" customHeight="1">
      <c r="B53" s="95"/>
      <c r="C53" s="96" t="s">
        <v>104</v>
      </c>
      <c r="D53" s="96" t="s">
        <v>105</v>
      </c>
      <c r="E53" s="97" t="str">
        <f>CONCATENATE("Total gastado y desembolso (en ",D26,")")</f>
        <v>Total gastado y desembolso (en $)</v>
      </c>
      <c r="G53" s="98"/>
      <c r="H53" s="72"/>
      <c r="I53" s="99"/>
      <c r="J53" s="99"/>
      <c r="K53" s="99"/>
      <c r="L53" s="99"/>
      <c r="M53" s="100"/>
      <c r="N53" s="100"/>
      <c r="O53" s="50">
        <f>+M33</f>
        <v>0</v>
      </c>
      <c r="P53" s="49"/>
    </row>
    <row r="54" spans="2:17" ht="15" customHeight="1">
      <c r="B54" s="437" t="s">
        <v>352</v>
      </c>
      <c r="C54" s="102"/>
      <c r="D54" s="112">
        <v>159354.39000000001</v>
      </c>
      <c r="E54" s="438"/>
      <c r="G54" s="98"/>
      <c r="H54" s="72"/>
      <c r="I54" s="99"/>
      <c r="J54" s="99"/>
      <c r="K54" s="99"/>
      <c r="L54" s="99"/>
      <c r="M54" s="100"/>
      <c r="N54" s="100"/>
      <c r="O54" s="50"/>
      <c r="P54" s="49"/>
    </row>
    <row r="55" spans="2:17">
      <c r="B55" s="439" t="s">
        <v>353</v>
      </c>
      <c r="C55" s="102">
        <f>3110315-159354.39</f>
        <v>2950960.61</v>
      </c>
      <c r="D55" s="102">
        <f>1073991+159354.39</f>
        <v>1233345.3900000001</v>
      </c>
      <c r="E55" s="103">
        <f>+D55+C55</f>
        <v>4184306</v>
      </c>
      <c r="F55" s="442"/>
      <c r="H55" s="105"/>
      <c r="I55" s="419"/>
      <c r="J55" s="107"/>
      <c r="K55" s="107"/>
      <c r="L55" s="108"/>
      <c r="M55" s="108"/>
      <c r="N55" s="108"/>
      <c r="O55" s="49"/>
      <c r="P55" s="49"/>
    </row>
    <row r="56" spans="2:17">
      <c r="B56" s="440" t="s">
        <v>106</v>
      </c>
      <c r="C56" s="102">
        <v>2836899.36</v>
      </c>
      <c r="D56" s="102">
        <f>398404.41+672572.67</f>
        <v>1070977.08</v>
      </c>
      <c r="E56" s="103">
        <f>+D56+C56</f>
        <v>3907876.44</v>
      </c>
      <c r="G56" s="109"/>
      <c r="H56" s="105"/>
      <c r="I56" s="104"/>
      <c r="J56" s="107"/>
      <c r="K56" s="107"/>
      <c r="L56" s="108"/>
      <c r="M56" s="110"/>
      <c r="N56" s="110"/>
      <c r="O56" s="49"/>
      <c r="P56" s="49"/>
    </row>
    <row r="57" spans="2:17">
      <c r="B57" s="441" t="s">
        <v>354</v>
      </c>
      <c r="C57" s="101">
        <v>0</v>
      </c>
      <c r="D57" s="101">
        <v>83798</v>
      </c>
      <c r="E57" s="111">
        <f>+D57+C57</f>
        <v>83798</v>
      </c>
      <c r="G57" s="109"/>
      <c r="H57" s="105"/>
      <c r="I57" s="106"/>
      <c r="J57" s="107"/>
      <c r="K57" s="107"/>
      <c r="L57" s="108"/>
      <c r="M57" s="110"/>
      <c r="N57" s="110"/>
      <c r="O57" s="49"/>
      <c r="P57" s="49"/>
    </row>
    <row r="58" spans="2:17" ht="15.75" thickBot="1">
      <c r="B58" s="440" t="s">
        <v>107</v>
      </c>
      <c r="C58" s="112">
        <f>+C55-C56-C57</f>
        <v>114061.25</v>
      </c>
      <c r="D58" s="112">
        <f>+D55-D56-D57</f>
        <v>78570.310000000056</v>
      </c>
      <c r="E58" s="111">
        <f>+D58+C58</f>
        <v>192631.56000000006</v>
      </c>
      <c r="G58" s="109"/>
      <c r="H58" s="105"/>
      <c r="I58" s="106"/>
      <c r="J58" s="107"/>
      <c r="K58" s="107"/>
      <c r="L58" s="108"/>
      <c r="M58" s="110"/>
      <c r="N58" s="110"/>
      <c r="O58" s="49"/>
      <c r="P58" s="49"/>
    </row>
    <row r="59" spans="2:17" ht="19.5" thickBot="1">
      <c r="B59" s="48" t="s">
        <v>108</v>
      </c>
      <c r="C59" s="96"/>
      <c r="D59" s="96"/>
      <c r="E59" s="96"/>
      <c r="O59" s="49"/>
      <c r="P59" s="50">
        <f>+J40</f>
        <v>0</v>
      </c>
      <c r="Q59" s="49"/>
    </row>
    <row r="60" spans="2:17" ht="15.75" thickBot="1">
      <c r="B60" s="412" t="s">
        <v>340</v>
      </c>
      <c r="C60" s="102">
        <f>1049406.92+695588.34</f>
        <v>1744995.2599999998</v>
      </c>
      <c r="D60" s="102">
        <f>672572.67</f>
        <v>672572.67</v>
      </c>
      <c r="E60" s="414">
        <f t="shared" ref="E60:E65" si="1">+D60+C60</f>
        <v>2417567.9299999997</v>
      </c>
      <c r="F60" s="90"/>
      <c r="G60" s="104"/>
      <c r="H60" s="105"/>
      <c r="I60" s="106"/>
      <c r="J60" s="107"/>
      <c r="K60" s="107"/>
      <c r="L60" s="108"/>
      <c r="M60" s="108"/>
      <c r="N60" s="108"/>
    </row>
    <row r="61" spans="2:17" ht="15.75" thickBot="1">
      <c r="B61" s="412" t="s">
        <v>355</v>
      </c>
      <c r="C61" s="102">
        <f>718810.59+738140.24</f>
        <v>1456950.83</v>
      </c>
      <c r="D61" s="102">
        <v>12661.26</v>
      </c>
      <c r="E61" s="414">
        <f>+D61+C61</f>
        <v>1469612.09</v>
      </c>
      <c r="F61" s="90"/>
      <c r="G61" s="104"/>
      <c r="H61" s="105"/>
      <c r="I61" s="106"/>
      <c r="J61" s="107"/>
      <c r="K61" s="107"/>
      <c r="L61" s="108"/>
      <c r="M61" s="108"/>
      <c r="N61" s="108"/>
    </row>
    <row r="62" spans="2:17" ht="15.75" thickBot="1">
      <c r="B62" s="412" t="s">
        <v>356</v>
      </c>
      <c r="C62" s="102">
        <f>435906.56+161787.4</f>
        <v>597693.96</v>
      </c>
      <c r="D62" s="102">
        <v>134390.97</v>
      </c>
      <c r="E62" s="415">
        <f t="shared" si="1"/>
        <v>732084.92999999993</v>
      </c>
      <c r="F62" s="90"/>
      <c r="G62" s="104"/>
      <c r="H62" s="105"/>
      <c r="I62" s="106"/>
      <c r="J62" s="107"/>
      <c r="K62" s="107"/>
      <c r="L62" s="108"/>
      <c r="M62" s="108"/>
      <c r="N62" s="108"/>
    </row>
    <row r="63" spans="2:17" ht="15.75" thickBot="1">
      <c r="B63" s="412" t="s">
        <v>357</v>
      </c>
      <c r="C63" s="102">
        <f>74983+319125.94</f>
        <v>394108.94</v>
      </c>
      <c r="D63" s="102">
        <v>89897.279999999999</v>
      </c>
      <c r="E63" s="415">
        <f t="shared" si="1"/>
        <v>484006.22</v>
      </c>
      <c r="F63" s="90"/>
      <c r="G63" s="104"/>
      <c r="H63" s="105"/>
      <c r="I63" s="106"/>
      <c r="J63" s="107"/>
      <c r="K63" s="107"/>
      <c r="L63" s="108"/>
      <c r="M63" s="108"/>
      <c r="N63" s="108"/>
      <c r="O63" s="49"/>
      <c r="P63" s="49"/>
    </row>
    <row r="64" spans="2:17" ht="15.75" thickBot="1">
      <c r="B64" s="412" t="s">
        <v>358</v>
      </c>
      <c r="C64" s="411">
        <f>235715.52+531909.99</f>
        <v>767625.51</v>
      </c>
      <c r="D64" s="411">
        <v>336618.56</v>
      </c>
      <c r="E64" s="416">
        <f t="shared" si="1"/>
        <v>1104244.07</v>
      </c>
      <c r="F64" s="90"/>
      <c r="G64" s="109"/>
      <c r="H64" s="113"/>
      <c r="I64" s="114"/>
      <c r="J64" s="114"/>
      <c r="K64" s="114"/>
      <c r="L64" s="108"/>
      <c r="M64" s="110"/>
      <c r="N64" s="110"/>
    </row>
    <row r="65" spans="2:17" ht="15.75" thickBot="1">
      <c r="B65" s="413" t="s">
        <v>359</v>
      </c>
      <c r="C65" s="411">
        <f>230058.18+482306.27</f>
        <v>712364.45</v>
      </c>
      <c r="D65" s="411">
        <v>295845.87</v>
      </c>
      <c r="E65" s="416">
        <f t="shared" si="1"/>
        <v>1008210.32</v>
      </c>
      <c r="F65" s="90"/>
      <c r="G65" s="109"/>
      <c r="H65" s="113"/>
      <c r="I65" s="114"/>
      <c r="J65" s="114"/>
      <c r="K65" s="114"/>
      <c r="L65" s="108"/>
      <c r="M65" s="110"/>
      <c r="N65" s="110"/>
    </row>
    <row r="66" spans="2:17" ht="15.75" customHeight="1">
      <c r="B66" s="115"/>
      <c r="C66" s="116"/>
      <c r="D66" s="116"/>
      <c r="E66" s="117"/>
    </row>
    <row r="67" spans="2:17" ht="15.75" customHeight="1">
      <c r="B67" s="118"/>
      <c r="C67" s="116"/>
      <c r="D67" s="116"/>
      <c r="E67" s="117"/>
    </row>
    <row r="68" spans="2:17">
      <c r="D68" s="119"/>
    </row>
    <row r="69" spans="2:17" ht="18.75">
      <c r="B69" s="48" t="s">
        <v>109</v>
      </c>
      <c r="D69" s="120"/>
    </row>
    <row r="71" spans="2:17" ht="14.25" customHeight="1">
      <c r="B71" s="506" t="s">
        <v>110</v>
      </c>
      <c r="C71" s="506"/>
      <c r="D71" s="506"/>
    </row>
    <row r="72" spans="2:17">
      <c r="B72" s="121"/>
      <c r="C72" s="122" t="s">
        <v>111</v>
      </c>
      <c r="D72" s="123" t="s">
        <v>112</v>
      </c>
    </row>
    <row r="73" spans="2:17">
      <c r="B73" s="124" t="s">
        <v>113</v>
      </c>
      <c r="C73" s="125">
        <v>45</v>
      </c>
      <c r="D73" s="126">
        <v>45</v>
      </c>
    </row>
    <row r="74" spans="2:17">
      <c r="B74" s="127" t="s">
        <v>114</v>
      </c>
      <c r="C74" s="125">
        <v>45</v>
      </c>
      <c r="D74" s="126">
        <v>27</v>
      </c>
      <c r="H74" s="105"/>
      <c r="I74" s="105"/>
    </row>
    <row r="75" spans="2:17">
      <c r="B75" s="128" t="s">
        <v>115</v>
      </c>
      <c r="C75" s="129"/>
      <c r="D75" s="130"/>
      <c r="H75" s="105"/>
      <c r="I75" s="105"/>
    </row>
    <row r="76" spans="2:17">
      <c r="B76" s="131"/>
    </row>
    <row r="77" spans="2:17">
      <c r="L77" s="132"/>
    </row>
    <row r="78" spans="2:17" ht="18.75">
      <c r="B78" s="133" t="s">
        <v>116</v>
      </c>
      <c r="C78" s="134"/>
      <c r="D78" s="134"/>
      <c r="E78" s="134"/>
      <c r="F78" s="134"/>
      <c r="G78" s="134"/>
      <c r="H78" s="135" t="s">
        <v>117</v>
      </c>
      <c r="I78" s="134"/>
      <c r="J78" s="136"/>
      <c r="K78" s="136"/>
      <c r="L78" s="137"/>
      <c r="M78" s="138"/>
      <c r="N78" s="139"/>
      <c r="Q78" s="43"/>
    </row>
    <row r="79" spans="2:17" ht="18.75">
      <c r="B79" s="140"/>
      <c r="C79" s="141"/>
      <c r="D79" s="141"/>
      <c r="E79" s="141"/>
      <c r="F79" s="141"/>
      <c r="G79" s="141"/>
      <c r="H79" s="141"/>
      <c r="I79" s="141"/>
      <c r="J79" s="141"/>
      <c r="K79" s="142"/>
      <c r="L79" s="142"/>
      <c r="M79" s="141"/>
      <c r="N79" s="139"/>
      <c r="Q79" s="43"/>
    </row>
    <row r="80" spans="2:17" ht="18.75">
      <c r="B80" s="140" t="s">
        <v>118</v>
      </c>
      <c r="C80" s="141"/>
      <c r="D80" s="141"/>
      <c r="E80" s="141"/>
      <c r="F80" s="141"/>
      <c r="G80" s="141"/>
      <c r="H80" s="141"/>
      <c r="I80" s="141"/>
      <c r="J80" s="141"/>
      <c r="K80" s="142"/>
      <c r="L80" s="142"/>
      <c r="M80" s="141"/>
      <c r="N80" s="139"/>
      <c r="Q80" s="43"/>
    </row>
    <row r="81" spans="2:10">
      <c r="C81" s="143"/>
      <c r="D81" s="143"/>
      <c r="E81" s="143"/>
      <c r="F81" s="143"/>
      <c r="G81" s="143"/>
      <c r="I81" s="143"/>
    </row>
    <row r="82" spans="2:10" ht="45">
      <c r="B82" s="499"/>
      <c r="C82" s="499"/>
      <c r="D82" s="144" t="s">
        <v>119</v>
      </c>
      <c r="E82" s="145" t="s">
        <v>120</v>
      </c>
      <c r="F82" s="145" t="s">
        <v>121</v>
      </c>
      <c r="G82" s="145" t="s">
        <v>122</v>
      </c>
      <c r="H82" s="146" t="s">
        <v>101</v>
      </c>
      <c r="I82" s="147"/>
    </row>
    <row r="83" spans="2:10">
      <c r="B83" s="500" t="s">
        <v>123</v>
      </c>
      <c r="C83" s="500"/>
      <c r="D83" s="149">
        <v>0</v>
      </c>
      <c r="E83" s="150">
        <v>0</v>
      </c>
      <c r="F83" s="150">
        <v>0</v>
      </c>
      <c r="G83" s="150">
        <v>0</v>
      </c>
      <c r="H83" s="151">
        <f>SUM(E83:G83)</f>
        <v>0</v>
      </c>
      <c r="I83" s="152"/>
      <c r="J83" s="152"/>
    </row>
    <row r="84" spans="2:10">
      <c r="B84" s="501" t="s">
        <v>124</v>
      </c>
      <c r="C84" s="501"/>
      <c r="D84" s="154">
        <v>3</v>
      </c>
      <c r="E84" s="155">
        <v>3</v>
      </c>
      <c r="F84" s="155">
        <v>0</v>
      </c>
      <c r="G84" s="155">
        <v>0</v>
      </c>
      <c r="H84" s="156">
        <f>SUM(E84:G84)</f>
        <v>3</v>
      </c>
    </row>
    <row r="85" spans="2:10" ht="15.75">
      <c r="B85" s="157" t="s">
        <v>346</v>
      </c>
    </row>
    <row r="87" spans="2:10" ht="18.75">
      <c r="B87" s="140" t="s">
        <v>125</v>
      </c>
    </row>
    <row r="89" spans="2:10">
      <c r="B89" s="158"/>
      <c r="C89" s="159" t="s">
        <v>126</v>
      </c>
      <c r="D89" s="159" t="s">
        <v>127</v>
      </c>
      <c r="E89" s="160" t="s">
        <v>128</v>
      </c>
      <c r="I89" s="147"/>
    </row>
    <row r="90" spans="2:10">
      <c r="B90" s="153" t="s">
        <v>129</v>
      </c>
      <c r="C90" s="161">
        <v>3</v>
      </c>
      <c r="D90" s="161">
        <v>3</v>
      </c>
      <c r="E90" s="162">
        <f>+C90-D90</f>
        <v>0</v>
      </c>
      <c r="F90" s="30"/>
      <c r="G90" s="163"/>
      <c r="I90" s="152"/>
    </row>
    <row r="91" spans="2:10">
      <c r="B91" s="164"/>
    </row>
    <row r="92" spans="2:10" ht="18.75">
      <c r="B92" s="140" t="s">
        <v>130</v>
      </c>
    </row>
    <row r="94" spans="2:10" ht="30">
      <c r="B94" s="158"/>
      <c r="C94" s="159" t="s">
        <v>131</v>
      </c>
      <c r="D94" s="159" t="s">
        <v>132</v>
      </c>
      <c r="E94" s="159" t="s">
        <v>133</v>
      </c>
      <c r="F94" s="159" t="s">
        <v>134</v>
      </c>
      <c r="G94" s="165" t="s">
        <v>135</v>
      </c>
      <c r="H94" s="166"/>
      <c r="I94" s="147"/>
    </row>
    <row r="95" spans="2:10">
      <c r="B95" s="153" t="s">
        <v>136</v>
      </c>
      <c r="C95" s="161" t="s">
        <v>137</v>
      </c>
      <c r="D95" s="161" t="s">
        <v>137</v>
      </c>
      <c r="E95" s="161" t="s">
        <v>137</v>
      </c>
      <c r="F95" s="161" t="s">
        <v>137</v>
      </c>
      <c r="G95" s="167">
        <v>0</v>
      </c>
      <c r="H95" s="168"/>
      <c r="I95" s="80"/>
    </row>
    <row r="96" spans="2:10">
      <c r="B96" s="164"/>
    </row>
    <row r="97" spans="2:14" ht="18.75">
      <c r="B97" s="140" t="s">
        <v>138</v>
      </c>
    </row>
    <row r="99" spans="2:14">
      <c r="B99" s="158"/>
      <c r="C99" s="169" t="s">
        <v>139</v>
      </c>
      <c r="D99" s="169" t="s">
        <v>140</v>
      </c>
      <c r="E99" s="170" t="s">
        <v>141</v>
      </c>
    </row>
    <row r="100" spans="2:14">
      <c r="B100" s="148" t="s">
        <v>142</v>
      </c>
      <c r="C100" s="149">
        <v>0</v>
      </c>
      <c r="D100" s="171"/>
      <c r="E100" s="172">
        <f>C100-D100</f>
        <v>0</v>
      </c>
    </row>
    <row r="101" spans="2:14">
      <c r="B101" s="153" t="s">
        <v>143</v>
      </c>
      <c r="C101" s="173">
        <v>0</v>
      </c>
      <c r="D101" s="174"/>
      <c r="E101" s="172">
        <f>C101-D101</f>
        <v>0</v>
      </c>
    </row>
    <row r="102" spans="2:14">
      <c r="B102" s="175"/>
    </row>
    <row r="103" spans="2:14" ht="18.75">
      <c r="B103" s="140" t="s">
        <v>144</v>
      </c>
    </row>
    <row r="105" spans="2:14">
      <c r="B105" s="176"/>
      <c r="C105" s="177" t="s">
        <v>77</v>
      </c>
      <c r="D105" s="177" t="s">
        <v>61</v>
      </c>
      <c r="E105" s="177" t="s">
        <v>78</v>
      </c>
      <c r="F105" s="177" t="s">
        <v>79</v>
      </c>
      <c r="G105" s="177" t="s">
        <v>80</v>
      </c>
      <c r="H105" s="177" t="s">
        <v>81</v>
      </c>
      <c r="I105" s="177" t="s">
        <v>82</v>
      </c>
      <c r="J105" s="177" t="s">
        <v>83</v>
      </c>
      <c r="K105" s="177" t="s">
        <v>84</v>
      </c>
      <c r="L105" s="177" t="s">
        <v>85</v>
      </c>
      <c r="M105" s="177" t="s">
        <v>86</v>
      </c>
      <c r="N105" s="178" t="s">
        <v>87</v>
      </c>
    </row>
    <row r="106" spans="2:14" ht="15" customHeight="1">
      <c r="B106" s="179" t="s">
        <v>145</v>
      </c>
      <c r="C106" s="417">
        <v>0</v>
      </c>
      <c r="D106" s="417">
        <v>0</v>
      </c>
      <c r="E106" s="417"/>
      <c r="F106" s="417"/>
      <c r="G106" s="180"/>
      <c r="H106" s="180"/>
      <c r="I106" s="180"/>
      <c r="J106" s="180"/>
      <c r="K106" s="181"/>
      <c r="L106" s="181"/>
      <c r="M106" s="181"/>
      <c r="N106" s="181"/>
    </row>
    <row r="107" spans="2:14" ht="15" customHeight="1">
      <c r="B107" s="179" t="s">
        <v>146</v>
      </c>
      <c r="C107" s="417">
        <v>0</v>
      </c>
      <c r="D107" s="417">
        <v>0</v>
      </c>
      <c r="E107" s="417"/>
      <c r="F107" s="417"/>
      <c r="G107" s="180"/>
      <c r="H107" s="180"/>
      <c r="I107" s="180"/>
      <c r="J107" s="180"/>
      <c r="K107" s="181"/>
      <c r="L107" s="181"/>
      <c r="M107" s="181"/>
      <c r="N107" s="181"/>
    </row>
    <row r="108" spans="2:14" ht="15" customHeight="1">
      <c r="B108" s="179" t="s">
        <v>147</v>
      </c>
      <c r="C108" s="417">
        <v>0</v>
      </c>
      <c r="D108" s="417">
        <v>0</v>
      </c>
      <c r="E108" s="417"/>
      <c r="F108" s="417"/>
      <c r="G108" s="180"/>
      <c r="H108" s="180"/>
      <c r="I108" s="180"/>
      <c r="J108" s="180"/>
      <c r="K108" s="181"/>
      <c r="L108" s="181"/>
      <c r="M108" s="181"/>
      <c r="N108" s="181"/>
    </row>
    <row r="109" spans="2:14" ht="15" customHeight="1">
      <c r="B109" s="182" t="s">
        <v>148</v>
      </c>
      <c r="C109" s="418">
        <v>0</v>
      </c>
      <c r="D109" s="418">
        <f t="shared" ref="D109:F111" si="2">+C109+D106</f>
        <v>0</v>
      </c>
      <c r="E109" s="418">
        <f t="shared" si="2"/>
        <v>0</v>
      </c>
      <c r="F109" s="418">
        <f t="shared" si="2"/>
        <v>0</v>
      </c>
      <c r="G109" s="183"/>
      <c r="H109" s="183"/>
      <c r="I109" s="183"/>
      <c r="J109" s="183"/>
      <c r="K109" s="183"/>
      <c r="L109" s="183">
        <f t="shared" ref="L109:N111" si="3">+K109+L106</f>
        <v>0</v>
      </c>
      <c r="M109" s="184">
        <f t="shared" si="3"/>
        <v>0</v>
      </c>
      <c r="N109" s="184">
        <f t="shared" si="3"/>
        <v>0</v>
      </c>
    </row>
    <row r="110" spans="2:14" ht="15" customHeight="1">
      <c r="B110" s="182" t="s">
        <v>149</v>
      </c>
      <c r="C110" s="418">
        <f>C107</f>
        <v>0</v>
      </c>
      <c r="D110" s="418">
        <f t="shared" si="2"/>
        <v>0</v>
      </c>
      <c r="E110" s="418">
        <f t="shared" si="2"/>
        <v>0</v>
      </c>
      <c r="F110" s="418">
        <f t="shared" si="2"/>
        <v>0</v>
      </c>
      <c r="G110" s="183"/>
      <c r="H110" s="183"/>
      <c r="I110" s="183"/>
      <c r="J110" s="183"/>
      <c r="K110" s="183"/>
      <c r="L110" s="183">
        <f t="shared" si="3"/>
        <v>0</v>
      </c>
      <c r="M110" s="184">
        <f t="shared" si="3"/>
        <v>0</v>
      </c>
      <c r="N110" s="184">
        <f t="shared" si="3"/>
        <v>0</v>
      </c>
    </row>
    <row r="111" spans="2:14">
      <c r="B111" s="185" t="s">
        <v>150</v>
      </c>
      <c r="C111" s="418">
        <f>+C108</f>
        <v>0</v>
      </c>
      <c r="D111" s="418">
        <f t="shared" si="2"/>
        <v>0</v>
      </c>
      <c r="E111" s="418">
        <f t="shared" si="2"/>
        <v>0</v>
      </c>
      <c r="F111" s="418">
        <v>0</v>
      </c>
      <c r="G111" s="183"/>
      <c r="H111" s="183"/>
      <c r="I111" s="183"/>
      <c r="J111" s="183"/>
      <c r="K111" s="183"/>
      <c r="L111" s="183">
        <f t="shared" si="3"/>
        <v>0</v>
      </c>
      <c r="M111" s="184">
        <f t="shared" si="3"/>
        <v>0</v>
      </c>
      <c r="N111" s="184">
        <f t="shared" si="3"/>
        <v>0</v>
      </c>
    </row>
    <row r="112" spans="2:14">
      <c r="J112" s="186"/>
      <c r="K112" s="187"/>
      <c r="M112" s="188"/>
    </row>
    <row r="113" spans="2:14">
      <c r="B113" t="s">
        <v>151</v>
      </c>
      <c r="J113" s="186"/>
      <c r="K113" s="187"/>
      <c r="M113" s="188"/>
    </row>
    <row r="114" spans="2:14">
      <c r="J114" s="186"/>
      <c r="K114" s="188"/>
      <c r="M114" s="188"/>
    </row>
    <row r="116" spans="2:14" ht="18.75" hidden="1">
      <c r="B116" s="140" t="s">
        <v>152</v>
      </c>
    </row>
    <row r="117" spans="2:14" hidden="1"/>
    <row r="118" spans="2:14" ht="70.5" hidden="1" customHeight="1">
      <c r="B118" s="189" t="s">
        <v>153</v>
      </c>
      <c r="C118" s="190" t="s">
        <v>154</v>
      </c>
      <c r="D118" s="190" t="s">
        <v>155</v>
      </c>
      <c r="E118" s="190" t="s">
        <v>156</v>
      </c>
      <c r="F118" s="190" t="s">
        <v>157</v>
      </c>
      <c r="G118" s="190" t="s">
        <v>158</v>
      </c>
      <c r="H118" s="190" t="s">
        <v>159</v>
      </c>
      <c r="I118" s="190" t="s">
        <v>160</v>
      </c>
      <c r="J118" s="190" t="s">
        <v>161</v>
      </c>
      <c r="K118" s="191" t="s">
        <v>162</v>
      </c>
    </row>
    <row r="119" spans="2:14" hidden="1">
      <c r="B119" s="502" t="s">
        <v>49</v>
      </c>
      <c r="C119" s="192" t="s">
        <v>163</v>
      </c>
      <c r="D119" s="193"/>
      <c r="E119" s="194" t="str">
        <f t="shared" ref="E119:E124" si="4">IF(ISBLANK(D119),"",D119*30)</f>
        <v/>
      </c>
      <c r="F119" s="195"/>
      <c r="G119" s="196" t="str">
        <f t="shared" ref="G119:G124" si="5">IF(AND(E119&gt;0,F119&gt;0),(F119*E119),"")</f>
        <v/>
      </c>
      <c r="H119" s="197"/>
      <c r="I119" s="198" t="str">
        <f t="shared" ref="I119:I124" si="6">IF(AND(G119&gt;0,H119&gt;0),H119/G119,"")</f>
        <v/>
      </c>
      <c r="J119" s="193"/>
      <c r="K119" s="199" t="str">
        <f t="shared" ref="K119:K124" si="7">IF(AND(I119&gt;0,J119&gt;0),I119-J119,"")</f>
        <v/>
      </c>
    </row>
    <row r="120" spans="2:14" hidden="1">
      <c r="B120" s="502"/>
      <c r="C120" s="192" t="s">
        <v>164</v>
      </c>
      <c r="D120" s="193"/>
      <c r="E120" s="194" t="str">
        <f t="shared" si="4"/>
        <v/>
      </c>
      <c r="F120" s="195"/>
      <c r="G120" s="196" t="str">
        <f t="shared" si="5"/>
        <v/>
      </c>
      <c r="H120" s="197"/>
      <c r="I120" s="198" t="str">
        <f t="shared" si="6"/>
        <v/>
      </c>
      <c r="J120" s="193"/>
      <c r="K120" s="199" t="str">
        <f t="shared" si="7"/>
        <v/>
      </c>
    </row>
    <row r="121" spans="2:14" hidden="1">
      <c r="B121" s="502"/>
      <c r="C121" s="192" t="s">
        <v>165</v>
      </c>
      <c r="D121" s="193"/>
      <c r="E121" s="194" t="str">
        <f t="shared" si="4"/>
        <v/>
      </c>
      <c r="F121" s="195"/>
      <c r="G121" s="196" t="str">
        <f t="shared" si="5"/>
        <v/>
      </c>
      <c r="H121" s="197"/>
      <c r="I121" s="198" t="str">
        <f t="shared" si="6"/>
        <v/>
      </c>
      <c r="J121" s="193"/>
      <c r="K121" s="199" t="str">
        <f t="shared" si="7"/>
        <v/>
      </c>
    </row>
    <row r="122" spans="2:14" hidden="1">
      <c r="B122" s="502"/>
      <c r="C122" s="200" t="s">
        <v>166</v>
      </c>
      <c r="D122" s="201"/>
      <c r="E122" s="194" t="str">
        <f t="shared" si="4"/>
        <v/>
      </c>
      <c r="F122" s="195"/>
      <c r="G122" s="196" t="str">
        <f t="shared" si="5"/>
        <v/>
      </c>
      <c r="H122" s="202"/>
      <c r="I122" s="198" t="str">
        <f t="shared" si="6"/>
        <v/>
      </c>
      <c r="J122" s="201"/>
      <c r="K122" s="199" t="str">
        <f t="shared" si="7"/>
        <v/>
      </c>
    </row>
    <row r="123" spans="2:14" hidden="1">
      <c r="B123" s="502"/>
      <c r="C123" s="203" t="s">
        <v>167</v>
      </c>
      <c r="D123" s="204"/>
      <c r="E123" s="194" t="str">
        <f t="shared" si="4"/>
        <v/>
      </c>
      <c r="F123" s="195"/>
      <c r="G123" s="196" t="str">
        <f t="shared" si="5"/>
        <v/>
      </c>
      <c r="H123" s="205"/>
      <c r="I123" s="198" t="str">
        <f t="shared" si="6"/>
        <v/>
      </c>
      <c r="J123" s="201"/>
      <c r="K123" s="199" t="str">
        <f t="shared" si="7"/>
        <v/>
      </c>
    </row>
    <row r="124" spans="2:14" hidden="1">
      <c r="B124" s="502"/>
      <c r="C124" s="206"/>
      <c r="D124" s="207"/>
      <c r="E124" s="208" t="str">
        <f t="shared" si="4"/>
        <v/>
      </c>
      <c r="F124" s="209"/>
      <c r="G124" s="210" t="str">
        <f t="shared" si="5"/>
        <v/>
      </c>
      <c r="H124" s="211"/>
      <c r="I124" s="212" t="str">
        <f t="shared" si="6"/>
        <v/>
      </c>
      <c r="J124" s="213"/>
      <c r="K124" s="214" t="str">
        <f t="shared" si="7"/>
        <v/>
      </c>
    </row>
    <row r="125" spans="2:14">
      <c r="B125" s="215"/>
    </row>
    <row r="126" spans="2:14">
      <c r="J126" s="141"/>
      <c r="K126" s="141"/>
    </row>
    <row r="127" spans="2:14" ht="18.75">
      <c r="B127" s="216" t="s">
        <v>168</v>
      </c>
      <c r="C127" s="217"/>
      <c r="D127" s="217"/>
      <c r="E127" s="218"/>
      <c r="F127" s="218"/>
      <c r="G127" s="218"/>
      <c r="H127" s="219"/>
      <c r="I127" s="220"/>
      <c r="J127" s="221"/>
      <c r="K127" s="222" t="s">
        <v>169</v>
      </c>
      <c r="L127" s="218"/>
      <c r="M127" s="221"/>
      <c r="N127" s="221"/>
    </row>
    <row r="129" spans="1:17" ht="25.5">
      <c r="B129" s="507" t="s">
        <v>170</v>
      </c>
      <c r="C129" s="507"/>
      <c r="D129" s="507"/>
      <c r="E129" s="223" t="s">
        <v>171</v>
      </c>
      <c r="F129" s="224" t="s">
        <v>172</v>
      </c>
      <c r="G129" s="225"/>
      <c r="H129" s="226">
        <v>2019</v>
      </c>
      <c r="I129" s="226">
        <v>2020</v>
      </c>
      <c r="J129" s="226">
        <v>2021</v>
      </c>
      <c r="K129" s="226">
        <v>2022</v>
      </c>
      <c r="L129" s="226">
        <v>2023</v>
      </c>
      <c r="M129" s="226">
        <v>2024</v>
      </c>
      <c r="N129" s="226">
        <v>2025</v>
      </c>
      <c r="O129" s="226"/>
      <c r="P129" s="226"/>
      <c r="Q129" s="226"/>
    </row>
    <row r="130" spans="1:17">
      <c r="B130" s="227"/>
      <c r="C130" s="228"/>
      <c r="D130" s="228"/>
      <c r="E130" s="229"/>
      <c r="F130" s="230"/>
      <c r="G130" s="231"/>
      <c r="H130" s="232"/>
      <c r="I130" s="232"/>
      <c r="J130" s="232"/>
      <c r="K130" s="232"/>
      <c r="L130" s="232"/>
      <c r="M130" s="232"/>
      <c r="N130" s="232"/>
      <c r="O130" s="232"/>
      <c r="P130" s="232"/>
      <c r="Q130" s="233"/>
    </row>
    <row r="131" spans="1:17" ht="15" customHeight="1">
      <c r="A131" s="508" t="s">
        <v>173</v>
      </c>
      <c r="B131" s="509" t="s">
        <v>342</v>
      </c>
      <c r="C131" s="509"/>
      <c r="D131" s="509"/>
      <c r="E131" s="510" t="s">
        <v>137</v>
      </c>
      <c r="F131" s="512" t="s">
        <v>174</v>
      </c>
      <c r="G131" s="234" t="s">
        <v>175</v>
      </c>
      <c r="H131" s="406">
        <v>0.55000000000000004</v>
      </c>
      <c r="I131" s="426">
        <v>0.64993000000000001</v>
      </c>
      <c r="J131" s="432">
        <f>2764/3685</f>
        <v>0.75006784260515602</v>
      </c>
      <c r="K131" s="236"/>
      <c r="L131" s="237"/>
      <c r="M131" s="238"/>
      <c r="N131" s="239"/>
      <c r="O131" s="239"/>
      <c r="P131" s="240"/>
      <c r="Q131" s="240"/>
    </row>
    <row r="132" spans="1:17">
      <c r="A132" s="508"/>
      <c r="B132" s="509"/>
      <c r="C132" s="509"/>
      <c r="D132" s="509"/>
      <c r="E132" s="510"/>
      <c r="F132" s="512"/>
      <c r="G132" s="234" t="s">
        <v>176</v>
      </c>
      <c r="H132" s="406">
        <v>0.80989999999999995</v>
      </c>
      <c r="I132" s="426">
        <v>0.786582</v>
      </c>
      <c r="J132" s="432">
        <f>1308/1959</f>
        <v>0.66768759571209801</v>
      </c>
      <c r="K132" s="236"/>
      <c r="L132" s="235"/>
      <c r="M132" s="238"/>
      <c r="N132" s="239"/>
      <c r="O132" s="239"/>
      <c r="P132" s="240"/>
      <c r="Q132" s="240"/>
    </row>
    <row r="133" spans="1:17" ht="15" customHeight="1">
      <c r="A133" s="508"/>
      <c r="B133" s="509" t="s">
        <v>343</v>
      </c>
      <c r="C133" s="509"/>
      <c r="D133" s="509"/>
      <c r="E133" s="510" t="s">
        <v>137</v>
      </c>
      <c r="F133" s="512" t="s">
        <v>174</v>
      </c>
      <c r="G133" s="241" t="s">
        <v>175</v>
      </c>
      <c r="H133" s="244">
        <v>27</v>
      </c>
      <c r="I133" s="244">
        <v>35</v>
      </c>
      <c r="J133" s="433">
        <v>33</v>
      </c>
      <c r="K133" s="236"/>
      <c r="L133" s="235"/>
      <c r="M133" s="238"/>
      <c r="N133" s="238"/>
      <c r="O133" s="238"/>
      <c r="P133" s="242"/>
      <c r="Q133" s="242"/>
    </row>
    <row r="134" spans="1:17">
      <c r="A134" s="508"/>
      <c r="B134" s="509"/>
      <c r="C134" s="509"/>
      <c r="D134" s="509"/>
      <c r="E134" s="510"/>
      <c r="F134" s="512"/>
      <c r="G134" s="241" t="s">
        <v>176</v>
      </c>
      <c r="H134" s="244">
        <v>21</v>
      </c>
      <c r="I134" s="244">
        <v>37</v>
      </c>
      <c r="J134" s="433">
        <v>43</v>
      </c>
      <c r="K134" s="236"/>
      <c r="L134" s="235"/>
      <c r="M134" s="238"/>
      <c r="N134" s="238"/>
      <c r="O134" s="238"/>
      <c r="P134" s="242"/>
      <c r="Q134" s="242"/>
    </row>
    <row r="135" spans="1:17" ht="15" customHeight="1">
      <c r="A135" s="508"/>
      <c r="B135" s="511" t="s">
        <v>344</v>
      </c>
      <c r="C135" s="511"/>
      <c r="D135" s="511"/>
      <c r="E135" s="510" t="s">
        <v>137</v>
      </c>
      <c r="F135" s="512" t="s">
        <v>174</v>
      </c>
      <c r="G135" s="234" t="s">
        <v>175</v>
      </c>
      <c r="H135" s="407">
        <v>2153</v>
      </c>
      <c r="I135" s="407">
        <v>1035</v>
      </c>
      <c r="J135" s="433">
        <v>884</v>
      </c>
      <c r="K135" s="236"/>
      <c r="L135" s="235"/>
      <c r="M135" s="238"/>
      <c r="N135" s="239"/>
      <c r="O135" s="239"/>
      <c r="P135" s="240"/>
      <c r="Q135" s="240"/>
    </row>
    <row r="136" spans="1:17">
      <c r="A136" s="508"/>
      <c r="B136" s="511"/>
      <c r="C136" s="511"/>
      <c r="D136" s="511"/>
      <c r="E136" s="510"/>
      <c r="F136" s="512"/>
      <c r="G136" s="234" t="s">
        <v>176</v>
      </c>
      <c r="H136" s="407">
        <v>1328</v>
      </c>
      <c r="I136" s="407">
        <v>983</v>
      </c>
      <c r="J136" s="433">
        <v>628</v>
      </c>
      <c r="K136" s="236"/>
      <c r="L136" s="235"/>
      <c r="M136" s="243"/>
      <c r="N136" s="239"/>
      <c r="O136" s="239"/>
      <c r="P136" s="240"/>
      <c r="Q136" s="240"/>
    </row>
    <row r="137" spans="1:17" ht="15" customHeight="1">
      <c r="B137" s="513" t="s">
        <v>345</v>
      </c>
      <c r="C137" s="513"/>
      <c r="D137" s="513"/>
      <c r="E137" s="510" t="s">
        <v>137</v>
      </c>
      <c r="F137" s="512" t="s">
        <v>174</v>
      </c>
      <c r="G137" s="241" t="s">
        <v>175</v>
      </c>
      <c r="H137" s="405">
        <v>0.95</v>
      </c>
      <c r="I137" s="426">
        <v>0.94997299999999996</v>
      </c>
      <c r="J137" s="432">
        <f>1544/1608</f>
        <v>0.96019900497512434</v>
      </c>
      <c r="K137" s="236"/>
      <c r="L137" s="235"/>
      <c r="M137" s="238"/>
      <c r="N137" s="239"/>
      <c r="O137" s="239"/>
      <c r="P137" s="242"/>
      <c r="Q137" s="242"/>
    </row>
    <row r="138" spans="1:17">
      <c r="B138" s="513"/>
      <c r="C138" s="513"/>
      <c r="D138" s="513"/>
      <c r="E138" s="510"/>
      <c r="F138" s="512"/>
      <c r="G138" s="241" t="s">
        <v>176</v>
      </c>
      <c r="H138" s="405">
        <v>0.9375</v>
      </c>
      <c r="I138" s="427">
        <v>0.94503000000000004</v>
      </c>
      <c r="J138" s="432">
        <f>891/952</f>
        <v>0.93592436974789917</v>
      </c>
      <c r="K138" s="236"/>
      <c r="L138" s="235"/>
      <c r="M138" s="243"/>
      <c r="N138" s="239"/>
      <c r="O138" s="239"/>
      <c r="P138" s="242"/>
      <c r="Q138" s="242"/>
    </row>
    <row r="139" spans="1:17" ht="15" customHeight="1">
      <c r="B139" s="509"/>
      <c r="C139" s="509"/>
      <c r="D139" s="509"/>
      <c r="E139" s="510">
        <v>1.4</v>
      </c>
      <c r="F139" s="512" t="s">
        <v>174</v>
      </c>
      <c r="G139" s="241" t="s">
        <v>175</v>
      </c>
      <c r="H139" s="245"/>
      <c r="I139" s="235"/>
      <c r="J139" s="235"/>
      <c r="K139" s="236"/>
      <c r="L139" s="235"/>
      <c r="M139" s="238"/>
      <c r="N139" s="238"/>
      <c r="O139" s="238"/>
      <c r="P139" s="246"/>
      <c r="Q139" s="246"/>
    </row>
    <row r="140" spans="1:17">
      <c r="B140" s="509"/>
      <c r="C140" s="509"/>
      <c r="D140" s="509"/>
      <c r="E140" s="510"/>
      <c r="F140" s="512"/>
      <c r="G140" s="241" t="s">
        <v>176</v>
      </c>
      <c r="H140" s="247"/>
      <c r="I140" s="235"/>
      <c r="J140" s="235"/>
      <c r="K140" s="236"/>
      <c r="L140" s="235"/>
      <c r="M140" s="238"/>
      <c r="N140" s="238"/>
      <c r="O140" s="238"/>
      <c r="P140" s="246"/>
      <c r="Q140" s="246"/>
    </row>
    <row r="141" spans="1:17" ht="15" customHeight="1">
      <c r="B141" s="513"/>
      <c r="C141" s="513"/>
      <c r="D141" s="513"/>
      <c r="E141" s="510">
        <v>1.3</v>
      </c>
      <c r="F141" s="512" t="s">
        <v>174</v>
      </c>
      <c r="G141" s="234" t="s">
        <v>175</v>
      </c>
      <c r="H141" s="248"/>
      <c r="I141" s="235"/>
      <c r="J141" s="235"/>
      <c r="K141" s="236"/>
      <c r="L141" s="235"/>
      <c r="M141" s="238"/>
      <c r="N141" s="239"/>
      <c r="O141" s="239"/>
      <c r="P141" s="240"/>
      <c r="Q141" s="240"/>
    </row>
    <row r="142" spans="1:17">
      <c r="B142" s="513"/>
      <c r="C142" s="513"/>
      <c r="D142" s="513"/>
      <c r="E142" s="510"/>
      <c r="F142" s="512"/>
      <c r="G142" s="234" t="s">
        <v>176</v>
      </c>
      <c r="H142" s="249"/>
      <c r="I142" s="235"/>
      <c r="J142" s="235"/>
      <c r="K142" s="236"/>
      <c r="L142" s="235"/>
      <c r="M142" s="243"/>
      <c r="N142" s="239"/>
      <c r="O142" s="239"/>
      <c r="P142" s="240"/>
      <c r="Q142" s="240"/>
    </row>
    <row r="143" spans="1:17" ht="14.25" customHeight="1">
      <c r="B143" s="513"/>
      <c r="C143" s="513"/>
      <c r="D143" s="513"/>
      <c r="E143" s="510">
        <v>1.5</v>
      </c>
      <c r="F143" s="512" t="s">
        <v>174</v>
      </c>
      <c r="G143" s="234" t="s">
        <v>175</v>
      </c>
      <c r="H143" s="235"/>
      <c r="I143" s="235"/>
      <c r="J143" s="235"/>
      <c r="K143" s="236"/>
      <c r="L143" s="235"/>
      <c r="M143" s="238"/>
      <c r="N143" s="238"/>
      <c r="O143" s="238"/>
      <c r="P143" s="240"/>
      <c r="Q143" s="240"/>
    </row>
    <row r="144" spans="1:17">
      <c r="B144" s="513"/>
      <c r="C144" s="513"/>
      <c r="D144" s="513"/>
      <c r="E144" s="510"/>
      <c r="F144" s="512"/>
      <c r="G144" s="234" t="s">
        <v>176</v>
      </c>
      <c r="H144" s="235"/>
      <c r="I144" s="235"/>
      <c r="J144" s="235"/>
      <c r="K144" s="236"/>
      <c r="L144" s="235"/>
      <c r="M144" s="238"/>
      <c r="N144" s="238"/>
      <c r="O144" s="238"/>
      <c r="P144" s="240"/>
      <c r="Q144" s="240"/>
    </row>
    <row r="145" spans="2:17" ht="14.25" customHeight="1">
      <c r="B145" s="509"/>
      <c r="C145" s="509"/>
      <c r="D145" s="509"/>
      <c r="E145" s="510">
        <v>1.6</v>
      </c>
      <c r="F145" s="512" t="s">
        <v>174</v>
      </c>
      <c r="G145" s="241" t="s">
        <v>175</v>
      </c>
      <c r="H145" s="235"/>
      <c r="I145" s="235"/>
      <c r="J145" s="235"/>
      <c r="K145" s="236"/>
      <c r="L145" s="235"/>
      <c r="M145" s="238"/>
      <c r="N145" s="239"/>
      <c r="O145" s="239"/>
      <c r="P145" s="246"/>
      <c r="Q145" s="246"/>
    </row>
    <row r="146" spans="2:17">
      <c r="B146" s="509"/>
      <c r="C146" s="509"/>
      <c r="D146" s="509"/>
      <c r="E146" s="510"/>
      <c r="F146" s="512"/>
      <c r="G146" s="241" t="s">
        <v>176</v>
      </c>
      <c r="H146" s="235"/>
      <c r="I146" s="235"/>
      <c r="J146" s="235"/>
      <c r="K146" s="236"/>
      <c r="L146" s="235"/>
      <c r="M146" s="243"/>
      <c r="N146" s="239"/>
      <c r="O146" s="239"/>
      <c r="P146" s="246"/>
      <c r="Q146" s="246"/>
    </row>
    <row r="147" spans="2:17">
      <c r="B147" s="215"/>
    </row>
    <row r="148" spans="2:17">
      <c r="B148" s="215"/>
    </row>
    <row r="149" spans="2:17" ht="25.5">
      <c r="B149" s="64" t="s">
        <v>177</v>
      </c>
      <c r="E149" s="250" t="s">
        <v>171</v>
      </c>
      <c r="F149" s="251" t="s">
        <v>172</v>
      </c>
      <c r="G149" s="225"/>
      <c r="H149" s="226" t="str">
        <f t="shared" ref="H149:N149" si="8">C30</f>
        <v>P1</v>
      </c>
      <c r="I149" s="226" t="str">
        <f t="shared" si="8"/>
        <v>P2</v>
      </c>
      <c r="J149" s="226" t="str">
        <f t="shared" si="8"/>
        <v>P3</v>
      </c>
      <c r="K149" s="226" t="str">
        <f t="shared" si="8"/>
        <v>P4</v>
      </c>
      <c r="L149" s="226" t="str">
        <f t="shared" si="8"/>
        <v>P5</v>
      </c>
      <c r="M149" s="226" t="str">
        <f t="shared" si="8"/>
        <v>P6</v>
      </c>
      <c r="N149" s="226" t="str">
        <f t="shared" si="8"/>
        <v>P7</v>
      </c>
      <c r="O149" s="226" t="str">
        <f>L30</f>
        <v>P10</v>
      </c>
      <c r="P149" s="226" t="str">
        <f>M30</f>
        <v>P11</v>
      </c>
      <c r="Q149" s="226" t="str">
        <f>N30</f>
        <v>P12</v>
      </c>
    </row>
    <row r="150" spans="2:17" ht="14.25" customHeight="1" thickBot="1">
      <c r="B150" s="517" t="str">
        <f>IF(ISBLANK(B131),"",(B131))</f>
        <v>MDR TB-6: Porcentaje de casos de TB con resultados de PSD por lo menos para Rifampicina, entre el número total de casos notificados (nuevos y previamente tratados) en el mismo año</v>
      </c>
      <c r="C150" s="517"/>
      <c r="D150" s="517"/>
      <c r="E150" s="515" t="str">
        <f>IF(ISBLANK(E131),"",(E131))</f>
        <v>N/A</v>
      </c>
      <c r="F150" s="516" t="str">
        <f>IF(ISBLANK(F131),"",(F131))</f>
        <v>Yes</v>
      </c>
      <c r="G150" s="252" t="s">
        <v>175</v>
      </c>
      <c r="H150" s="253">
        <f t="shared" ref="H150:H155" si="9">H131</f>
        <v>0.55000000000000004</v>
      </c>
      <c r="I150" s="253">
        <f t="shared" ref="I150:J155" si="10">+I131</f>
        <v>0.64993000000000001</v>
      </c>
      <c r="J150" s="253">
        <f t="shared" si="10"/>
        <v>0.75006784260515602</v>
      </c>
      <c r="K150" s="253">
        <f t="shared" ref="K150:K155" si="11">+K131</f>
        <v>0</v>
      </c>
      <c r="L150" s="253">
        <f>L137</f>
        <v>0</v>
      </c>
      <c r="M150" s="253">
        <f t="shared" ref="M150:M155" si="12">+M131</f>
        <v>0</v>
      </c>
      <c r="N150" s="254">
        <f t="shared" ref="N150:N155" si="13">N131</f>
        <v>0</v>
      </c>
      <c r="O150" s="254">
        <f t="shared" ref="O150:O155" si="14">O131</f>
        <v>0</v>
      </c>
      <c r="P150" s="254">
        <f t="shared" ref="P150:P155" si="15">P131</f>
        <v>0</v>
      </c>
      <c r="Q150" s="254">
        <f t="shared" ref="Q150:Q155" si="16">Q131</f>
        <v>0</v>
      </c>
    </row>
    <row r="151" spans="2:17" ht="15.75" thickBot="1">
      <c r="B151" s="517"/>
      <c r="C151" s="517"/>
      <c r="D151" s="517"/>
      <c r="E151" s="515"/>
      <c r="F151" s="516"/>
      <c r="G151" s="255" t="s">
        <v>176</v>
      </c>
      <c r="H151" s="253">
        <f t="shared" si="9"/>
        <v>0.80989999999999995</v>
      </c>
      <c r="I151" s="253">
        <f t="shared" si="10"/>
        <v>0.786582</v>
      </c>
      <c r="J151" s="253">
        <f t="shared" si="10"/>
        <v>0.66768759571209801</v>
      </c>
      <c r="K151" s="253">
        <f t="shared" si="11"/>
        <v>0</v>
      </c>
      <c r="L151" s="253">
        <f>L138</f>
        <v>0</v>
      </c>
      <c r="M151" s="253">
        <f t="shared" si="12"/>
        <v>0</v>
      </c>
      <c r="N151" s="254">
        <f t="shared" si="13"/>
        <v>0</v>
      </c>
      <c r="O151" s="254">
        <f t="shared" si="14"/>
        <v>0</v>
      </c>
      <c r="P151" s="254">
        <f t="shared" si="15"/>
        <v>0</v>
      </c>
      <c r="Q151" s="254">
        <f t="shared" si="16"/>
        <v>0</v>
      </c>
    </row>
    <row r="152" spans="2:17" ht="15.75" thickBot="1">
      <c r="B152" s="518" t="str">
        <f>IF(ISBLANK(B133),"",(B133))</f>
        <v>MDR TB-3(M): Número de casos TB-RR y/o TB-MDR que iniciaron tratamiento con drogas de segunda línea</v>
      </c>
      <c r="C152" s="518"/>
      <c r="D152" s="518"/>
      <c r="E152" s="519" t="str">
        <f>IF(ISBLANK(E133),"",(E133))</f>
        <v>N/A</v>
      </c>
      <c r="F152" s="520" t="str">
        <f>IF(ISBLANK(F133),"",(F133))</f>
        <v>Yes</v>
      </c>
      <c r="G152" s="256" t="s">
        <v>175</v>
      </c>
      <c r="H152" s="408">
        <f t="shared" si="9"/>
        <v>27</v>
      </c>
      <c r="I152" s="253">
        <f t="shared" si="10"/>
        <v>35</v>
      </c>
      <c r="J152" s="253">
        <f t="shared" si="10"/>
        <v>33</v>
      </c>
      <c r="K152" s="253">
        <f t="shared" si="11"/>
        <v>0</v>
      </c>
      <c r="L152" s="253">
        <f t="shared" ref="L152:L155" si="17">L139</f>
        <v>0</v>
      </c>
      <c r="M152" s="253">
        <f t="shared" si="12"/>
        <v>0</v>
      </c>
      <c r="N152" s="257">
        <f t="shared" si="13"/>
        <v>0</v>
      </c>
      <c r="O152" s="257">
        <f t="shared" si="14"/>
        <v>0</v>
      </c>
      <c r="P152" s="257">
        <f t="shared" si="15"/>
        <v>0</v>
      </c>
      <c r="Q152" s="257">
        <f t="shared" si="16"/>
        <v>0</v>
      </c>
    </row>
    <row r="153" spans="2:17" ht="14.25" customHeight="1" thickBot="1">
      <c r="B153" s="518"/>
      <c r="C153" s="518"/>
      <c r="D153" s="518"/>
      <c r="E153" s="519"/>
      <c r="F153" s="520"/>
      <c r="G153" s="256" t="s">
        <v>176</v>
      </c>
      <c r="H153" s="408">
        <f t="shared" si="9"/>
        <v>21</v>
      </c>
      <c r="I153" s="253">
        <f t="shared" si="10"/>
        <v>37</v>
      </c>
      <c r="J153" s="253">
        <f t="shared" si="10"/>
        <v>43</v>
      </c>
      <c r="K153" s="253">
        <f t="shared" si="11"/>
        <v>0</v>
      </c>
      <c r="L153" s="253">
        <f t="shared" si="17"/>
        <v>0</v>
      </c>
      <c r="M153" s="253">
        <f t="shared" si="12"/>
        <v>0</v>
      </c>
      <c r="N153" s="257">
        <f t="shared" si="13"/>
        <v>0</v>
      </c>
      <c r="O153" s="257">
        <f t="shared" si="14"/>
        <v>0</v>
      </c>
      <c r="P153" s="257">
        <f t="shared" si="15"/>
        <v>0</v>
      </c>
      <c r="Q153" s="257">
        <f t="shared" si="16"/>
        <v>0</v>
      </c>
    </row>
    <row r="154" spans="2:17" ht="14.25" customHeight="1" thickBot="1">
      <c r="B154" s="514" t="str">
        <f>IF(ISBLANK(B135),"",(B135))</f>
        <v>TCP-6a: Número de casos de TB (todas las formas) notificados entre los privados de libertad</v>
      </c>
      <c r="C154" s="514"/>
      <c r="D154" s="514"/>
      <c r="E154" s="515" t="str">
        <f>IF(ISBLANK(E135),"",(E135))</f>
        <v>N/A</v>
      </c>
      <c r="F154" s="516" t="str">
        <f>IF(ISBLANK(F135),"",(F135))</f>
        <v>Yes</v>
      </c>
      <c r="G154" s="255" t="s">
        <v>175</v>
      </c>
      <c r="H154" s="253">
        <f t="shared" si="9"/>
        <v>2153</v>
      </c>
      <c r="I154" s="253">
        <f t="shared" si="10"/>
        <v>1035</v>
      </c>
      <c r="J154" s="253">
        <f t="shared" si="10"/>
        <v>884</v>
      </c>
      <c r="K154" s="253">
        <f t="shared" si="11"/>
        <v>0</v>
      </c>
      <c r="L154" s="253">
        <f t="shared" si="17"/>
        <v>0</v>
      </c>
      <c r="M154" s="253">
        <f t="shared" si="12"/>
        <v>0</v>
      </c>
      <c r="N154" s="254">
        <f t="shared" si="13"/>
        <v>0</v>
      </c>
      <c r="O154" s="254">
        <f t="shared" si="14"/>
        <v>0</v>
      </c>
      <c r="P154" s="254">
        <f t="shared" si="15"/>
        <v>0</v>
      </c>
      <c r="Q154" s="254">
        <f t="shared" si="16"/>
        <v>0</v>
      </c>
    </row>
    <row r="155" spans="2:17" ht="15" customHeight="1" thickBot="1">
      <c r="B155" s="514"/>
      <c r="C155" s="514"/>
      <c r="D155" s="514"/>
      <c r="E155" s="515"/>
      <c r="F155" s="516"/>
      <c r="G155" s="258" t="s">
        <v>176</v>
      </c>
      <c r="H155" s="259">
        <f t="shared" si="9"/>
        <v>1328</v>
      </c>
      <c r="I155" s="253">
        <f t="shared" si="10"/>
        <v>983</v>
      </c>
      <c r="J155" s="253">
        <f t="shared" si="10"/>
        <v>628</v>
      </c>
      <c r="K155" s="253">
        <f t="shared" si="11"/>
        <v>0</v>
      </c>
      <c r="L155" s="253">
        <f t="shared" si="17"/>
        <v>0</v>
      </c>
      <c r="M155" s="253">
        <f t="shared" si="12"/>
        <v>0</v>
      </c>
      <c r="N155" s="254">
        <f t="shared" si="13"/>
        <v>0</v>
      </c>
      <c r="O155" s="254">
        <f t="shared" si="14"/>
        <v>0</v>
      </c>
      <c r="P155" s="254">
        <f t="shared" si="15"/>
        <v>0</v>
      </c>
      <c r="Q155" s="254">
        <f t="shared" si="16"/>
        <v>0</v>
      </c>
    </row>
  </sheetData>
  <sheetProtection selectLockedCells="1" selectUnlockedCells="1"/>
  <mergeCells count="66">
    <mergeCell ref="B154:D155"/>
    <mergeCell ref="E154:E155"/>
    <mergeCell ref="F154:F155"/>
    <mergeCell ref="B150:D151"/>
    <mergeCell ref="E150:E151"/>
    <mergeCell ref="F150:F151"/>
    <mergeCell ref="B152:D153"/>
    <mergeCell ref="E152:E153"/>
    <mergeCell ref="F152:F153"/>
    <mergeCell ref="B143:D144"/>
    <mergeCell ref="E143:E144"/>
    <mergeCell ref="F143:F144"/>
    <mergeCell ref="B145:D146"/>
    <mergeCell ref="E145:E146"/>
    <mergeCell ref="F145:F146"/>
    <mergeCell ref="B139:D140"/>
    <mergeCell ref="E139:E140"/>
    <mergeCell ref="F139:F140"/>
    <mergeCell ref="B141:D142"/>
    <mergeCell ref="E141:E142"/>
    <mergeCell ref="F141:F142"/>
    <mergeCell ref="F135:F136"/>
    <mergeCell ref="B137:D138"/>
    <mergeCell ref="E137:E138"/>
    <mergeCell ref="F137:F138"/>
    <mergeCell ref="F131:F132"/>
    <mergeCell ref="B133:D134"/>
    <mergeCell ref="E133:E134"/>
    <mergeCell ref="F133:F134"/>
    <mergeCell ref="B129:D129"/>
    <mergeCell ref="A131:A136"/>
    <mergeCell ref="B131:D132"/>
    <mergeCell ref="E131:E132"/>
    <mergeCell ref="B135:D136"/>
    <mergeCell ref="E135:E136"/>
    <mergeCell ref="B82:C82"/>
    <mergeCell ref="B83:C83"/>
    <mergeCell ref="B84:C84"/>
    <mergeCell ref="B119:B124"/>
    <mergeCell ref="B26:C26"/>
    <mergeCell ref="B29:N29"/>
    <mergeCell ref="F49:I49"/>
    <mergeCell ref="B71:D71"/>
    <mergeCell ref="C12:D12"/>
    <mergeCell ref="E12:F12"/>
    <mergeCell ref="G12:J12"/>
    <mergeCell ref="B21:J21"/>
    <mergeCell ref="D24:E24"/>
    <mergeCell ref="G24:H24"/>
    <mergeCell ref="I24:J24"/>
    <mergeCell ref="B14:J14"/>
    <mergeCell ref="H16:I16"/>
    <mergeCell ref="B18:C18"/>
    <mergeCell ref="D18:F18"/>
    <mergeCell ref="B2:J2"/>
    <mergeCell ref="C4:D4"/>
    <mergeCell ref="E4:F4"/>
    <mergeCell ref="G4:J4"/>
    <mergeCell ref="C10:D10"/>
    <mergeCell ref="E10:F10"/>
    <mergeCell ref="G10:J10"/>
    <mergeCell ref="C6:D6"/>
    <mergeCell ref="E6:F6"/>
    <mergeCell ref="I6:J6"/>
    <mergeCell ref="C8:D8"/>
    <mergeCell ref="I8:J8"/>
  </mergeCells>
  <phoneticPr fontId="66" type="noConversion"/>
  <conditionalFormatting sqref="C30:N30 C105:N105">
    <cfRule type="cellIs" dxfId="33" priority="1" stopIfTrue="1" operator="equal">
      <formula>$C$16</formula>
    </cfRule>
  </conditionalFormatting>
  <conditionalFormatting sqref="C12:D12">
    <cfRule type="cellIs" dxfId="32" priority="2" stopIfTrue="1" operator="equal">
      <formula>"C"</formula>
    </cfRule>
    <cfRule type="cellIs" dxfId="31" priority="3" stopIfTrue="1" operator="equal">
      <formula>"B2"</formula>
    </cfRule>
    <cfRule type="cellIs" dxfId="30" priority="4" stopIfTrue="1" operator="equal">
      <formula>"B1"</formula>
    </cfRule>
  </conditionalFormatting>
  <conditionalFormatting sqref="H149:Q149 H129:Q130">
    <cfRule type="cellIs" dxfId="29" priority="5" stopIfTrue="1" operator="equal">
      <formula>$C$16</formula>
    </cfRule>
  </conditionalFormatting>
  <conditionalFormatting sqref="F49:I49">
    <cfRule type="expression" dxfId="28" priority="6" stopIfTrue="1">
      <formula>LEFT($F$49,2)="OK"</formula>
    </cfRule>
  </conditionalFormatting>
  <dataValidations count="9">
    <dataValidation type="list" allowBlank="1" showErrorMessage="1" sqref="G6 B119" xr:uid="{00000000-0002-0000-0200-000000000000}">
      <formula1>Component</formula1>
      <formula2>0</formula2>
    </dataValidation>
    <dataValidation type="list" allowBlank="1" showErrorMessage="1" sqref="C16" xr:uid="{00000000-0002-0000-0200-000001000000}">
      <formula1>PERIOD</formula1>
      <formula2>0</formula2>
    </dataValidation>
    <dataValidation type="list" allowBlank="1" showErrorMessage="1" sqref="G10:J10" xr:uid="{00000000-0002-0000-0200-000002000000}">
      <formula1>LFA</formula1>
      <formula2>0</formula2>
    </dataValidation>
    <dataValidation type="list" allowBlank="1" showErrorMessage="1" sqref="C12:D12" xr:uid="{00000000-0002-0000-0200-000003000000}">
      <formula1>Rating</formula1>
      <formula2>0</formula2>
    </dataValidation>
    <dataValidation type="list" allowBlank="1" showErrorMessage="1" sqref="I8:J8" xr:uid="{00000000-0002-0000-0200-000004000000}">
      <formula1>Phase</formula1>
      <formula2>0</formula2>
    </dataValidation>
    <dataValidation type="list" allowBlank="1" showErrorMessage="1" sqref="G8" xr:uid="{00000000-0002-0000-0200-000005000000}">
      <formula1>Round</formula1>
      <formula2>0</formula2>
    </dataValidation>
    <dataValidation type="list" allowBlank="1" showErrorMessage="1" sqref="D26" xr:uid="{00000000-0002-0000-0200-000006000000}">
      <formula1>Currency</formula1>
      <formula2>0</formula2>
    </dataValidation>
    <dataValidation type="list" allowBlank="1" showErrorMessage="1" sqref="C4:D4" xr:uid="{00000000-0002-0000-0200-000007000000}">
      <formula1>Ciudades</formula1>
      <formula2>0</formula2>
    </dataValidation>
    <dataValidation type="list" allowBlank="1" showErrorMessage="1" sqref="C119:C124" xr:uid="{00000000-0002-0000-0200-000008000000}">
      <formula1>Medicaments</formula1>
      <formula2>0</formula2>
    </dataValidation>
  </dataValidations>
  <pageMargins left="0.70833333333333337" right="0.70833333333333337" top="0.74791666666666667" bottom="0.74861111111111112" header="0.51180555555555551" footer="0.31527777777777777"/>
  <pageSetup paperSize="9" scale="36" firstPageNumber="0" fitToHeight="8" orientation="landscape" horizontalDpi="300" verticalDpi="300" r:id="rId1"/>
  <headerFooter alignWithMargins="0">
    <oddFooter>&amp;L&amp;F&amp;C&amp;A&amp;R&amp;D</oddFooter>
  </headerFooter>
  <rowBreaks count="1" manualBreakCount="1">
    <brk id="50"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pageSetUpPr fitToPage="1"/>
  </sheetPr>
  <dimension ref="A1:X13"/>
  <sheetViews>
    <sheetView showGridLines="0" zoomScale="90" zoomScaleNormal="90" zoomScaleSheetLayoutView="100" workbookViewId="0">
      <selection activeCell="A3" sqref="A3:J13"/>
    </sheetView>
  </sheetViews>
  <sheetFormatPr baseColWidth="10" defaultRowHeight="15"/>
  <cols>
    <col min="1" max="1" width="21.140625" customWidth="1"/>
    <col min="2" max="2" width="12.42578125" customWidth="1"/>
    <col min="3" max="3" width="20.42578125" customWidth="1"/>
    <col min="4" max="4" width="24" customWidth="1"/>
    <col min="5" max="5" width="11.5703125" customWidth="1"/>
    <col min="6" max="6" width="24.140625" customWidth="1"/>
    <col min="7" max="7" width="30.42578125" customWidth="1"/>
    <col min="8" max="8" width="18.42578125" customWidth="1"/>
    <col min="9" max="9" width="9.42578125" customWidth="1"/>
    <col min="10" max="10" width="13" customWidth="1"/>
    <col min="11" max="11" width="11.42578125" customWidth="1"/>
    <col min="12" max="12" width="8.140625" customWidth="1"/>
    <col min="13" max="13" width="9.5703125" customWidth="1"/>
    <col min="14" max="14" width="8.42578125" customWidth="1"/>
    <col min="15" max="15" width="7.140625" customWidth="1"/>
  </cols>
  <sheetData>
    <row r="1" spans="1:24" ht="21" customHeight="1">
      <c r="G1" s="31"/>
    </row>
    <row r="2" spans="1:24" ht="25.5" customHeight="1"/>
    <row r="3" spans="1:24" ht="36">
      <c r="B3" s="524" t="str">
        <f>+"Tablero de mando: "&amp;" "&amp;+'Introducción de datos'!C4&amp;" - "&amp;+'Introducción de datos'!G6</f>
        <v>Tablero de mando:  El Salvador - TB</v>
      </c>
      <c r="C3" s="524"/>
      <c r="D3" s="524"/>
      <c r="E3" s="524"/>
      <c r="F3" s="524"/>
      <c r="G3" s="524"/>
      <c r="H3" s="524"/>
      <c r="I3" s="524"/>
      <c r="J3" s="524"/>
      <c r="K3" s="260"/>
      <c r="L3" s="260"/>
      <c r="M3" s="260"/>
      <c r="N3" s="261"/>
      <c r="O3" s="261"/>
      <c r="P3" s="261"/>
      <c r="Q3" s="261"/>
      <c r="R3" s="261"/>
      <c r="S3" s="261"/>
      <c r="T3" s="261"/>
    </row>
    <row r="4" spans="1:24" ht="15" customHeight="1">
      <c r="L4" s="261"/>
      <c r="M4" s="261"/>
      <c r="N4" s="261"/>
      <c r="O4" s="261"/>
      <c r="P4" s="261"/>
      <c r="Q4" s="261"/>
      <c r="R4" s="261"/>
      <c r="S4" s="261"/>
      <c r="T4" s="261"/>
    </row>
    <row r="5" spans="1:24">
      <c r="L5" s="261"/>
      <c r="M5" s="261"/>
      <c r="N5" s="261"/>
      <c r="O5" s="261"/>
      <c r="P5" s="261"/>
      <c r="Q5" s="261"/>
      <c r="R5" s="261"/>
      <c r="S5" s="261"/>
      <c r="T5" s="261"/>
    </row>
    <row r="6" spans="1:24" ht="32.25" customHeight="1">
      <c r="A6" s="262" t="s">
        <v>43</v>
      </c>
      <c r="B6" s="525" t="str">
        <f>+'Introducción de datos'!C4</f>
        <v>El Salvador</v>
      </c>
      <c r="C6" s="525"/>
      <c r="D6" s="526" t="s">
        <v>45</v>
      </c>
      <c r="E6" s="526"/>
      <c r="F6" s="527" t="str">
        <f>+'Introducción de datos'!G4</f>
        <v>Financiamiento al PENM TB 2017 - 2021</v>
      </c>
      <c r="G6" s="527"/>
      <c r="H6" s="527"/>
      <c r="I6" s="527"/>
      <c r="J6" s="527"/>
      <c r="K6" s="263"/>
      <c r="L6" s="264"/>
      <c r="M6" s="263"/>
      <c r="N6" s="263"/>
      <c r="O6" s="263"/>
      <c r="P6" s="265"/>
      <c r="Q6" s="266"/>
      <c r="R6" s="266"/>
      <c r="S6" s="266"/>
      <c r="T6" s="266"/>
      <c r="U6" s="266"/>
    </row>
    <row r="7" spans="1:24" ht="8.25" customHeight="1">
      <c r="B7" s="267"/>
      <c r="C7" s="268"/>
      <c r="D7" s="268"/>
      <c r="E7" s="269"/>
      <c r="F7" s="269"/>
      <c r="G7" s="268"/>
      <c r="H7" s="268"/>
      <c r="K7" s="263"/>
      <c r="L7" s="263"/>
      <c r="M7" s="263"/>
      <c r="N7" s="263"/>
      <c r="O7" s="263"/>
      <c r="P7" s="265"/>
      <c r="Q7" s="266"/>
      <c r="R7" s="266"/>
      <c r="S7" s="266"/>
      <c r="T7" s="266"/>
      <c r="U7" s="266"/>
    </row>
    <row r="8" spans="1:24" ht="3.75" customHeight="1">
      <c r="C8" s="270"/>
      <c r="D8" s="270"/>
      <c r="E8" s="270"/>
      <c r="F8" s="270"/>
      <c r="G8" s="270"/>
      <c r="H8" s="270"/>
      <c r="I8" s="270"/>
      <c r="J8" s="270"/>
      <c r="K8" s="263"/>
      <c r="L8" s="263"/>
      <c r="M8" s="263"/>
      <c r="N8" s="263"/>
      <c r="O8" s="271"/>
      <c r="P8" s="265"/>
      <c r="Q8" s="271"/>
      <c r="R8" s="272"/>
      <c r="S8" s="266"/>
      <c r="T8" s="266"/>
      <c r="U8" s="266"/>
    </row>
    <row r="9" spans="1:24" ht="39" customHeight="1">
      <c r="A9" s="273" t="s">
        <v>48</v>
      </c>
      <c r="B9" s="274" t="str">
        <f>+'Introducción de datos'!G6</f>
        <v>TB</v>
      </c>
      <c r="C9" s="275" t="s">
        <v>46</v>
      </c>
      <c r="D9" s="276" t="str">
        <f>+'Introducción de datos'!C6</f>
        <v xml:space="preserve">SLV-T-MOH </v>
      </c>
      <c r="E9" s="521" t="s">
        <v>178</v>
      </c>
      <c r="F9" s="521"/>
      <c r="G9" s="277">
        <f>+'Introducción de datos'!C10</f>
        <v>43466</v>
      </c>
      <c r="H9" s="428" t="s">
        <v>179</v>
      </c>
      <c r="I9" s="522">
        <f>+'Introducción de datos'!I6</f>
        <v>4242741</v>
      </c>
      <c r="J9" s="522"/>
      <c r="K9" s="263"/>
      <c r="L9" s="263"/>
      <c r="M9" s="263"/>
      <c r="N9" s="263"/>
      <c r="O9" s="271"/>
      <c r="P9" s="265"/>
      <c r="Q9" s="271"/>
      <c r="R9" s="272"/>
      <c r="S9" s="266"/>
      <c r="T9" s="278"/>
      <c r="U9" s="278"/>
      <c r="V9" s="270"/>
      <c r="W9" s="270"/>
      <c r="X9" s="270"/>
    </row>
    <row r="10" spans="1:24" ht="25.5" customHeight="1">
      <c r="A10" s="273" t="s">
        <v>180</v>
      </c>
      <c r="B10" s="435" t="str">
        <f>IF(ISBLANK('Introducción de datos'!G8),"",'Introducción de datos'!G8)</f>
        <v/>
      </c>
      <c r="C10" s="275" t="s">
        <v>181</v>
      </c>
      <c r="D10" s="436">
        <f>+'Introducción de datos'!I8</f>
        <v>0</v>
      </c>
      <c r="E10" s="521" t="s">
        <v>182</v>
      </c>
      <c r="F10" s="521"/>
      <c r="G10" s="523" t="str">
        <f>+'Introducción de datos'!C8</f>
        <v xml:space="preserve">Ministerio de Salud </v>
      </c>
      <c r="H10" s="523"/>
      <c r="I10" s="523"/>
      <c r="J10" s="523"/>
      <c r="K10" s="266"/>
      <c r="L10" s="266"/>
      <c r="M10" s="263"/>
      <c r="N10" s="266"/>
      <c r="O10" s="271"/>
      <c r="P10" s="265"/>
      <c r="Q10" s="278"/>
      <c r="R10" s="272"/>
      <c r="S10" s="266"/>
      <c r="T10" s="278"/>
      <c r="U10" s="278"/>
    </row>
    <row r="11" spans="1:24" ht="40.5" customHeight="1">
      <c r="A11" s="273" t="s">
        <v>183</v>
      </c>
      <c r="B11" s="276" t="str">
        <f>+'Introducción de datos'!C16</f>
        <v>P3</v>
      </c>
      <c r="C11" s="275" t="s">
        <v>184</v>
      </c>
      <c r="D11" s="277">
        <f>+'Introducción de datos'!E16</f>
        <v>44197</v>
      </c>
      <c r="E11" s="521" t="s">
        <v>185</v>
      </c>
      <c r="F11" s="521"/>
      <c r="G11" s="279">
        <f>+'Introducción de datos'!G16</f>
        <v>44561</v>
      </c>
      <c r="H11" s="428" t="s">
        <v>186</v>
      </c>
      <c r="I11" s="530" t="str">
        <f>+'Introducción de datos'!C12</f>
        <v>A1</v>
      </c>
      <c r="J11" s="530"/>
      <c r="K11" s="280"/>
      <c r="L11" s="266"/>
      <c r="M11" s="263"/>
      <c r="N11" s="266"/>
      <c r="O11" s="266"/>
      <c r="P11" s="265"/>
      <c r="Q11" s="278"/>
      <c r="R11" s="272"/>
      <c r="S11" s="266"/>
      <c r="T11" s="281"/>
      <c r="U11" s="278"/>
    </row>
    <row r="12" spans="1:24" ht="25.5" customHeight="1">
      <c r="A12" s="273" t="s">
        <v>54</v>
      </c>
      <c r="B12" s="528" t="str">
        <f>+'Introducción de datos'!G10</f>
        <v>Grupo Jacobs</v>
      </c>
      <c r="C12" s="528"/>
      <c r="D12" s="528"/>
      <c r="E12" s="521" t="s">
        <v>58</v>
      </c>
      <c r="F12" s="521"/>
      <c r="G12" s="528" t="str">
        <f>+'Introducción de datos'!G12</f>
        <v>Marcos Patino Mayer</v>
      </c>
      <c r="H12" s="528"/>
      <c r="I12" s="528"/>
      <c r="J12" s="528"/>
      <c r="K12" s="266"/>
      <c r="L12" s="266"/>
      <c r="M12" s="263"/>
      <c r="N12" s="266"/>
      <c r="O12" s="266"/>
      <c r="P12" s="265"/>
      <c r="Q12" s="278"/>
      <c r="R12" s="272"/>
      <c r="S12" s="266"/>
      <c r="T12" s="278"/>
      <c r="U12" s="282"/>
      <c r="V12" s="278"/>
      <c r="W12" s="281"/>
      <c r="X12" s="278"/>
    </row>
    <row r="13" spans="1:24" ht="25.5" customHeight="1">
      <c r="A13" s="273" t="s">
        <v>65</v>
      </c>
      <c r="B13" s="528" t="str">
        <f>+'Introducción de datos'!D18</f>
        <v>OAFM/UFE/MINSAL.</v>
      </c>
      <c r="C13" s="528"/>
      <c r="D13" s="528"/>
      <c r="E13" s="521" t="s">
        <v>187</v>
      </c>
      <c r="F13" s="521"/>
      <c r="G13" s="529">
        <f>+'Introducción de datos'!J16</f>
        <v>44683</v>
      </c>
      <c r="H13" s="529"/>
      <c r="I13" s="529"/>
      <c r="J13" s="529"/>
      <c r="K13" s="266"/>
      <c r="L13" s="283"/>
      <c r="M13" s="283"/>
      <c r="N13" s="283"/>
      <c r="O13" s="266"/>
      <c r="P13" s="283"/>
      <c r="Q13" s="283"/>
      <c r="R13" s="272"/>
      <c r="S13" s="266"/>
      <c r="T13" s="283"/>
      <c r="U13" s="284"/>
    </row>
  </sheetData>
  <sheetProtection selectLockedCells="1" selectUnlockedCells="1"/>
  <mergeCells count="16">
    <mergeCell ref="B13:D13"/>
    <mergeCell ref="E13:F13"/>
    <mergeCell ref="G13:J13"/>
    <mergeCell ref="E11:F11"/>
    <mergeCell ref="I11:J11"/>
    <mergeCell ref="B12:D12"/>
    <mergeCell ref="E12:F12"/>
    <mergeCell ref="G12:J12"/>
    <mergeCell ref="E9:F9"/>
    <mergeCell ref="I9:J9"/>
    <mergeCell ref="E10:F10"/>
    <mergeCell ref="G10:J10"/>
    <mergeCell ref="B3:J3"/>
    <mergeCell ref="B6:C6"/>
    <mergeCell ref="D6:E6"/>
    <mergeCell ref="F6:J6"/>
  </mergeCells>
  <phoneticPr fontId="66" type="noConversion"/>
  <conditionalFormatting sqref="I11:J11">
    <cfRule type="cellIs" dxfId="27" priority="1" stopIfTrue="1" operator="equal">
      <formula>"C"</formula>
    </cfRule>
    <cfRule type="cellIs" dxfId="26" priority="2" stopIfTrue="1" operator="equal">
      <formula>"B2"</formula>
    </cfRule>
    <cfRule type="cellIs" dxfId="25" priority="3" stopIfTrue="1" operator="equal">
      <formula>"B1"</formula>
    </cfRule>
  </conditionalFormatting>
  <dataValidations count="1">
    <dataValidation type="list" allowBlank="1" showErrorMessage="1" sqref="G7" xr:uid="{00000000-0002-0000-0300-000000000000}">
      <formula1>$K$8:$K$9</formula1>
      <formula2>0</formula2>
    </dataValidation>
  </dataValidations>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E0899-1FC1-4D50-9377-97829EA83D98}">
  <sheetPr>
    <tabColor indexed="27"/>
  </sheetPr>
  <dimension ref="B1:V32"/>
  <sheetViews>
    <sheetView showGridLines="0" topLeftCell="A23" zoomScaleNormal="100" workbookViewId="0">
      <selection activeCell="P27" sqref="P27"/>
    </sheetView>
  </sheetViews>
  <sheetFormatPr baseColWidth="10" defaultColWidth="10.7109375" defaultRowHeight="15"/>
  <cols>
    <col min="1" max="1" width="10.7109375" customWidth="1"/>
    <col min="2" max="2" width="11.42578125" customWidth="1"/>
    <col min="3" max="3" width="5.140625" customWidth="1"/>
    <col min="4" max="4" width="12.42578125" customWidth="1"/>
    <col min="5" max="5" width="11.42578125" customWidth="1"/>
    <col min="6" max="7" width="30.85546875" customWidth="1"/>
    <col min="8" max="8" width="3.85546875" customWidth="1"/>
    <col min="9" max="9" width="14" customWidth="1"/>
    <col min="10" max="10" width="15.85546875" customWidth="1"/>
    <col min="11" max="11" width="13.85546875" customWidth="1"/>
    <col min="12" max="12" width="17" customWidth="1"/>
    <col min="13" max="13" width="3.5703125" customWidth="1"/>
    <col min="14" max="14" width="13.140625" customWidth="1"/>
    <col min="15" max="15" width="13.140625" style="422" customWidth="1"/>
  </cols>
  <sheetData>
    <row r="1" spans="2:22" ht="30.75" customHeight="1"/>
    <row r="2" spans="2:22" ht="27.75" customHeight="1">
      <c r="B2" s="484" t="str">
        <f>+"Cuadro de mando:  "&amp;"  "&amp;+'Introducción de datos'!C4&amp;" - "&amp;'Introducción de datos'!G6</f>
        <v>Cuadro de mando:    El Salvador - TB</v>
      </c>
      <c r="C2" s="484"/>
      <c r="D2" s="484"/>
      <c r="E2" s="484"/>
      <c r="F2" s="484"/>
      <c r="G2" s="484"/>
      <c r="H2" s="484"/>
      <c r="I2" s="484"/>
      <c r="J2" s="484"/>
      <c r="K2" s="484"/>
      <c r="L2" s="484"/>
      <c r="M2" s="285"/>
      <c r="N2" s="285"/>
      <c r="O2" s="423"/>
      <c r="P2" s="285"/>
      <c r="Q2" s="285"/>
    </row>
    <row r="3" spans="2:22">
      <c r="B3" s="434">
        <f>+'Introducción de datos'!G8</f>
        <v>0</v>
      </c>
      <c r="C3" s="547">
        <f>+'Introducción de datos'!I8</f>
        <v>0</v>
      </c>
      <c r="D3" s="547">
        <f>+'Introducción de datos'!I8</f>
        <v>0</v>
      </c>
      <c r="E3" s="548"/>
      <c r="F3" s="548"/>
      <c r="G3" s="548"/>
      <c r="H3" s="548"/>
      <c r="I3" s="548"/>
      <c r="J3" s="549" t="str">
        <f>+'Introducción de datos'!B16</f>
        <v>Periodo:</v>
      </c>
      <c r="K3" s="549"/>
      <c r="L3" s="287" t="str">
        <f>+'Introducción de datos'!C16</f>
        <v>P3</v>
      </c>
      <c r="M3" s="280"/>
    </row>
    <row r="4" spans="2:22">
      <c r="B4" s="434" t="str">
        <f>+'Introducción de datos'!B12</f>
        <v>Ultima calificación:</v>
      </c>
      <c r="C4" s="550" t="str">
        <f>+'Introducción de datos'!C12</f>
        <v>A1</v>
      </c>
      <c r="D4" s="550"/>
      <c r="E4" s="548" t="str">
        <f>+'Introducción de datos'!C8</f>
        <v xml:space="preserve">Ministerio de Salud </v>
      </c>
      <c r="F4" s="548"/>
      <c r="G4" s="548"/>
      <c r="H4" s="548"/>
      <c r="I4" s="548"/>
      <c r="J4" s="549" t="str">
        <f>+'Introducción de datos'!D16</f>
        <v>Desde:</v>
      </c>
      <c r="K4" s="549"/>
      <c r="L4" s="288">
        <f>+'Introducción de datos'!E16</f>
        <v>44197</v>
      </c>
    </row>
    <row r="5" spans="2:22" ht="18.75" customHeight="1">
      <c r="B5" s="434"/>
      <c r="C5" s="434"/>
      <c r="D5" s="546" t="str">
        <f>+'Introducción de datos'!G4</f>
        <v>Financiamiento al PENM TB 2017 - 2021</v>
      </c>
      <c r="E5" s="546"/>
      <c r="F5" s="546"/>
      <c r="G5" s="546"/>
      <c r="H5" s="546"/>
      <c r="I5" s="546"/>
      <c r="J5" s="546"/>
      <c r="K5" s="434" t="str">
        <f>+'Introducción de datos'!F16</f>
        <v>Hasta:</v>
      </c>
      <c r="L5" s="288">
        <f>+'Introducción de datos'!G16</f>
        <v>44561</v>
      </c>
    </row>
    <row r="6" spans="2:22" ht="18.75">
      <c r="B6" s="67"/>
      <c r="C6" s="434"/>
      <c r="D6" s="289"/>
      <c r="E6" s="531" t="s">
        <v>188</v>
      </c>
      <c r="F6" s="531"/>
      <c r="G6" s="531"/>
      <c r="H6" s="531"/>
      <c r="I6" s="531"/>
    </row>
    <row r="7" spans="2:22" ht="10.5" customHeight="1">
      <c r="B7" s="67"/>
      <c r="C7" s="434"/>
      <c r="D7" s="289"/>
      <c r="E7" s="290"/>
      <c r="F7" s="290"/>
      <c r="G7" s="290"/>
      <c r="H7" s="290"/>
      <c r="I7" s="290"/>
      <c r="J7" s="291"/>
      <c r="K7" s="291"/>
      <c r="L7" s="292"/>
    </row>
    <row r="8" spans="2:22">
      <c r="B8" s="293" t="str">
        <f>+'Introducción de datos'!B27&amp;" - en ("&amp;'Introducción de datos'!D26&amp;")         "&amp;+I3&amp;" "&amp;+K3</f>
        <v xml:space="preserve">F1: Presupuesto y desembolsos del Fondo Mundial - en ($)          </v>
      </c>
      <c r="C8" s="294"/>
      <c r="I8" s="293" t="str">
        <f>+'Introducción de datos'!B51&amp;" - en ("&amp;'Introducción de datos'!D26&amp;")         "&amp;+I3&amp;" "&amp;+K3</f>
        <v xml:space="preserve">F3: Desembolsos y gastos - en ($)          </v>
      </c>
      <c r="P8" s="293" t="str">
        <f>+'Introducción de datos'!B59&amp;" - en ("&amp;'Introducción de datos'!D26&amp;")         "&amp;+I3&amp;" "&amp;+K3</f>
        <v xml:space="preserve">F3a: Detalles Desembolsos y gastos - en ($)          </v>
      </c>
    </row>
    <row r="9" spans="2:22" ht="112.5" customHeight="1">
      <c r="B9" s="420" t="s">
        <v>189</v>
      </c>
      <c r="C9" s="532" t="s">
        <v>363</v>
      </c>
      <c r="D9" s="533"/>
      <c r="E9" s="533"/>
      <c r="F9" s="534"/>
      <c r="G9" s="421"/>
      <c r="I9" s="295" t="s">
        <v>189</v>
      </c>
      <c r="J9" s="535" t="s">
        <v>360</v>
      </c>
      <c r="K9" s="535"/>
      <c r="L9" s="535"/>
      <c r="M9" s="535"/>
      <c r="N9" s="535"/>
      <c r="O9" s="424"/>
      <c r="P9" s="443" t="s">
        <v>189</v>
      </c>
      <c r="Q9" s="535" t="s">
        <v>361</v>
      </c>
      <c r="R9" s="535"/>
      <c r="S9" s="535"/>
      <c r="T9" s="535"/>
      <c r="U9" s="535"/>
      <c r="V9" s="535"/>
    </row>
    <row r="10" spans="2:22" ht="35.25" customHeight="1"/>
    <row r="15" spans="2:22">
      <c r="N15" s="266" t="s">
        <v>190</v>
      </c>
      <c r="O15" s="425"/>
    </row>
    <row r="16" spans="2:22">
      <c r="N16" s="266" t="s">
        <v>191</v>
      </c>
      <c r="O16" s="425"/>
    </row>
    <row r="21" spans="2:12" ht="24" customHeight="1"/>
    <row r="22" spans="2:12" ht="78.75" customHeight="1">
      <c r="B22" s="296" t="str">
        <f>+'Introducción de datos'!B36&amp;" - en ("&amp;'Introducción de datos'!D26&amp;")  "&amp;+I3&amp;" "&amp;+K3</f>
        <v xml:space="preserve">F2: Presupuesto y gastos reales por estrategias de la subvención anual - en ($)   </v>
      </c>
      <c r="I22" s="296" t="str">
        <f>+'Introducción de datos'!B69&amp;"   "&amp;+I3&amp;" "&amp;+K3</f>
        <v xml:space="preserve">F4: Último ciclo de información y desembolso del RP    </v>
      </c>
    </row>
    <row r="23" spans="2:12" ht="93" customHeight="1">
      <c r="B23" s="295" t="s">
        <v>192</v>
      </c>
      <c r="C23" s="538" t="s">
        <v>362</v>
      </c>
      <c r="D23" s="539"/>
      <c r="E23" s="539"/>
      <c r="F23" s="540"/>
      <c r="H23" s="297"/>
      <c r="I23" s="295" t="s">
        <v>189</v>
      </c>
      <c r="J23" s="538" t="s">
        <v>193</v>
      </c>
      <c r="K23" s="539"/>
      <c r="L23" s="540"/>
    </row>
    <row r="24" spans="2:12" ht="15.75" customHeight="1" thickBot="1">
      <c r="B24" s="298"/>
      <c r="C24" s="298"/>
      <c r="D24" s="298"/>
      <c r="E24" s="298"/>
      <c r="F24" s="298"/>
      <c r="G24" s="298"/>
      <c r="H24" s="298"/>
      <c r="I24" s="298"/>
      <c r="J24" s="298"/>
      <c r="K24" s="298"/>
      <c r="L24" s="298"/>
    </row>
    <row r="25" spans="2:12" ht="29.25" customHeight="1" thickBot="1">
      <c r="H25" s="299"/>
      <c r="I25" s="541" t="s">
        <v>194</v>
      </c>
      <c r="J25" s="542"/>
      <c r="K25" s="542"/>
      <c r="L25" s="543"/>
    </row>
    <row r="26" spans="2:12" ht="24.75">
      <c r="I26" s="544"/>
      <c r="J26" s="545"/>
      <c r="K26" s="300" t="s">
        <v>111</v>
      </c>
      <c r="L26" s="301" t="s">
        <v>112</v>
      </c>
    </row>
    <row r="27" spans="2:12" ht="54.75" customHeight="1" thickBot="1">
      <c r="H27" s="302"/>
      <c r="I27" s="536" t="str">
        <f>'Introducción de datos'!B73</f>
        <v>Días tardados en presentar el informe de progreso actualizado y solicitud de desembolso al ALF</v>
      </c>
      <c r="J27" s="537"/>
      <c r="K27" s="430">
        <f>+'Introducción de datos'!C73</f>
        <v>45</v>
      </c>
      <c r="L27" s="431">
        <f>+'Introducción de datos'!D73</f>
        <v>45</v>
      </c>
    </row>
    <row r="28" spans="2:12" ht="33.75" customHeight="1" thickBot="1">
      <c r="H28" s="302"/>
      <c r="I28" s="536" t="str">
        <f>'Introducción de datos'!B74</f>
        <v>Días que el desembolso ha tardado en llegar al RP</v>
      </c>
      <c r="J28" s="537"/>
      <c r="K28" s="430">
        <f>+'Introducción de datos'!C74</f>
        <v>45</v>
      </c>
      <c r="L28" s="431">
        <f>+'Introducción de datos'!D74</f>
        <v>27</v>
      </c>
    </row>
    <row r="29" spans="2:12" ht="35.25" customHeight="1" thickBot="1">
      <c r="I29" s="536" t="str">
        <f>'Introducción de datos'!B75</f>
        <v>Días que el desembolso ha tardado en llegar a los agentes de compra</v>
      </c>
      <c r="J29" s="537"/>
      <c r="K29" s="430">
        <f>+'Introducción de datos'!C75</f>
        <v>0</v>
      </c>
      <c r="L29" s="431">
        <f>+'Introducción de datos'!D75</f>
        <v>0</v>
      </c>
    </row>
    <row r="30" spans="2:12" ht="84" customHeight="1">
      <c r="D30" s="294"/>
    </row>
    <row r="31" spans="2:12">
      <c r="C31" s="266" t="s">
        <v>88</v>
      </c>
      <c r="D31" s="294"/>
    </row>
    <row r="32" spans="2:12">
      <c r="C32" s="266" t="s">
        <v>150</v>
      </c>
    </row>
  </sheetData>
  <sheetProtection selectLockedCells="1" selectUnlockedCells="1"/>
  <mergeCells count="19">
    <mergeCell ref="D5:J5"/>
    <mergeCell ref="B2:L2"/>
    <mergeCell ref="C3:D3"/>
    <mergeCell ref="E3:I3"/>
    <mergeCell ref="J3:K3"/>
    <mergeCell ref="C4:D4"/>
    <mergeCell ref="E4:I4"/>
    <mergeCell ref="J4:K4"/>
    <mergeCell ref="E6:I6"/>
    <mergeCell ref="C9:F9"/>
    <mergeCell ref="J9:N9"/>
    <mergeCell ref="I29:J29"/>
    <mergeCell ref="Q9:V9"/>
    <mergeCell ref="C23:F23"/>
    <mergeCell ref="J23:L23"/>
    <mergeCell ref="I25:L25"/>
    <mergeCell ref="I26:J26"/>
    <mergeCell ref="I27:J27"/>
    <mergeCell ref="I28:J28"/>
  </mergeCells>
  <conditionalFormatting sqref="L27:L29">
    <cfRule type="cellIs" dxfId="24" priority="1" stopIfTrue="1" operator="equal">
      <formula>0</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7"/>
  </sheetPr>
  <dimension ref="A1:P35"/>
  <sheetViews>
    <sheetView showGridLines="0" workbookViewId="0">
      <selection activeCell="B7" sqref="B7:F15"/>
    </sheetView>
  </sheetViews>
  <sheetFormatPr baseColWidth="10" defaultColWidth="10.7109375" defaultRowHeight="15"/>
  <cols>
    <col min="1" max="1" width="3.42578125" customWidth="1"/>
    <col min="2" max="2" width="14.42578125" customWidth="1"/>
    <col min="3" max="3" width="12.42578125" customWidth="1"/>
    <col min="4" max="4" width="13.140625" customWidth="1"/>
    <col min="5" max="5" width="11.42578125" customWidth="1"/>
    <col min="6" max="6" width="11.85546875" customWidth="1"/>
    <col min="7" max="7" width="18.5703125" customWidth="1"/>
    <col min="8" max="8" width="11.42578125" customWidth="1"/>
    <col min="9" max="9" width="14.42578125" customWidth="1"/>
    <col min="10" max="10" width="15.140625" customWidth="1"/>
    <col min="11" max="11" width="15.42578125" customWidth="1"/>
    <col min="12" max="12" width="15.5703125" customWidth="1"/>
  </cols>
  <sheetData>
    <row r="1" spans="1:16" ht="28.5" customHeight="1">
      <c r="C1" s="188"/>
      <c r="E1" s="188"/>
    </row>
    <row r="2" spans="1:16" ht="27.75" customHeight="1">
      <c r="B2" s="551" t="str">
        <f>+"Cuadro de mando:  "&amp;"  "&amp;+'Introducción de datos'!C4&amp;" - "&amp;'Introducción de datos'!G6</f>
        <v>Cuadro de mando:    El Salvador - TB</v>
      </c>
      <c r="C2" s="551"/>
      <c r="D2" s="551"/>
      <c r="E2" s="551"/>
      <c r="F2" s="551"/>
      <c r="G2" s="551"/>
      <c r="H2" s="551"/>
      <c r="I2" s="551"/>
      <c r="J2" s="551"/>
      <c r="K2" s="551"/>
      <c r="L2" s="551"/>
      <c r="M2" s="303"/>
      <c r="N2" s="303"/>
      <c r="O2" s="303"/>
      <c r="P2" s="303"/>
    </row>
    <row r="3" spans="1:16">
      <c r="B3" s="286">
        <f>+'Introducción de datos'!G8</f>
        <v>0</v>
      </c>
      <c r="C3" s="547">
        <f>+'Introducción de datos'!I8</f>
        <v>0</v>
      </c>
      <c r="D3" s="547"/>
      <c r="E3" s="548"/>
      <c r="F3" s="548"/>
      <c r="G3" s="548"/>
      <c r="H3" s="548"/>
      <c r="I3" s="548"/>
      <c r="J3" s="549" t="str">
        <f>+'Introducción de datos'!B16</f>
        <v>Periodo:</v>
      </c>
      <c r="K3" s="549"/>
      <c r="L3" s="287" t="str">
        <f>+'Introducción de datos'!C16</f>
        <v>P3</v>
      </c>
    </row>
    <row r="4" spans="1:16">
      <c r="B4" s="286" t="str">
        <f>+'Introducción de datos'!B12</f>
        <v>Ultima calificación:</v>
      </c>
      <c r="C4" s="555" t="str">
        <f>+'Introducción de datos'!C12</f>
        <v>A1</v>
      </c>
      <c r="D4" s="555"/>
      <c r="E4" s="548" t="str">
        <f>+'Introducción de datos'!C8</f>
        <v xml:space="preserve">Ministerio de Salud </v>
      </c>
      <c r="F4" s="548"/>
      <c r="G4" s="548"/>
      <c r="H4" s="548"/>
      <c r="I4" s="548"/>
      <c r="J4" s="549" t="str">
        <f>+'Introducción de datos'!D16</f>
        <v>Desde:</v>
      </c>
      <c r="K4" s="549"/>
      <c r="L4" s="288">
        <f>+'Introducción de datos'!E16</f>
        <v>44197</v>
      </c>
    </row>
    <row r="5" spans="1:16" ht="18.75" customHeight="1">
      <c r="B5" s="286"/>
      <c r="C5" s="286"/>
      <c r="D5" s="548" t="str">
        <f>+'Introducción de datos'!G4</f>
        <v>Financiamiento al PENM TB 2017 - 2021</v>
      </c>
      <c r="E5" s="548"/>
      <c r="F5" s="548"/>
      <c r="G5" s="548"/>
      <c r="H5" s="548"/>
      <c r="I5" s="548"/>
      <c r="J5" s="548"/>
      <c r="K5" s="286" t="str">
        <f>+'Introducción de datos'!F16</f>
        <v>Hasta:</v>
      </c>
      <c r="L5" s="288">
        <f>+'Introducción de datos'!G16</f>
        <v>44561</v>
      </c>
    </row>
    <row r="6" spans="1:16" ht="18.75">
      <c r="B6" s="67"/>
      <c r="C6" s="286"/>
      <c r="D6" s="289"/>
      <c r="E6" s="531" t="s">
        <v>16</v>
      </c>
      <c r="F6" s="531"/>
      <c r="G6" s="531"/>
      <c r="H6" s="531"/>
      <c r="I6" s="531"/>
    </row>
    <row r="7" spans="1:16">
      <c r="B7" s="296" t="str">
        <f>+'Introducción de datos'!B80&amp;"     "&amp;+J3&amp;" "&amp;+L3</f>
        <v>M1: Estado de las condiciones precedentes y acciones con fecha límite     Periodo: P3</v>
      </c>
      <c r="C7" s="294"/>
      <c r="H7" s="296" t="str">
        <f>+'Introducción de datos'!B87&amp;"         "&amp;+J3&amp;"  "&amp;+L3</f>
        <v>M2: Estado de los principales puestos directivos del RP         Periodo:  P3</v>
      </c>
    </row>
    <row r="8" spans="1:16" ht="29.25" customHeight="1">
      <c r="B8" s="295" t="s">
        <v>189</v>
      </c>
      <c r="C8" s="552" t="s">
        <v>347</v>
      </c>
      <c r="D8" s="552"/>
      <c r="E8" s="552"/>
      <c r="F8" s="552"/>
      <c r="G8" s="304"/>
      <c r="H8" s="295" t="s">
        <v>189</v>
      </c>
      <c r="I8" s="553" t="s">
        <v>348</v>
      </c>
      <c r="J8" s="553"/>
      <c r="K8" s="553"/>
      <c r="L8" s="553"/>
    </row>
    <row r="10" spans="1:16">
      <c r="A10" s="305"/>
      <c r="D10" s="554"/>
      <c r="E10" s="464"/>
      <c r="F10" s="464"/>
      <c r="G10" s="7"/>
      <c r="N10" s="306"/>
      <c r="O10" s="306"/>
      <c r="P10" s="119"/>
    </row>
    <row r="11" spans="1:16">
      <c r="C11" s="143"/>
      <c r="D11" s="554"/>
      <c r="E11" s="143"/>
      <c r="F11" s="143"/>
      <c r="G11" s="143"/>
      <c r="H11" s="143"/>
    </row>
    <row r="12" spans="1:16">
      <c r="B12" s="143"/>
      <c r="C12" s="307"/>
      <c r="D12" s="308"/>
      <c r="E12" s="308"/>
      <c r="F12" s="308"/>
      <c r="G12" s="308"/>
      <c r="H12" s="309"/>
    </row>
    <row r="13" spans="1:16">
      <c r="B13" s="143"/>
      <c r="C13" s="307"/>
      <c r="D13" s="308"/>
      <c r="E13" s="308"/>
      <c r="F13" s="308"/>
      <c r="G13" s="308"/>
      <c r="H13" s="309"/>
    </row>
    <row r="14" spans="1:16" ht="24" customHeight="1"/>
    <row r="15" spans="1:16" ht="24" customHeight="1"/>
    <row r="16" spans="1:16" ht="23.25" customHeight="1">
      <c r="B16" s="296" t="str">
        <f>+'Introducción de datos'!B92&amp;"            "&amp;+J3&amp;" "&amp;+L3</f>
        <v>M3: Acuerdos contractuales            Periodo: P3</v>
      </c>
      <c r="H16" s="296" t="str">
        <f>+'Introducción de datos'!B97&amp;"                "&amp;+J3&amp;" "&amp;+L3</f>
        <v>M4: Número de informes completos recibidos a tiempo                Periodo: P3</v>
      </c>
    </row>
    <row r="17" spans="2:13" ht="29.25" customHeight="1">
      <c r="B17" s="295" t="s">
        <v>189</v>
      </c>
      <c r="C17" s="558" t="s">
        <v>195</v>
      </c>
      <c r="D17" s="558"/>
      <c r="E17" s="558"/>
      <c r="F17" s="558"/>
      <c r="G17" s="304"/>
      <c r="H17" s="295" t="s">
        <v>189</v>
      </c>
      <c r="I17" s="558" t="s">
        <v>195</v>
      </c>
      <c r="J17" s="558"/>
      <c r="K17" s="558"/>
      <c r="L17" s="558"/>
    </row>
    <row r="19" spans="2:13">
      <c r="M19" s="280"/>
    </row>
    <row r="26" spans="2:13" ht="22.5" customHeight="1"/>
    <row r="27" spans="2:13">
      <c r="B27" s="296" t="str">
        <f>+'Introducción de datos'!B103</f>
        <v>M5: Presupuesto y compra de productos y equipo sanitario, medicamentos y productos farmacéuticos</v>
      </c>
      <c r="H27" s="296" t="str">
        <f>+'Introducción de datos'!B116&amp;"    "&amp;+J3&amp;"  "&amp;+L3</f>
        <v>M6: Diferencia entre existencias actuales y existencias de seguridad    Periodo:  P3</v>
      </c>
    </row>
    <row r="28" spans="2:13" ht="147.75" customHeight="1">
      <c r="B28" s="295" t="s">
        <v>189</v>
      </c>
      <c r="C28" s="559" t="s">
        <v>196</v>
      </c>
      <c r="D28" s="559"/>
      <c r="E28" s="559"/>
      <c r="F28" s="559"/>
      <c r="G28" s="304"/>
      <c r="H28" s="295" t="s">
        <v>189</v>
      </c>
      <c r="I28" s="553" t="s">
        <v>197</v>
      </c>
      <c r="J28" s="553"/>
      <c r="K28" s="553"/>
      <c r="L28" s="553"/>
      <c r="M28" s="310"/>
    </row>
    <row r="30" spans="2:13" ht="75" customHeight="1">
      <c r="F30" s="311"/>
      <c r="G30" s="311"/>
      <c r="H30" s="312" t="s">
        <v>153</v>
      </c>
      <c r="I30" s="313" t="s">
        <v>154</v>
      </c>
      <c r="J30" s="314" t="s">
        <v>198</v>
      </c>
      <c r="K30" s="314" t="s">
        <v>199</v>
      </c>
      <c r="L30" s="315" t="s">
        <v>200</v>
      </c>
    </row>
    <row r="31" spans="2:13" ht="14.45" customHeight="1">
      <c r="F31" s="311"/>
      <c r="G31" s="311"/>
      <c r="H31" s="556" t="str">
        <f>+'Introducción de datos'!B119</f>
        <v>TB</v>
      </c>
      <c r="I31" s="316" t="str">
        <f>+'Introducción de datos'!C119</f>
        <v>PASER</v>
      </c>
      <c r="J31" s="317" t="str">
        <f>+'Introducción de datos'!I119</f>
        <v/>
      </c>
      <c r="K31" s="318">
        <f>+'Introducción de datos'!J119</f>
        <v>0</v>
      </c>
      <c r="L31" s="319" t="str">
        <f>+'Introducción de datos'!K119</f>
        <v/>
      </c>
    </row>
    <row r="32" spans="2:13" ht="30" customHeight="1">
      <c r="B32" s="557" t="str">
        <f>+'Introducción de datos'!B113</f>
        <v>* Incluye sólo los montos de las categorías 4 y 5 (Productos y equipamientos sanitarios y Medicamentos y productos farmacéuticos) de los  Informes Financieros Mejorados</v>
      </c>
      <c r="C32" s="557"/>
      <c r="D32" s="557"/>
      <c r="E32" s="557"/>
      <c r="H32" s="556"/>
      <c r="I32" s="316" t="str">
        <f>+'Introducción de datos'!C120</f>
        <v>Cicloserina 250mg</v>
      </c>
      <c r="J32" s="317" t="str">
        <f>+'Introducción de datos'!I120</f>
        <v/>
      </c>
      <c r="K32" s="318">
        <f>+'Introducción de datos'!J120</f>
        <v>0</v>
      </c>
      <c r="L32" s="320" t="str">
        <f>+'Introducción de datos'!K120</f>
        <v/>
      </c>
    </row>
    <row r="33" spans="8:12">
      <c r="H33" s="556"/>
      <c r="I33" s="316" t="str">
        <f>+'Introducción de datos'!C121</f>
        <v>Kanamicina 1gr</v>
      </c>
      <c r="J33" s="317" t="str">
        <f>+'Introducción de datos'!I121</f>
        <v/>
      </c>
      <c r="K33" s="318">
        <f>+'Introducción de datos'!J121</f>
        <v>0</v>
      </c>
      <c r="L33" s="319" t="str">
        <f>+'Introducción de datos'!K121</f>
        <v/>
      </c>
    </row>
    <row r="34" spans="8:12">
      <c r="H34" s="556"/>
      <c r="I34" s="316" t="str">
        <f>+'Introducción de datos'!C122</f>
        <v>Etionamida 250mg</v>
      </c>
      <c r="J34" s="317" t="str">
        <f>+'Introducción de datos'!I122</f>
        <v/>
      </c>
      <c r="K34" s="318">
        <f>+'Introducción de datos'!J122</f>
        <v>0</v>
      </c>
      <c r="L34" s="319" t="str">
        <f>+'Introducción de datos'!K122</f>
        <v/>
      </c>
    </row>
    <row r="35" spans="8:12" ht="16.899999999999999" customHeight="1">
      <c r="H35" s="556"/>
      <c r="I35" s="316" t="str">
        <f>+'Introducción de datos'!C123</f>
        <v>Levofloxacina</v>
      </c>
      <c r="J35" s="317" t="str">
        <f>+'Introducción de datos'!I123</f>
        <v/>
      </c>
      <c r="K35" s="318">
        <f>+'Introducción de datos'!J123</f>
        <v>0</v>
      </c>
      <c r="L35" s="319" t="str">
        <f>+'Introducción de datos'!K123</f>
        <v/>
      </c>
    </row>
  </sheetData>
  <sheetProtection selectLockedCells="1" selectUnlockedCells="1"/>
  <mergeCells count="19">
    <mergeCell ref="H31:H35"/>
    <mergeCell ref="B32:E32"/>
    <mergeCell ref="C17:F17"/>
    <mergeCell ref="I17:L17"/>
    <mergeCell ref="C28:F28"/>
    <mergeCell ref="I28:L28"/>
    <mergeCell ref="C8:F8"/>
    <mergeCell ref="I8:L8"/>
    <mergeCell ref="D10:D11"/>
    <mergeCell ref="E10:F10"/>
    <mergeCell ref="C4:D4"/>
    <mergeCell ref="E4:I4"/>
    <mergeCell ref="J4:K4"/>
    <mergeCell ref="D5:J5"/>
    <mergeCell ref="B2:L2"/>
    <mergeCell ref="C3:D3"/>
    <mergeCell ref="E3:I3"/>
    <mergeCell ref="J3:K3"/>
    <mergeCell ref="E6:I6"/>
  </mergeCells>
  <phoneticPr fontId="66"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1 L33:L35">
    <cfRule type="cellIs" dxfId="17" priority="7" stopIfTrue="1" operator="lessThan">
      <formula>1</formula>
    </cfRule>
    <cfRule type="cellIs" dxfId="16" priority="8" stopIfTrue="1" operator="between">
      <formula>3</formula>
      <formula>17</formula>
    </cfRule>
    <cfRule type="cellIs" dxfId="15" priority="9" stopIfTrue="1" operator="between">
      <formula>1</formula>
      <formula>3</formula>
    </cfRule>
  </conditionalFormatting>
  <conditionalFormatting sqref="L32">
    <cfRule type="cellIs" dxfId="14" priority="10" stopIfTrue="1" operator="lessThan">
      <formula>1</formula>
    </cfRule>
    <cfRule type="cellIs" dxfId="13" priority="11" stopIfTrue="1" operator="between">
      <formula>3</formula>
      <formula>100</formula>
    </cfRule>
    <cfRule type="cellIs" dxfId="12" priority="12" stopIfTrue="1" operator="between">
      <formula>1</formula>
      <formula>3</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colBreaks count="1" manualBreakCount="1">
    <brk id="12"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7"/>
  </sheetPr>
  <dimension ref="B1:AH24"/>
  <sheetViews>
    <sheetView showGridLines="0" tabSelected="1" topLeftCell="A22" zoomScale="70" zoomScaleNormal="70" workbookViewId="0">
      <selection activeCell="A19" sqref="A19:XFD23"/>
    </sheetView>
  </sheetViews>
  <sheetFormatPr baseColWidth="10" defaultColWidth="11.5703125" defaultRowHeight="15"/>
  <cols>
    <col min="1" max="1" width="0.42578125" customWidth="1"/>
    <col min="2" max="2" width="17.85546875" customWidth="1"/>
    <col min="3" max="3" width="16.140625" customWidth="1"/>
    <col min="4" max="4" width="17.42578125" customWidth="1"/>
    <col min="5" max="5" width="15.42578125" customWidth="1"/>
    <col min="6" max="6" width="17.5703125" customWidth="1"/>
    <col min="7" max="7" width="8.42578125" customWidth="1"/>
    <col min="8" max="8" width="9.42578125" customWidth="1"/>
    <col min="9" max="9" width="11.42578125" customWidth="1"/>
    <col min="10" max="10" width="8" customWidth="1"/>
    <col min="11" max="11" width="25" customWidth="1"/>
    <col min="12" max="12" width="18" customWidth="1"/>
    <col min="13" max="13" width="19.85546875" customWidth="1"/>
    <col min="14" max="14" width="14.7109375" customWidth="1"/>
    <col min="15" max="15" width="7.42578125" customWidth="1"/>
    <col min="16" max="17" width="14.42578125" customWidth="1"/>
  </cols>
  <sheetData>
    <row r="1" spans="2:34" ht="26.25" customHeight="1"/>
    <row r="2" spans="2:34" ht="21.75" customHeight="1">
      <c r="B2" s="551" t="str">
        <f>+"Cuadro de mando:  "&amp;"  "&amp;+'Introducción de datos'!C4&amp;" - "&amp;'Introducción de datos'!G6</f>
        <v>Cuadro de mando:    El Salvador - TB</v>
      </c>
      <c r="C2" s="551"/>
      <c r="D2" s="551"/>
      <c r="E2" s="551"/>
      <c r="F2" s="551"/>
      <c r="G2" s="551"/>
      <c r="H2" s="551"/>
      <c r="I2" s="551"/>
      <c r="J2" s="551"/>
      <c r="K2" s="551"/>
      <c r="L2" s="551"/>
      <c r="M2" s="551"/>
      <c r="N2" s="551"/>
      <c r="O2" s="551"/>
      <c r="P2" s="551"/>
      <c r="Q2" s="551"/>
    </row>
    <row r="3" spans="2:34">
      <c r="B3" s="286">
        <f>+'Introducción de datos'!G8</f>
        <v>0</v>
      </c>
      <c r="C3" s="547">
        <f>+'Introducción de datos'!I8</f>
        <v>0</v>
      </c>
      <c r="D3" s="547"/>
      <c r="E3" s="548"/>
      <c r="F3" s="548"/>
      <c r="G3" s="548"/>
      <c r="H3" s="548"/>
      <c r="I3" s="548"/>
      <c r="J3" s="548"/>
      <c r="K3" s="548"/>
      <c r="O3" s="549" t="str">
        <f>+'Introducción de datos'!B16</f>
        <v>Periodo:</v>
      </c>
      <c r="P3" s="549"/>
      <c r="Q3" s="287" t="str">
        <f>+'Introducción de datos'!C16</f>
        <v>P3</v>
      </c>
    </row>
    <row r="4" spans="2:34" ht="12" customHeight="1">
      <c r="B4" s="286" t="str">
        <f>+'Introducción de datos'!B12</f>
        <v>Ultima calificación:</v>
      </c>
      <c r="C4" s="560" t="str">
        <f>+'Introducción de datos'!C12</f>
        <v>A1</v>
      </c>
      <c r="D4" s="560"/>
      <c r="E4" s="548" t="str">
        <f>+'Introducción de datos'!C8</f>
        <v xml:space="preserve">Ministerio de Salud </v>
      </c>
      <c r="F4" s="548"/>
      <c r="G4" s="548"/>
      <c r="H4" s="548"/>
      <c r="I4" s="548"/>
      <c r="J4" s="548"/>
      <c r="K4" s="548"/>
      <c r="L4" s="548"/>
      <c r="O4" s="67"/>
      <c r="P4" s="286" t="str">
        <f>+'Introducción de datos'!D16</f>
        <v>Desde:</v>
      </c>
      <c r="Q4" s="321">
        <f>+'Introducción de datos'!E16</f>
        <v>44197</v>
      </c>
      <c r="X4" s="266"/>
      <c r="Y4" s="266"/>
      <c r="Z4" s="266"/>
      <c r="AA4" s="266"/>
      <c r="AB4" s="266"/>
    </row>
    <row r="5" spans="2:34" ht="20.45" customHeight="1">
      <c r="B5" s="286"/>
      <c r="C5" s="286"/>
      <c r="D5" s="548" t="str">
        <f>+'Introducción de datos'!G4</f>
        <v>Financiamiento al PENM TB 2017 - 2021</v>
      </c>
      <c r="E5" s="548"/>
      <c r="F5" s="548"/>
      <c r="G5" s="548"/>
      <c r="H5" s="548"/>
      <c r="I5" s="548"/>
      <c r="J5" s="548"/>
      <c r="K5" s="548"/>
      <c r="L5" s="548"/>
      <c r="M5" s="548"/>
      <c r="N5" s="548"/>
      <c r="P5" s="286" t="str">
        <f>+'Introducción de datos'!F16</f>
        <v>Hasta:</v>
      </c>
      <c r="Q5" s="321">
        <f>+'Introducción de datos'!G16</f>
        <v>44561</v>
      </c>
      <c r="R5" s="322"/>
      <c r="S5" s="322"/>
      <c r="T5" s="322"/>
      <c r="U5" s="322"/>
      <c r="V5" s="322"/>
      <c r="W5" s="322"/>
      <c r="X5" s="266"/>
      <c r="Y5" s="266"/>
      <c r="Z5" s="266" t="s">
        <v>201</v>
      </c>
      <c r="AA5" s="266"/>
      <c r="AB5" s="266" t="s">
        <v>202</v>
      </c>
      <c r="AC5" s="322"/>
      <c r="AD5" s="322"/>
      <c r="AE5" s="322"/>
      <c r="AF5" s="322"/>
      <c r="AG5" s="322"/>
      <c r="AH5" s="322"/>
    </row>
    <row r="6" spans="2:34" ht="64.150000000000006" customHeight="1">
      <c r="B6" s="286"/>
      <c r="C6" s="286"/>
      <c r="D6" s="323"/>
      <c r="E6" s="323"/>
      <c r="F6" s="561" t="s">
        <v>203</v>
      </c>
      <c r="G6" s="561"/>
      <c r="H6" s="561"/>
      <c r="I6" s="561"/>
      <c r="J6" s="561"/>
      <c r="K6" s="561"/>
      <c r="L6" s="323"/>
      <c r="O6" s="324"/>
      <c r="P6" s="325"/>
      <c r="R6" s="322"/>
      <c r="S6" s="322"/>
      <c r="T6" s="322"/>
      <c r="U6" s="322"/>
      <c r="V6" s="322"/>
      <c r="W6" s="322"/>
      <c r="X6" s="266"/>
      <c r="Y6" s="266"/>
      <c r="Z6" s="266"/>
      <c r="AA6" s="266"/>
      <c r="AB6" s="266"/>
      <c r="AC6" s="322"/>
      <c r="AD6" s="322"/>
      <c r="AE6" s="322"/>
      <c r="AF6" s="322"/>
      <c r="AG6" s="322"/>
      <c r="AH6" s="322"/>
    </row>
    <row r="7" spans="2:34" ht="3" customHeight="1">
      <c r="B7" s="286"/>
      <c r="C7" s="286"/>
      <c r="D7" s="323"/>
      <c r="E7" s="323"/>
      <c r="F7" s="323"/>
      <c r="G7" s="323"/>
      <c r="H7" s="323"/>
      <c r="I7" s="323"/>
      <c r="J7" s="323"/>
      <c r="K7" s="323"/>
      <c r="L7" s="323"/>
      <c r="O7" s="324"/>
      <c r="P7" s="288"/>
      <c r="Q7" s="288"/>
      <c r="R7" s="322"/>
      <c r="S7" s="322"/>
      <c r="T7" s="322"/>
      <c r="U7" s="322"/>
      <c r="V7" s="322"/>
      <c r="W7" s="322"/>
      <c r="X7" s="266"/>
      <c r="Y7" s="266"/>
      <c r="Z7" s="266"/>
      <c r="AA7" s="266"/>
      <c r="AB7" s="266"/>
      <c r="AC7" s="322"/>
      <c r="AD7" s="322"/>
      <c r="AE7" s="322"/>
      <c r="AF7" s="322"/>
      <c r="AG7" s="322"/>
      <c r="AH7" s="322"/>
    </row>
    <row r="8" spans="2:34" ht="63.75" customHeight="1">
      <c r="B8" s="429"/>
      <c r="C8" s="567" t="s">
        <v>364</v>
      </c>
      <c r="D8" s="567"/>
      <c r="E8" s="567"/>
      <c r="F8" s="429"/>
      <c r="G8" s="566" t="s">
        <v>365</v>
      </c>
      <c r="H8" s="566"/>
      <c r="I8" s="566"/>
      <c r="J8" s="566"/>
      <c r="K8" s="566"/>
      <c r="L8" s="429"/>
      <c r="M8" s="567" t="s">
        <v>366</v>
      </c>
      <c r="N8" s="567"/>
      <c r="O8" s="567"/>
      <c r="P8" s="567"/>
      <c r="Q8" s="567"/>
      <c r="R8" s="322"/>
      <c r="S8" s="322"/>
      <c r="T8" s="322"/>
      <c r="U8" s="322"/>
      <c r="V8" s="322"/>
      <c r="W8" s="322"/>
      <c r="X8" s="266"/>
      <c r="Y8" s="266"/>
      <c r="Z8" s="266"/>
      <c r="AA8" s="266"/>
      <c r="AB8" s="266"/>
      <c r="AC8" s="322"/>
      <c r="AD8" s="322"/>
      <c r="AE8" s="322"/>
      <c r="AF8" s="322"/>
      <c r="AG8" s="322"/>
      <c r="AH8" s="322"/>
    </row>
    <row r="9" spans="2:34" ht="137.25" customHeight="1">
      <c r="B9" s="444" t="s">
        <v>204</v>
      </c>
      <c r="C9" s="562" t="s">
        <v>351</v>
      </c>
      <c r="D9" s="563"/>
      <c r="E9" s="563"/>
      <c r="F9" s="444" t="s">
        <v>204</v>
      </c>
      <c r="G9" s="564" t="s">
        <v>373</v>
      </c>
      <c r="H9" s="565"/>
      <c r="I9" s="565"/>
      <c r="J9" s="565"/>
      <c r="K9" s="565"/>
      <c r="L9" s="444" t="s">
        <v>204</v>
      </c>
      <c r="M9" s="562" t="s">
        <v>372</v>
      </c>
      <c r="N9" s="563"/>
      <c r="O9" s="563"/>
      <c r="P9" s="563"/>
      <c r="Q9" s="563"/>
      <c r="R9" s="322"/>
      <c r="S9" s="322"/>
      <c r="T9" s="322"/>
      <c r="U9" s="322"/>
      <c r="V9" s="322"/>
      <c r="W9" s="322"/>
      <c r="X9" s="322"/>
      <c r="Y9" s="322"/>
      <c r="Z9" s="322"/>
      <c r="AA9" s="322"/>
      <c r="AB9" s="322"/>
      <c r="AC9" s="322"/>
      <c r="AD9" s="322"/>
      <c r="AE9" s="322"/>
      <c r="AF9" s="322"/>
      <c r="AG9" s="322"/>
      <c r="AH9" s="322"/>
    </row>
    <row r="10" spans="2:34" ht="72" customHeight="1">
      <c r="B10" s="286"/>
      <c r="C10" s="286"/>
      <c r="D10" s="323"/>
      <c r="E10" s="323"/>
      <c r="F10" s="323"/>
      <c r="G10" s="323"/>
      <c r="H10" s="323"/>
      <c r="I10" s="323"/>
      <c r="J10" s="323"/>
      <c r="K10" s="323"/>
      <c r="L10" s="323"/>
      <c r="O10" s="324"/>
      <c r="P10" s="288"/>
      <c r="R10" s="322"/>
      <c r="S10" s="322"/>
      <c r="T10" s="322"/>
      <c r="U10" s="322"/>
      <c r="V10" s="322"/>
      <c r="W10" s="322"/>
      <c r="X10" s="322"/>
      <c r="Y10" s="322"/>
      <c r="Z10" s="322"/>
      <c r="AA10" s="322"/>
      <c r="AB10" s="322"/>
      <c r="AC10" s="322"/>
      <c r="AD10" s="322"/>
      <c r="AE10" s="322"/>
      <c r="AF10" s="322"/>
      <c r="AG10" s="322"/>
      <c r="AH10" s="322"/>
    </row>
    <row r="11" spans="2:34" ht="35.25" customHeight="1">
      <c r="B11" s="286"/>
      <c r="C11" s="286"/>
      <c r="D11" s="323"/>
      <c r="E11" s="323"/>
      <c r="F11" s="323"/>
      <c r="G11" s="323"/>
      <c r="H11" s="323"/>
      <c r="I11" s="323"/>
      <c r="J11" s="323"/>
      <c r="K11" s="323"/>
      <c r="L11" s="323"/>
      <c r="O11" s="324"/>
      <c r="P11" s="288"/>
      <c r="R11" s="322"/>
      <c r="S11" s="322"/>
      <c r="T11" s="322"/>
      <c r="U11" s="322"/>
      <c r="V11" s="322"/>
      <c r="W11" s="322"/>
      <c r="X11" s="322"/>
      <c r="Y11" s="322"/>
      <c r="Z11" s="322"/>
      <c r="AA11" s="322"/>
      <c r="AB11" s="322"/>
      <c r="AC11" s="322"/>
      <c r="AD11" s="322"/>
      <c r="AE11" s="322"/>
      <c r="AF11" s="322"/>
      <c r="AG11" s="322"/>
      <c r="AH11" s="322"/>
    </row>
    <row r="12" spans="2:34" ht="30.75" customHeight="1">
      <c r="B12" s="286"/>
      <c r="C12" s="286"/>
      <c r="D12" s="323"/>
      <c r="E12" s="323"/>
      <c r="F12" s="323"/>
      <c r="G12" s="323"/>
      <c r="H12" s="323"/>
      <c r="I12" s="323"/>
      <c r="J12" s="323"/>
      <c r="K12" s="323"/>
      <c r="L12" s="323"/>
      <c r="O12" s="324"/>
      <c r="P12" s="288"/>
      <c r="R12" s="322"/>
      <c r="S12" s="322"/>
      <c r="T12" s="322"/>
      <c r="U12" s="322"/>
      <c r="V12" s="322"/>
      <c r="W12" s="322"/>
      <c r="X12" s="322"/>
      <c r="Y12" s="322"/>
      <c r="Z12" s="322"/>
      <c r="AA12" s="322"/>
      <c r="AB12" s="322"/>
      <c r="AC12" s="322"/>
      <c r="AD12" s="322"/>
      <c r="AE12" s="322"/>
      <c r="AF12" s="322"/>
      <c r="AG12" s="322"/>
      <c r="AH12" s="322"/>
    </row>
    <row r="13" spans="2:34" ht="18.75" customHeight="1">
      <c r="B13" s="286"/>
      <c r="C13" s="286"/>
      <c r="D13" s="323"/>
      <c r="E13" s="323"/>
      <c r="F13" s="323"/>
      <c r="G13" s="323"/>
      <c r="H13" s="323"/>
      <c r="I13" s="323"/>
      <c r="J13" s="323"/>
      <c r="K13" s="323"/>
      <c r="L13" s="323"/>
      <c r="O13" s="324"/>
      <c r="P13" s="288"/>
      <c r="R13" s="322"/>
      <c r="S13" s="322"/>
      <c r="T13" s="322"/>
      <c r="U13" s="322"/>
      <c r="V13" s="322"/>
      <c r="W13" s="322"/>
      <c r="X13" s="322"/>
      <c r="Y13" s="322"/>
      <c r="Z13" s="322"/>
      <c r="AA13" s="322"/>
      <c r="AB13" s="322"/>
      <c r="AC13" s="322"/>
      <c r="AD13" s="322"/>
      <c r="AE13" s="322"/>
      <c r="AF13" s="322"/>
      <c r="AG13" s="322"/>
      <c r="AH13" s="322"/>
    </row>
    <row r="14" spans="2:34" ht="34.5" customHeight="1">
      <c r="B14" s="286"/>
      <c r="C14" s="286"/>
      <c r="D14" s="323"/>
      <c r="E14" s="323"/>
      <c r="F14" s="323"/>
      <c r="G14" s="323"/>
      <c r="H14" s="323"/>
      <c r="I14" s="323"/>
      <c r="J14" s="323"/>
      <c r="K14" s="323"/>
      <c r="L14" s="323"/>
      <c r="O14" s="324"/>
      <c r="P14" s="288"/>
      <c r="R14" s="322"/>
      <c r="S14" s="322"/>
      <c r="T14" s="322"/>
      <c r="U14" s="322"/>
      <c r="V14" s="322"/>
      <c r="W14" s="322"/>
      <c r="X14" s="322"/>
      <c r="Y14" s="322"/>
      <c r="Z14" s="322"/>
      <c r="AA14" s="322"/>
      <c r="AB14" s="322"/>
      <c r="AC14" s="322"/>
      <c r="AD14" s="322"/>
      <c r="AE14" s="322"/>
      <c r="AF14" s="322"/>
      <c r="AG14" s="322"/>
      <c r="AH14" s="322"/>
    </row>
    <row r="15" spans="2:34" ht="21" customHeight="1">
      <c r="B15" s="286"/>
      <c r="C15" s="286"/>
      <c r="D15" s="323"/>
      <c r="E15" s="323"/>
      <c r="F15" s="323"/>
      <c r="G15" s="323"/>
      <c r="H15" s="323"/>
      <c r="I15" s="323"/>
      <c r="J15" s="323"/>
      <c r="K15" s="323"/>
      <c r="L15" s="323"/>
      <c r="O15" s="324"/>
      <c r="P15" s="288"/>
      <c r="R15" s="322"/>
      <c r="S15" s="322"/>
      <c r="T15" s="322"/>
      <c r="U15" s="322"/>
      <c r="V15" s="322"/>
      <c r="W15" s="322"/>
      <c r="X15" s="322"/>
      <c r="Y15" s="322"/>
      <c r="Z15" s="322"/>
      <c r="AA15" s="322"/>
      <c r="AB15" s="322"/>
      <c r="AC15" s="322"/>
      <c r="AD15" s="322"/>
      <c r="AE15" s="322"/>
      <c r="AF15" s="322"/>
      <c r="AG15" s="322"/>
      <c r="AH15" s="322"/>
    </row>
    <row r="16" spans="2:34" ht="18" customHeight="1">
      <c r="B16" s="286"/>
      <c r="C16" s="286"/>
      <c r="D16" s="323"/>
      <c r="E16" s="323"/>
      <c r="F16" s="323"/>
      <c r="G16" s="323"/>
      <c r="H16" s="323"/>
      <c r="I16" s="323"/>
      <c r="J16" s="323"/>
      <c r="K16" s="323"/>
      <c r="L16" s="323"/>
      <c r="O16" s="324"/>
      <c r="P16" s="288"/>
      <c r="R16" s="322"/>
      <c r="S16" s="322"/>
      <c r="T16" s="322"/>
      <c r="U16" s="322"/>
      <c r="V16" s="322"/>
      <c r="W16" s="322"/>
      <c r="X16" s="322"/>
      <c r="Y16" s="322"/>
      <c r="Z16" s="322"/>
      <c r="AA16" s="322"/>
      <c r="AB16" s="322"/>
      <c r="AC16" s="322"/>
      <c r="AD16" s="322"/>
      <c r="AE16" s="322"/>
      <c r="AF16" s="322"/>
      <c r="AG16" s="322"/>
      <c r="AH16" s="322"/>
    </row>
    <row r="17" spans="2:34" ht="18.600000000000001" customHeight="1">
      <c r="B17" s="286"/>
      <c r="C17" s="286"/>
      <c r="D17" s="323"/>
      <c r="E17" s="323"/>
      <c r="F17" s="323"/>
      <c r="G17" s="323"/>
      <c r="H17" s="323"/>
      <c r="I17" s="323"/>
      <c r="J17" s="323"/>
      <c r="K17" s="323"/>
      <c r="L17" s="323"/>
      <c r="O17" s="324"/>
      <c r="P17" s="288"/>
      <c r="R17" s="322"/>
      <c r="S17" s="322"/>
      <c r="T17" s="322"/>
      <c r="U17" s="322"/>
      <c r="V17" s="322"/>
      <c r="W17" s="322"/>
      <c r="X17" s="322"/>
      <c r="Y17" s="322"/>
      <c r="Z17" s="322"/>
      <c r="AA17" s="322"/>
      <c r="AB17" s="322"/>
      <c r="AC17" s="322"/>
      <c r="AD17" s="322"/>
      <c r="AE17" s="322"/>
      <c r="AF17" s="322"/>
      <c r="AG17" s="322"/>
      <c r="AH17" s="322"/>
    </row>
    <row r="18" spans="2:34" ht="19.149999999999999" customHeight="1">
      <c r="B18" s="67"/>
      <c r="C18" s="286"/>
      <c r="D18" s="289"/>
      <c r="E18" s="572"/>
      <c r="F18" s="572"/>
      <c r="G18" s="572"/>
      <c r="H18" s="572"/>
      <c r="I18" s="572"/>
      <c r="J18" s="572"/>
      <c r="K18" s="572"/>
      <c r="R18" s="322"/>
      <c r="S18" s="322"/>
      <c r="T18" s="322"/>
      <c r="U18" s="322"/>
      <c r="V18" s="322"/>
      <c r="W18" s="322"/>
      <c r="X18" s="322"/>
      <c r="Y18" s="322"/>
      <c r="Z18" s="322"/>
      <c r="AA18" s="322"/>
      <c r="AB18" s="322"/>
      <c r="AC18" s="322"/>
      <c r="AD18" s="322"/>
      <c r="AE18" s="322"/>
      <c r="AF18" s="322"/>
      <c r="AG18" s="322"/>
      <c r="AH18" s="322"/>
    </row>
    <row r="19" spans="2:34" ht="39.75" customHeight="1">
      <c r="B19" s="573" t="s">
        <v>205</v>
      </c>
      <c r="C19" s="573"/>
      <c r="D19" s="573"/>
      <c r="E19" s="445" t="s">
        <v>175</v>
      </c>
      <c r="F19" s="445" t="s">
        <v>371</v>
      </c>
      <c r="G19" s="574" t="s">
        <v>206</v>
      </c>
      <c r="H19" s="574"/>
      <c r="I19" s="575" t="s">
        <v>207</v>
      </c>
      <c r="J19" s="575"/>
      <c r="K19" s="446" t="s">
        <v>208</v>
      </c>
      <c r="L19" s="568" t="s">
        <v>209</v>
      </c>
      <c r="M19" s="568"/>
      <c r="N19" s="568"/>
      <c r="O19" s="568"/>
      <c r="P19" s="568"/>
      <c r="Q19" s="568"/>
      <c r="R19" s="326" t="s">
        <v>210</v>
      </c>
      <c r="S19" s="327">
        <v>0</v>
      </c>
      <c r="T19" s="328">
        <v>0.3</v>
      </c>
      <c r="U19" s="328">
        <v>0.6</v>
      </c>
      <c r="V19" s="328">
        <v>0.9</v>
      </c>
      <c r="W19" s="328">
        <v>1</v>
      </c>
      <c r="X19" s="266"/>
      <c r="Y19" s="266"/>
      <c r="Z19" s="329" t="s">
        <v>211</v>
      </c>
      <c r="AA19" s="327">
        <v>0</v>
      </c>
      <c r="AB19" s="328">
        <v>0.2</v>
      </c>
      <c r="AC19" s="328">
        <v>0.4</v>
      </c>
      <c r="AD19" s="328">
        <v>0.6</v>
      </c>
      <c r="AE19" s="328">
        <v>0.8</v>
      </c>
      <c r="AF19" s="266"/>
      <c r="AG19" s="266"/>
      <c r="AH19" s="266"/>
    </row>
    <row r="20" spans="2:34" ht="267" customHeight="1">
      <c r="B20" s="569" t="s">
        <v>342</v>
      </c>
      <c r="C20" s="569"/>
      <c r="D20" s="569"/>
      <c r="E20" s="447">
        <f>'Introducción de datos'!J131</f>
        <v>0.75006784260515602</v>
      </c>
      <c r="F20" s="447">
        <f>'Introducción de datos'!J132</f>
        <v>0.66768759571209801</v>
      </c>
      <c r="G20" s="570">
        <f>+IF(ISERROR(F20/E20),0,F20/E20)</f>
        <v>0.89016960571602066</v>
      </c>
      <c r="H20" s="570"/>
      <c r="I20" s="570"/>
      <c r="J20" s="570"/>
      <c r="K20" s="570"/>
      <c r="L20" s="571" t="s">
        <v>367</v>
      </c>
      <c r="M20" s="571"/>
      <c r="N20" s="571"/>
      <c r="O20" s="571"/>
      <c r="P20" s="571"/>
      <c r="Q20" s="571"/>
      <c r="R20" s="326" t="s">
        <v>212</v>
      </c>
      <c r="S20" s="328">
        <v>0.3</v>
      </c>
      <c r="T20" s="328">
        <v>0.6</v>
      </c>
      <c r="U20" s="328">
        <v>0.9</v>
      </c>
      <c r="V20" s="328">
        <v>1</v>
      </c>
      <c r="W20" s="328">
        <v>2</v>
      </c>
      <c r="X20" s="266"/>
      <c r="Y20" s="266"/>
      <c r="Z20" s="329" t="s">
        <v>213</v>
      </c>
      <c r="AA20" s="328">
        <v>0.2</v>
      </c>
      <c r="AB20" s="328">
        <v>0.4</v>
      </c>
      <c r="AC20" s="328">
        <v>0.6</v>
      </c>
      <c r="AD20" s="328">
        <v>0.8</v>
      </c>
      <c r="AE20" s="328">
        <v>1</v>
      </c>
      <c r="AF20" s="266"/>
      <c r="AG20" s="266"/>
      <c r="AH20" s="266"/>
    </row>
    <row r="21" spans="2:34" ht="225" customHeight="1">
      <c r="B21" s="569" t="str">
        <f>+'Introducción de datos'!B133</f>
        <v>MDR TB-3(M): Número de casos TB-RR y/o TB-MDR que iniciaron tratamiento con drogas de segunda línea</v>
      </c>
      <c r="C21" s="569"/>
      <c r="D21" s="569"/>
      <c r="E21" s="448">
        <f>'Introducción de datos'!J133</f>
        <v>33</v>
      </c>
      <c r="F21" s="448">
        <f>'Introducción de datos'!J134</f>
        <v>43</v>
      </c>
      <c r="G21" s="570">
        <f>+IF(ISERROR(F21/E21),0,F21/E21)</f>
        <v>1.303030303030303</v>
      </c>
      <c r="H21" s="570"/>
      <c r="I21" s="570"/>
      <c r="J21" s="570"/>
      <c r="K21" s="570"/>
      <c r="L21" s="571" t="s">
        <v>368</v>
      </c>
      <c r="M21" s="571"/>
      <c r="N21" s="571"/>
      <c r="O21" s="571"/>
      <c r="P21" s="571"/>
      <c r="Q21" s="571"/>
      <c r="R21" s="330"/>
      <c r="S21" s="331" t="str">
        <f>"de "&amp;S19&amp;" a "&amp;S20</f>
        <v>de 0 a 0.3</v>
      </c>
      <c r="T21" s="331"/>
      <c r="U21" s="331" t="str">
        <f>"de "&amp;U19&amp;" a "&amp;U20</f>
        <v>de 0.6 a 0.9</v>
      </c>
      <c r="V21" s="331" t="str">
        <f>"de "&amp;V19&amp;" a "&amp;V20</f>
        <v>de 0.9 a 1</v>
      </c>
      <c r="W21" s="331" t="str">
        <f>"de "&amp;W19&amp;" a "&amp;W20</f>
        <v>de 1 a 2</v>
      </c>
      <c r="X21" s="266"/>
      <c r="Y21" s="332" t="s">
        <v>214</v>
      </c>
      <c r="Z21" s="333" t="s">
        <v>215</v>
      </c>
      <c r="AA21" s="331" t="str">
        <f>"de "&amp;AA19&amp;" a "&amp;AA20</f>
        <v>de 0 a 0.2</v>
      </c>
      <c r="AB21" s="331" t="str">
        <f>"de "&amp;AB19&amp;" a "&amp;AB20</f>
        <v>de 0.2 a 0.4</v>
      </c>
      <c r="AC21" s="331" t="str">
        <f>"de "&amp;AC19&amp;" a "&amp;AC20</f>
        <v>de 0.4 a 0.6</v>
      </c>
      <c r="AD21" s="331" t="str">
        <f>"de "&amp;AD19&amp;" a "&amp;AD20</f>
        <v>de 0.6 a 0.8</v>
      </c>
      <c r="AE21" s="331" t="str">
        <f>"de "&amp;AE19&amp;" a "&amp;AE20</f>
        <v>de 0.8 a 1</v>
      </c>
      <c r="AF21" s="266"/>
      <c r="AG21" s="266"/>
      <c r="AH21" s="266"/>
    </row>
    <row r="22" spans="2:34" ht="409.5" customHeight="1">
      <c r="B22" s="576" t="str">
        <f>+'Introducción de datos'!B135</f>
        <v>TCP-6a: Número de casos de TB (todas las formas) notificados entre los privados de libertad</v>
      </c>
      <c r="C22" s="576"/>
      <c r="D22" s="576"/>
      <c r="E22" s="449">
        <f>'Introducción de datos'!J135</f>
        <v>884</v>
      </c>
      <c r="F22" s="449">
        <f>'Introducción de datos'!J136</f>
        <v>628</v>
      </c>
      <c r="G22" s="577">
        <f>+IF(ISERROR(F22/E22),0,F22/E22)</f>
        <v>0.71040723981900455</v>
      </c>
      <c r="H22" s="577"/>
      <c r="I22" s="577"/>
      <c r="J22" s="577"/>
      <c r="K22" s="577"/>
      <c r="L22" s="571" t="s">
        <v>369</v>
      </c>
      <c r="M22" s="571"/>
      <c r="N22" s="571"/>
      <c r="O22" s="571"/>
      <c r="P22" s="571"/>
      <c r="Q22" s="571"/>
      <c r="R22" s="330"/>
      <c r="S22" s="328" t="e">
        <f t="shared" ref="S22:V23" si="0">IF($K20&gt;S$19,IF($K20&lt;=S$20,$K20,NA()),NA())</f>
        <v>#N/A</v>
      </c>
      <c r="T22" s="328" t="e">
        <f t="shared" si="0"/>
        <v>#N/A</v>
      </c>
      <c r="U22" s="328" t="e">
        <f t="shared" si="0"/>
        <v>#N/A</v>
      </c>
      <c r="V22" s="328" t="e">
        <f t="shared" si="0"/>
        <v>#N/A</v>
      </c>
      <c r="W22" s="328" t="e">
        <f>IF($K20&gt;W$19,IF($K20&lt;=W$20,1,NA()),NA())</f>
        <v>#N/A</v>
      </c>
      <c r="X22" s="266"/>
      <c r="Y22" s="334" t="e">
        <f>#N/A</f>
        <v>#N/A</v>
      </c>
      <c r="Z22" s="328" t="e">
        <f>+IF(Y22="A1",1,IF(Y22="A2",0.8,IF(Y22="B1",0.6,IF(Y22="B2",0.4,0.2))))</f>
        <v>#N/A</v>
      </c>
      <c r="AA22" s="328" t="e">
        <f t="shared" ref="AA22:AE23" si="1">IF($Z22&gt;AA$19,IF($Z22&lt;=AA$20,$Z22,NA()),NA())</f>
        <v>#N/A</v>
      </c>
      <c r="AB22" s="328" t="e">
        <f t="shared" si="1"/>
        <v>#N/A</v>
      </c>
      <c r="AC22" s="328" t="e">
        <f t="shared" si="1"/>
        <v>#N/A</v>
      </c>
      <c r="AD22" s="328" t="e">
        <f t="shared" si="1"/>
        <v>#N/A</v>
      </c>
      <c r="AE22" s="328" t="e">
        <f t="shared" si="1"/>
        <v>#N/A</v>
      </c>
      <c r="AF22" s="266"/>
      <c r="AG22" s="266"/>
      <c r="AH22" s="266"/>
    </row>
    <row r="23" spans="2:34" ht="273.75" customHeight="1">
      <c r="B23" s="576" t="str">
        <f>+'Introducción de datos'!B137</f>
        <v>TCP - other -1: Porcentaje de casos todas las formas de TB entre PPL tratados exitosamente entre el total de casos todas las formas notificados</v>
      </c>
      <c r="C23" s="576"/>
      <c r="D23" s="576"/>
      <c r="E23" s="450">
        <f>'Introducción de datos'!J137</f>
        <v>0.96019900497512434</v>
      </c>
      <c r="F23" s="450">
        <f>'Introducción de datos'!J138</f>
        <v>0.93592436974789917</v>
      </c>
      <c r="G23" s="577">
        <f>+IF(ISERROR(F23/E23),0,F23/E23)</f>
        <v>0.9747191622763095</v>
      </c>
      <c r="H23" s="577"/>
      <c r="I23" s="577"/>
      <c r="J23" s="577"/>
      <c r="K23" s="577"/>
      <c r="L23" s="571" t="s">
        <v>370</v>
      </c>
      <c r="M23" s="571"/>
      <c r="N23" s="571"/>
      <c r="O23" s="571"/>
      <c r="P23" s="571"/>
      <c r="Q23" s="571"/>
      <c r="R23" s="330"/>
      <c r="S23" s="328" t="e">
        <f t="shared" si="0"/>
        <v>#N/A</v>
      </c>
      <c r="T23" s="328" t="e">
        <f t="shared" si="0"/>
        <v>#N/A</v>
      </c>
      <c r="U23" s="328" t="e">
        <f t="shared" si="0"/>
        <v>#N/A</v>
      </c>
      <c r="V23" s="328" t="e">
        <f t="shared" si="0"/>
        <v>#N/A</v>
      </c>
      <c r="W23" s="328" t="e">
        <f>IF($K21&gt;W$19,IF($K21&lt;=W$20,1,1),NA())</f>
        <v>#N/A</v>
      </c>
      <c r="X23" s="266"/>
      <c r="Y23" s="334" t="e">
        <f>#N/A</f>
        <v>#N/A</v>
      </c>
      <c r="Z23" s="328" t="e">
        <f>+IF(Y23="A1",1,IF(Y23="A2",0.8,IF(Y23="B1",0.6,IF(Y23="B2",0.4,0.2))))</f>
        <v>#N/A</v>
      </c>
      <c r="AA23" s="328" t="e">
        <f t="shared" si="1"/>
        <v>#N/A</v>
      </c>
      <c r="AB23" s="328" t="e">
        <f t="shared" si="1"/>
        <v>#N/A</v>
      </c>
      <c r="AC23" s="328" t="e">
        <f t="shared" si="1"/>
        <v>#N/A</v>
      </c>
      <c r="AD23" s="328" t="e">
        <f t="shared" si="1"/>
        <v>#N/A</v>
      </c>
      <c r="AE23" s="328" t="e">
        <f t="shared" si="1"/>
        <v>#N/A</v>
      </c>
      <c r="AF23" s="266"/>
      <c r="AG23" s="266"/>
      <c r="AH23" s="266"/>
    </row>
    <row r="24" spans="2:34" ht="14.25" customHeight="1"/>
  </sheetData>
  <sheetProtection selectLockedCells="1" selectUnlockedCells="1"/>
  <mergeCells count="31">
    <mergeCell ref="B23:D23"/>
    <mergeCell ref="G23:K23"/>
    <mergeCell ref="L23:Q23"/>
    <mergeCell ref="B21:D21"/>
    <mergeCell ref="G21:K21"/>
    <mergeCell ref="L21:Q21"/>
    <mergeCell ref="B22:D22"/>
    <mergeCell ref="G22:K22"/>
    <mergeCell ref="L22:Q22"/>
    <mergeCell ref="L19:Q19"/>
    <mergeCell ref="B20:D20"/>
    <mergeCell ref="G20:K20"/>
    <mergeCell ref="L20:Q20"/>
    <mergeCell ref="E18:K18"/>
    <mergeCell ref="B19:D19"/>
    <mergeCell ref="G19:H19"/>
    <mergeCell ref="I19:J19"/>
    <mergeCell ref="C9:E9"/>
    <mergeCell ref="G9:K9"/>
    <mergeCell ref="M9:Q9"/>
    <mergeCell ref="G8:K8"/>
    <mergeCell ref="C8:E8"/>
    <mergeCell ref="M8:Q8"/>
    <mergeCell ref="C4:D4"/>
    <mergeCell ref="E4:L4"/>
    <mergeCell ref="D5:N5"/>
    <mergeCell ref="F6:K6"/>
    <mergeCell ref="B2:Q2"/>
    <mergeCell ref="C3:D3"/>
    <mergeCell ref="E3:K3"/>
    <mergeCell ref="O3:P3"/>
  </mergeCells>
  <phoneticPr fontId="66" type="noConversion"/>
  <conditionalFormatting sqref="C4:D4">
    <cfRule type="cellIs" dxfId="11" priority="1" stopIfTrue="1" operator="equal">
      <formula>"C"</formula>
    </cfRule>
    <cfRule type="cellIs" dxfId="10" priority="2" stopIfTrue="1" operator="equal">
      <formula>"B2"</formula>
    </cfRule>
    <cfRule type="cellIs" dxfId="9" priority="3" stopIfTrue="1" operator="equal">
      <formula>"B1"</formula>
    </cfRule>
  </conditionalFormatting>
  <conditionalFormatting sqref="G20:G23">
    <cfRule type="cellIs" dxfId="8" priority="4" stopIfTrue="1" operator="between">
      <formula>0</formula>
      <formula>0.599</formula>
    </cfRule>
    <cfRule type="cellIs" dxfId="7" priority="5" stopIfTrue="1" operator="between">
      <formula>0.6</formula>
      <formula>0.899</formula>
    </cfRule>
    <cfRule type="cellIs" dxfId="6" priority="6" stopIfTrue="1" operator="greaterThanOrEqual">
      <formula>0.9</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41"/>
  <sheetViews>
    <sheetView showGridLines="0" topLeftCell="C7" zoomScale="80" zoomScaleNormal="80" workbookViewId="0">
      <selection activeCell="D12" sqref="D12:G12"/>
    </sheetView>
  </sheetViews>
  <sheetFormatPr baseColWidth="10" defaultRowHeight="11.25"/>
  <cols>
    <col min="1" max="1" width="1.140625" style="335" customWidth="1"/>
    <col min="2" max="2" width="19.42578125" style="335" customWidth="1"/>
    <col min="3" max="3" width="1.140625" style="335" customWidth="1"/>
    <col min="4" max="4" width="17.140625" style="335" customWidth="1"/>
    <col min="5" max="5" width="17.42578125" style="335" customWidth="1"/>
    <col min="6" max="6" width="9.5703125" style="335" customWidth="1"/>
    <col min="7" max="7" width="13" style="335" customWidth="1"/>
    <col min="8" max="8" width="4.42578125" style="335" customWidth="1"/>
    <col min="9" max="9" width="15.85546875" style="335" customWidth="1"/>
    <col min="10" max="10" width="3.42578125" style="335" customWidth="1"/>
    <col min="11" max="11" width="7.42578125" style="336" customWidth="1"/>
    <col min="12" max="12" width="22" style="335" customWidth="1"/>
    <col min="13" max="13" width="12" style="335" customWidth="1"/>
    <col min="14" max="14" width="5.42578125" style="335" customWidth="1"/>
    <col min="15" max="15" width="2.42578125" style="335" customWidth="1"/>
    <col min="16" max="16384" width="11.42578125" style="335"/>
  </cols>
  <sheetData>
    <row r="1" spans="1:256" ht="38.25" customHeight="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75" customHeight="1">
      <c r="A2"/>
      <c r="B2" s="551" t="str">
        <f>+"Cuadro de mando:  "&amp;"  "&amp;+'Introducción de datos'!C4&amp;" - "&amp;'Introducción de datos'!G6</f>
        <v>Cuadro de mando:    El Salvador - TB</v>
      </c>
      <c r="C2" s="551"/>
      <c r="D2" s="551"/>
      <c r="E2" s="551"/>
      <c r="F2" s="551"/>
      <c r="G2" s="551"/>
      <c r="H2" s="551"/>
      <c r="I2" s="551"/>
      <c r="J2" s="551"/>
      <c r="K2" s="551"/>
      <c r="L2" s="551"/>
      <c r="M2" s="551"/>
      <c r="N2" s="551"/>
      <c r="O2" s="33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c r="B3" s="286">
        <f>+'Introducción de datos'!G8</f>
        <v>0</v>
      </c>
      <c r="C3" s="547">
        <f>+'Introducción de datos'!I8</f>
        <v>0</v>
      </c>
      <c r="D3" s="547"/>
      <c r="E3" s="452"/>
      <c r="F3" s="452"/>
      <c r="G3" s="452"/>
      <c r="H3" s="452"/>
      <c r="I3" s="452"/>
      <c r="J3" s="452"/>
      <c r="K3" s="452"/>
      <c r="L3" s="286" t="str">
        <f>+'Introducción de datos'!B16</f>
        <v>Periodo:</v>
      </c>
      <c r="M3" s="287" t="str">
        <f>+'Introducción de datos'!C16</f>
        <v>P3</v>
      </c>
      <c r="N3" s="287"/>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286" t="str">
        <f>+'Introducción de datos'!B12</f>
        <v>Ultima calificación:</v>
      </c>
      <c r="C4" s="560" t="str">
        <f>+'Introducción de datos'!C12</f>
        <v>A1</v>
      </c>
      <c r="D4" s="560"/>
      <c r="E4" s="548" t="str">
        <f>+'Introducción de datos'!C8</f>
        <v xml:space="preserve">Ministerio de Salud </v>
      </c>
      <c r="F4" s="548"/>
      <c r="G4" s="548"/>
      <c r="H4" s="548"/>
      <c r="I4" s="548"/>
      <c r="J4" s="548"/>
      <c r="K4" s="548"/>
      <c r="L4" s="286" t="str">
        <f>+'Introducción de datos'!D16</f>
        <v>Desde:</v>
      </c>
      <c r="M4" s="288">
        <f>+'Introducción de datos'!E16</f>
        <v>44197</v>
      </c>
      <c r="N4" s="288"/>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c r="B5" s="286"/>
      <c r="C5" s="286"/>
      <c r="D5" s="289"/>
      <c r="E5" s="548" t="str">
        <f>+'Introducción de datos'!G4</f>
        <v>Financiamiento al PENM TB 2017 - 2021</v>
      </c>
      <c r="F5" s="548"/>
      <c r="G5" s="548"/>
      <c r="H5" s="548"/>
      <c r="I5" s="548"/>
      <c r="J5" s="548"/>
      <c r="K5" s="548"/>
      <c r="L5" s="286" t="str">
        <f>+'Introducción de datos'!F16</f>
        <v>Hasta:</v>
      </c>
      <c r="M5" s="288">
        <f>+'Introducción de datos'!G16</f>
        <v>44561</v>
      </c>
      <c r="N5" s="28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c r="B6" s="67"/>
      <c r="C6" s="286"/>
      <c r="D6" s="289"/>
      <c r="E6" s="578" t="s">
        <v>213</v>
      </c>
      <c r="F6" s="578"/>
      <c r="G6" s="578"/>
      <c r="H6" s="578"/>
      <c r="I6" s="578"/>
      <c r="J6" s="578"/>
      <c r="K6" s="578"/>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5" customHeight="1">
      <c r="B7" s="338"/>
      <c r="C7" s="338"/>
      <c r="D7" s="338"/>
      <c r="E7" s="338"/>
      <c r="F7" s="338"/>
      <c r="G7" s="338"/>
      <c r="H7" s="338"/>
      <c r="I7" s="338"/>
      <c r="J7" s="338"/>
      <c r="K7" s="338"/>
      <c r="L7" s="339"/>
      <c r="M7" s="339"/>
      <c r="N7" s="340"/>
    </row>
    <row r="8" spans="1:256" ht="21" customHeight="1">
      <c r="B8" s="579" t="s">
        <v>216</v>
      </c>
      <c r="C8" s="579"/>
      <c r="D8" s="579"/>
      <c r="E8" s="579"/>
      <c r="F8" s="579"/>
      <c r="G8" s="579"/>
      <c r="H8" s="579"/>
      <c r="I8" s="579"/>
      <c r="J8" s="579"/>
      <c r="K8" s="579"/>
      <c r="L8" s="579"/>
      <c r="M8" s="579"/>
      <c r="N8" s="579"/>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75" customHeight="1">
      <c r="B9" s="338"/>
      <c r="C9" s="338"/>
      <c r="D9" s="338"/>
      <c r="E9" s="338"/>
      <c r="F9" s="338"/>
      <c r="G9" s="338"/>
      <c r="H9" s="338"/>
      <c r="I9" s="338"/>
      <c r="J9" s="338"/>
      <c r="K9" s="338"/>
      <c r="L9" s="339"/>
      <c r="M9" s="339"/>
      <c r="N9" s="340"/>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41" customFormat="1" ht="25.5" customHeight="1">
      <c r="B10" s="580" t="s">
        <v>217</v>
      </c>
      <c r="C10" s="580"/>
      <c r="D10" s="581" t="s">
        <v>212</v>
      </c>
      <c r="E10" s="581"/>
      <c r="F10" s="581"/>
      <c r="G10" s="581"/>
      <c r="H10" s="342"/>
      <c r="I10" s="581" t="s">
        <v>213</v>
      </c>
      <c r="J10" s="581"/>
      <c r="K10" s="581"/>
      <c r="L10" s="581"/>
      <c r="M10" s="581"/>
      <c r="N10" s="581"/>
    </row>
    <row r="11" spans="1:256" ht="28.5" customHeight="1">
      <c r="A11" s="341"/>
      <c r="B11" s="343" t="s">
        <v>218</v>
      </c>
      <c r="C11" s="344"/>
      <c r="D11" s="582" t="e">
        <f>IF(ISBLANK(#REF!),"",(#REF!))</f>
        <v>#REF!</v>
      </c>
      <c r="E11" s="582"/>
      <c r="F11" s="582"/>
      <c r="G11" s="582"/>
      <c r="H11" s="345"/>
      <c r="I11" s="586"/>
      <c r="J11" s="586"/>
      <c r="K11" s="586"/>
      <c r="L11" s="586"/>
      <c r="M11" s="586"/>
      <c r="N11" s="586"/>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s="341"/>
      <c r="B12" s="346" t="s">
        <v>219</v>
      </c>
      <c r="C12" s="347"/>
      <c r="D12" s="582" t="e">
        <f>IF(ISBLANK(#REF!),"",(#REF!))</f>
        <v>#REF!</v>
      </c>
      <c r="E12" s="582"/>
      <c r="F12" s="582"/>
      <c r="G12" s="582"/>
      <c r="H12" s="345"/>
      <c r="I12" s="587"/>
      <c r="J12" s="587"/>
      <c r="K12" s="587"/>
      <c r="L12" s="587"/>
      <c r="M12" s="587"/>
      <c r="N12" s="587"/>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6.25" customHeight="1">
      <c r="A13" s="341"/>
      <c r="B13" s="346" t="s">
        <v>220</v>
      </c>
      <c r="C13" s="347"/>
      <c r="D13" s="582" t="e">
        <f>IF(ISBLANK(#REF!),"",(#REF!))</f>
        <v>#REF!</v>
      </c>
      <c r="E13" s="582"/>
      <c r="F13" s="582"/>
      <c r="G13" s="582"/>
      <c r="H13" s="345"/>
      <c r="I13" s="583"/>
      <c r="J13" s="583"/>
      <c r="K13" s="583"/>
      <c r="L13" s="583"/>
      <c r="M13" s="583"/>
      <c r="N13" s="58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8.5" customHeight="1">
      <c r="A14" s="341"/>
      <c r="B14" s="348" t="s">
        <v>221</v>
      </c>
      <c r="C14" s="349"/>
      <c r="D14" s="584" t="e">
        <f>IF(ISBLANK(#REF!),"",(#REF!))</f>
        <v>#REF!</v>
      </c>
      <c r="E14" s="584"/>
      <c r="F14" s="584"/>
      <c r="G14" s="584"/>
      <c r="H14" s="345"/>
      <c r="I14" s="585"/>
      <c r="J14" s="585"/>
      <c r="K14" s="585"/>
      <c r="L14" s="585"/>
      <c r="M14" s="585"/>
      <c r="N14" s="585"/>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5" customHeight="1">
      <c r="A15" s="341"/>
      <c r="B15" s="350"/>
      <c r="C15" s="351"/>
      <c r="D15" s="352"/>
      <c r="E15" s="352"/>
      <c r="F15" s="352"/>
      <c r="G15" s="352"/>
      <c r="H15" s="345"/>
      <c r="I15" s="353"/>
      <c r="J15" s="353"/>
      <c r="K15" s="353"/>
      <c r="L15" s="353"/>
      <c r="M15" s="353"/>
      <c r="N15" s="353"/>
      <c r="O15" s="341"/>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B16" s="579" t="s">
        <v>222</v>
      </c>
      <c r="C16" s="579"/>
      <c r="D16" s="579"/>
      <c r="E16" s="579"/>
      <c r="F16" s="579"/>
      <c r="G16" s="579"/>
      <c r="H16" s="579"/>
      <c r="I16" s="579"/>
      <c r="J16" s="579"/>
      <c r="K16" s="579"/>
      <c r="L16" s="579"/>
      <c r="M16" s="579"/>
      <c r="N16" s="579"/>
    </row>
    <row r="17" spans="1:256" s="341" customFormat="1" ht="3.75" customHeight="1">
      <c r="B17" s="354"/>
      <c r="C17" s="355"/>
      <c r="D17" s="356"/>
      <c r="E17" s="357"/>
      <c r="F17" s="358"/>
      <c r="G17" s="358"/>
      <c r="H17" s="359"/>
      <c r="I17" s="360"/>
      <c r="J17" s="361"/>
      <c r="K17" s="362"/>
      <c r="L17" s="363"/>
      <c r="M17" s="364"/>
      <c r="N17" s="365"/>
    </row>
    <row r="18" spans="1:256" ht="22.5" customHeight="1">
      <c r="A18" s="341"/>
      <c r="B18" s="592" t="s">
        <v>211</v>
      </c>
      <c r="C18" s="592"/>
      <c r="D18" s="593" t="s">
        <v>212</v>
      </c>
      <c r="E18" s="593"/>
      <c r="F18" s="593"/>
      <c r="G18" s="593"/>
      <c r="H18" s="342"/>
      <c r="I18" s="594" t="s">
        <v>213</v>
      </c>
      <c r="J18" s="594"/>
      <c r="K18" s="594"/>
      <c r="L18" s="594"/>
      <c r="M18" s="594"/>
      <c r="N18" s="594"/>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95" customHeight="1">
      <c r="A19" s="341"/>
      <c r="B19" s="366" t="s">
        <v>214</v>
      </c>
      <c r="C19" s="367"/>
      <c r="D19" s="588" t="str">
        <f>IF(ISBLANK(Gestión!C8),"",(Gestión!C8))</f>
        <v>Para el periodo se han cumplido en su totalidad las Acciones emitidas en las cartas de implementación recibidas para el periodo.</v>
      </c>
      <c r="E19" s="588"/>
      <c r="F19" s="588"/>
      <c r="G19" s="588"/>
      <c r="H19" s="368"/>
      <c r="I19" s="589"/>
      <c r="J19" s="589"/>
      <c r="K19" s="589"/>
      <c r="L19" s="589"/>
      <c r="M19" s="589"/>
      <c r="N19" s="58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75" customHeight="1">
      <c r="B20" s="369" t="s">
        <v>215</v>
      </c>
      <c r="C20" s="370"/>
      <c r="D20" s="590" t="str">
        <f>IF(ISBLANK(Gestión!I8),"",(Gestión!I8))</f>
        <v>Se mantiene a la fecha los puestos directivos en la Oficina de Apoyo del Fondo Mundial del RP/MINSAL</v>
      </c>
      <c r="E20" s="590" t="e">
        <f>+'Introducción de datos'!D84/'Introducción de datos'!G84</f>
        <v>#DIV/0!</v>
      </c>
      <c r="F20" s="590" t="e">
        <f>+('Introducción de datos'!E84+'Introducción de datos'!F84)/'Introducción de datos'!G84</f>
        <v>#DIV/0!</v>
      </c>
      <c r="G20" s="590"/>
      <c r="H20" s="368"/>
      <c r="I20" s="591"/>
      <c r="J20" s="591"/>
      <c r="K20" s="591"/>
      <c r="L20" s="591"/>
      <c r="M20" s="591"/>
      <c r="N20" s="591"/>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9.25" customHeight="1">
      <c r="B21" s="371" t="s">
        <v>223</v>
      </c>
      <c r="C21" s="370"/>
      <c r="D21" s="590" t="str">
        <f>IF(ISBLANK(Gestión!C17),"",(Gestión!C17))</f>
        <v>No hay sub receptores</v>
      </c>
      <c r="E21" s="590"/>
      <c r="F21" s="590"/>
      <c r="G21" s="590"/>
      <c r="H21" s="368"/>
      <c r="I21" s="591"/>
      <c r="J21" s="591"/>
      <c r="K21" s="591"/>
      <c r="L21" s="591"/>
      <c r="M21" s="591"/>
      <c r="N21" s="59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c r="B22" s="371" t="s">
        <v>224</v>
      </c>
      <c r="C22" s="370"/>
      <c r="D22" s="590" t="str">
        <f>IF(ISBLANK(Gestión!I17),"",(Gestión!I17))</f>
        <v>No hay sub receptores</v>
      </c>
      <c r="E22" s="590"/>
      <c r="F22" s="590"/>
      <c r="G22" s="590"/>
      <c r="H22" s="368"/>
      <c r="I22" s="591"/>
      <c r="J22" s="591"/>
      <c r="K22" s="591"/>
      <c r="L22" s="591"/>
      <c r="M22" s="591"/>
      <c r="N22" s="591"/>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75" customHeight="1">
      <c r="B23" s="371" t="s">
        <v>225</v>
      </c>
      <c r="C23" s="370"/>
      <c r="D23" s="590" t="str">
        <f>IF(ISBLANK(Gestión!C28),"",(Gestión!C28))</f>
        <v>Adquisición a traves del Fondo Estrategico OPS.</v>
      </c>
      <c r="E23" s="590"/>
      <c r="F23" s="590"/>
      <c r="G23" s="590"/>
      <c r="H23" s="368"/>
      <c r="I23" s="591"/>
      <c r="J23" s="591"/>
      <c r="K23" s="591"/>
      <c r="L23" s="591"/>
      <c r="M23" s="591"/>
      <c r="N23" s="591"/>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 customHeight="1">
      <c r="B24" s="372" t="s">
        <v>226</v>
      </c>
      <c r="C24" s="373"/>
      <c r="D24" s="595" t="str">
        <f>IF(ISBLANK(Gestión!I28),"",(Gestión!I28))</f>
        <v>Los productos enlistados son medicamentos antituberculosis de segunda linea,es importante hacer mención que estos son adquiridos con financiamiento del Estado como compromiso de contrapartida.
Los medicamentos que se denotan como desabastecidos ha sido porque se han utilizado otros generico familiar ejemplo de ello la Ciprofloxacina por Levofloxacina y la Gentamicina por Amikacina, medicamnetos que son adquiridos por financiamiento del estado, el paciente no se ha encontrado sin su medicación.
Otros productos son medicamentos para tratamiento de reacciones adversas a farmacos antituberculosis (RAFA) los cuales estan en tramite de compra y de ingreso a bodega en proximas fechas.</v>
      </c>
      <c r="E24" s="595"/>
      <c r="F24" s="595"/>
      <c r="G24" s="595"/>
      <c r="H24" s="368"/>
      <c r="I24" s="596"/>
      <c r="J24" s="596"/>
      <c r="K24" s="596"/>
      <c r="L24" s="596"/>
      <c r="M24" s="596"/>
      <c r="N24" s="596"/>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ustomHeight="1">
      <c r="B25" s="374"/>
      <c r="C25" s="375"/>
      <c r="D25" s="376"/>
      <c r="E25" s="377"/>
      <c r="F25" s="378"/>
      <c r="G25" s="378"/>
      <c r="H25" s="342"/>
      <c r="I25" s="377"/>
      <c r="J25" s="379"/>
      <c r="K25" s="362"/>
      <c r="L25" s="363"/>
      <c r="M25" s="364"/>
      <c r="N25" s="36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1" customHeight="1">
      <c r="B26" s="579" t="s">
        <v>227</v>
      </c>
      <c r="C26" s="579"/>
      <c r="D26" s="579"/>
      <c r="E26" s="579"/>
      <c r="F26" s="579"/>
      <c r="G26" s="579"/>
      <c r="H26" s="579"/>
      <c r="I26" s="579"/>
      <c r="J26" s="579"/>
      <c r="K26" s="579"/>
      <c r="L26" s="579"/>
      <c r="M26" s="579"/>
      <c r="N26" s="579"/>
    </row>
    <row r="27" spans="1:256" ht="3.75" customHeight="1">
      <c r="B27" s="374"/>
      <c r="C27" s="375"/>
      <c r="D27" s="376"/>
      <c r="E27" s="377"/>
      <c r="F27" s="378"/>
      <c r="G27" s="378"/>
      <c r="H27" s="342"/>
      <c r="I27" s="377"/>
      <c r="J27" s="379"/>
      <c r="K27" s="362"/>
      <c r="L27" s="363"/>
      <c r="M27" s="364"/>
      <c r="N27" s="365"/>
    </row>
    <row r="28" spans="1:256" ht="21.75" customHeight="1">
      <c r="B28" s="601" t="s">
        <v>228</v>
      </c>
      <c r="C28" s="601"/>
      <c r="D28" s="602" t="s">
        <v>212</v>
      </c>
      <c r="E28" s="602"/>
      <c r="F28" s="602"/>
      <c r="G28" s="602"/>
      <c r="H28" s="342"/>
      <c r="I28" s="602" t="s">
        <v>213</v>
      </c>
      <c r="J28" s="602"/>
      <c r="K28" s="602"/>
      <c r="L28" s="602"/>
      <c r="M28" s="602"/>
      <c r="N28" s="602"/>
    </row>
    <row r="29" spans="1:256" ht="29.25" customHeight="1">
      <c r="B29" s="380" t="s">
        <v>229</v>
      </c>
      <c r="C29" s="381"/>
      <c r="D29" s="597" t="str">
        <f>IF(ISBLANK(Programatico!C9),"",(Programatico!C9))</f>
        <v>Con la utilización de pruebas moleculares además de realizar detección del Mycobacterium tuberculosis permite hacer vigilancia de la sensibilidad a los medicamentos y es método recomendado por la OMS en la estrategia Fin a la TB. El número de pruebas moleculares para este año se incrementó, lo que ha permitido alcanzar mayores porcentajes de pacientes con cobertura.</v>
      </c>
      <c r="E29" s="597"/>
      <c r="F29" s="597"/>
      <c r="G29" s="597"/>
      <c r="H29" s="368"/>
      <c r="I29" s="598"/>
      <c r="J29" s="598"/>
      <c r="K29" s="598"/>
      <c r="L29" s="598"/>
      <c r="M29" s="598"/>
      <c r="N29" s="598"/>
    </row>
    <row r="30" spans="1:256" ht="21.95" customHeight="1">
      <c r="B30" s="382" t="s">
        <v>230</v>
      </c>
      <c r="C30" s="383"/>
      <c r="D30" s="599" t="str">
        <f>IF(ISBLANK(Programatico!G9),"",(Programatico!G9))</f>
        <v xml:space="preserve"> Para el periodo de enero a diciembre 2021, se detectaron en el laboratorio 40 casos de TB RR;  2 casos TB MDR y 1 casos TB pre-XDR, a cada uno de los casos se les realizo evaluación clínica, radiológica y bacteriológica en la Clínica de Resistencias del Hospital Nacional Saldaña, además a todos se consideró el tratamiento de segunda línea por cumplir los criterios epidemiológicos, clínicos y bacteriológicos.</v>
      </c>
      <c r="E30" s="599"/>
      <c r="F30" s="599"/>
      <c r="G30" s="599"/>
      <c r="H30" s="368"/>
      <c r="I30" s="600"/>
      <c r="J30" s="600"/>
      <c r="K30" s="600"/>
      <c r="L30" s="600"/>
      <c r="M30" s="600"/>
      <c r="N30" s="600"/>
    </row>
    <row r="31" spans="1:256" ht="21.95" customHeight="1">
      <c r="B31" s="382" t="s">
        <v>231</v>
      </c>
      <c r="C31" s="383"/>
      <c r="D31" s="599" t="str">
        <f>IF(ISBLANK(Programatico!M9),"",(Programatico!M9))</f>
        <v>Para el periodo de enero a diciembre 2021 la UPTYER reporta un total de  628 casos de TB de todas las formas en PPL.</v>
      </c>
      <c r="E31" s="599"/>
      <c r="F31" s="599"/>
      <c r="G31" s="599"/>
      <c r="H31" s="368"/>
      <c r="I31" s="600"/>
      <c r="J31" s="600"/>
      <c r="K31" s="600"/>
      <c r="L31" s="600"/>
      <c r="M31" s="600"/>
      <c r="N31" s="600"/>
    </row>
    <row r="32" spans="1:256" ht="21.95" customHeight="1">
      <c r="B32" s="384" t="s">
        <v>77</v>
      </c>
      <c r="C32" s="383"/>
      <c r="D32" s="603" t="str">
        <f>IF(ISBLANK(Programatico!L20),"",(Programatico!L20))</f>
        <v>*Meta reportada para el período de enero a diciembre 2021 (1,308/1,959 = 66.77%). 
* Con la utilización de pruebas moleculares además de realizar detección del Mycobacterium tuberculosis permite hacer vigilancia de la sensibilidad a los medicamentos y es método recomendado por la OMS en la estrategia Fin a la TB. El número de pruebas moleculares para el período se incrementó, lo que ha permitido alcanzar mayores porcentajes de pacientes con cobertura; aunque es importante mencionar que la detección de casos de TB en privados de libertad disminuyó para el período, por lo que el resultado del indicador fue directamente proporcional a la disminución de los casos y cuya meta establecida (75%) lo cual nos da una relación del 89% del cumplimiento del indicador.
* A pesar de la Pandemia de SARS Cov – 2, el país logró mantener la oferta de servicios para el diagnóstico precoz en poblaciones de mayor riesgo y vulnerabilidad y/o sospechosas de fármaco resistencia a través de pruebas moleculares las cuales a través de los lineamientos técnicos para el abordaje y seguimiento de casos de tuberculosis; ante la emergencia nacional por COVID-19, se han realizado mayor número de pruebas ya que se ha fortalecido la red de laboratorios hospitalaria con equipos y más cartuchos de prueba. Es de importancia recalcar que a pesar de la Pandemia se mantuvo supervisión continua por parte del UPTYER a la red nacional de laboratorios
* Fuente : PU/DR SLV - T - MOH (enero - diciembre) 2021</v>
      </c>
      <c r="E32" s="603"/>
      <c r="F32" s="603"/>
      <c r="G32" s="603"/>
      <c r="H32" s="368"/>
      <c r="I32" s="600"/>
      <c r="J32" s="600"/>
      <c r="K32" s="600"/>
      <c r="L32" s="600"/>
      <c r="M32" s="600"/>
      <c r="N32" s="600"/>
    </row>
    <row r="33" spans="2:14" ht="27" customHeight="1">
      <c r="B33" s="384" t="s">
        <v>61</v>
      </c>
      <c r="C33" s="383"/>
      <c r="D33" s="603" t="str">
        <f>IF(ISBLANK(Programatico!L21),"",(Programatico!L21))</f>
        <v>* Meta proyectada para el período de enero a diciembre del año 2021 es de 33, y el resultado obtenido para el mismo período es de 43 casos TB-RR/TB-MDR.
* Durante el año 2021, se detectaron en el laboratorio 40 casos de TB RR; 2 TB MDR y 1 TB pre - XDR, a cada uno se les realizó evaluación clínica, radiológica y bacteriológica en la Clínica de Resistencias del Hospital Nacional Saldaña, a los 43 casos TB-RR/TB-MDR se les inició tratamiento de segunda línea por cumplir los criterios epidemiológicos, clínicos y bacteriológicos.
* El país cuenta con la disponibilidad de medicamentos de segunda línea, para iniciar y tratar todos los casos detectados con farmacorresistencia (tratados con esquemas de tratamiento acortados e individualizados).
* Fuente : PU/DR SLV - T - MOH (enero - diciembre) 2021.</v>
      </c>
      <c r="E33" s="603"/>
      <c r="F33" s="603"/>
      <c r="G33" s="603"/>
      <c r="H33" s="368"/>
      <c r="I33" s="600"/>
      <c r="J33" s="600"/>
      <c r="K33" s="600"/>
      <c r="L33" s="600"/>
      <c r="M33" s="600"/>
      <c r="N33" s="600"/>
    </row>
    <row r="34" spans="2:14" ht="21.95" customHeight="1">
      <c r="B34" s="384" t="s">
        <v>78</v>
      </c>
      <c r="C34" s="383"/>
      <c r="D34" s="603" t="str">
        <f>IF(ISBLANK(Programatico!L22),"",(Programatico!L22))</f>
        <v xml:space="preserve">
* Las personas privadas de libertad (PPL) son un grupo en condición de vulnerabilidad debido principalmente a su entorno de encierro y las dinámicas de convivencia entre los privados de libertad pertenecientes a pandillas. En la actualidad, según la estadística penitenciaria de la Dirección General de Centros Penales (DGCP) y Dirección General de Centros Intermedios, El Salvador registra actualmente 39,582 PPL, a pesar que la DGCP ha realizado esfuerzos para reducir el hacinamiento a un porcentaje aproximado de 120% para el año 2020 de un 400% reportado en el 2016.
* Otras acciones implementadas que contribuyeron a la disminución en la detección de casos de TB en las PPL para el período de enero a diciembre de 2021, podemos mencionar: 
 El diagnóstico precoz de sintomáticos respiratorios y casos de TB a través de prueba molecular (Xpert MTB/RIF) como primera opción; así también la investigación de los contactos; evaluación clínica de toda PPL al ingreso del centro penitenciario para el descarte temprano de la TB; además de la implementación de las medidas de control de infecciones (restricción de visitas de familiares o intimas por la pandemia, aislamiento de casos de TB, traslado a centros de cuido para PPL con TB y enfermedades crónicas, estancia en áreas con suficiente ventilación como también en las mejoras de infraestructura y las áreas de aislamiento, uso obligatorio de mascarillas, mejora del estado nutricional del PPL con suplementos nutricionales y mejora de la dieta, entre otras). Es importante mencionar el empoderamiento del personal de salud de la Dirección de Centros Penitenciarios y su coordinación con MINSAL a través de la UPTYER, para el diagnóstico temprano de la TB; quienes supervisan y monitorean el tratamiento acortado estrictamente supervisado (TAES) lo que ha permitido mantener un porcentaje de curación y éxito de tratamiento por arriba de la meta de la OMS para población en general.  
* Todas las medidas anteriormente descritas e implementadas han inferido en la disminución de los casos de TB en la población privada de libertad, logrando para el año 2021 un total de 628 privados de libertad diagnosticados con TB versus lo programado para el período (884 casos) de acuerdo a las metas ajustadas de la carta de implementación #2 de fecha octubre 2020
* Fuente : PU/DR SLV-T-MOH (enero - diciembre) 2021</v>
      </c>
      <c r="E34" s="603"/>
      <c r="F34" s="603"/>
      <c r="G34" s="603"/>
      <c r="H34" s="368"/>
      <c r="I34" s="600"/>
      <c r="J34" s="600"/>
      <c r="K34" s="600"/>
      <c r="L34" s="600"/>
      <c r="M34" s="600"/>
      <c r="N34" s="600"/>
    </row>
    <row r="35" spans="2:14" ht="21.95" customHeight="1">
      <c r="B35" s="384" t="s">
        <v>79</v>
      </c>
      <c r="C35" s="385"/>
      <c r="D35" s="603" t="str">
        <f>IF(ISBLANK(Programatico!L23),"",(Programatico!L23))</f>
        <v>* * Resultado notificado del porcentaje de casos de todas las formas TB tratados exitosamente en CP en el año 2020: (891/952 = 93.59%).
* El contexto epidemiológico de la TB en las PPL, no es uniforme en los diferentes centros penales, ya que la mayor carga de enfermedad se concentra en 7 centros penales, en los cuales están recluidos población perteneciente a pandillas, el éxito de tratamiento se ha visto afectado por las pérdidas en el seguimiento, situación que se da debido a que las PPL que son diagnosticadas e inician tratamiento dentro del centro penal, y posteriormente en su proceso jurídico son puestos en libertad (sobreseídos, absueltos o con medidas); debido al contexto de violencia e inseguridad a nivel comunitario y en el contexto de pandemia por COVID 19, las restricciones de movilidad y reorientación de las actividades de los trabajadores de salud, fue difícil el seguimiento o vinculación una vez libres,  de igual forma proporcionan domicilios falsos o utilizan la clandestinidad para resguardar su vida y  la de su familia, lo cual afectan las cohortes de tratamiento al ser registrados como perdidos en el seguimiento como condición de egreso. Sin embargo, el resultado de éxito de tratamiento esta por arriba de la meta de la OMS la cual es de arriba del 90% para población general. 
* Fuente : PU/DR SLV-T-MOH (enero - diciembre) 2021</v>
      </c>
      <c r="E35" s="603"/>
      <c r="F35" s="603"/>
      <c r="G35" s="603"/>
      <c r="H35" s="368"/>
      <c r="I35" s="600"/>
      <c r="J35" s="600"/>
      <c r="K35" s="600"/>
      <c r="L35" s="600"/>
      <c r="M35" s="600"/>
      <c r="N35" s="600"/>
    </row>
    <row r="36" spans="2:14" ht="21.95" customHeight="1">
      <c r="B36" s="384" t="s">
        <v>80</v>
      </c>
      <c r="C36" s="385"/>
      <c r="D36" s="603" t="e">
        <f>#N/A</f>
        <v>#N/A</v>
      </c>
      <c r="E36" s="603"/>
      <c r="F36" s="603"/>
      <c r="G36" s="603"/>
      <c r="H36" s="368"/>
      <c r="I36" s="600"/>
      <c r="J36" s="600"/>
      <c r="K36" s="600"/>
      <c r="L36" s="600"/>
      <c r="M36" s="600"/>
      <c r="N36" s="600"/>
    </row>
    <row r="37" spans="2:14" ht="21.95" customHeight="1">
      <c r="B37" s="384" t="s">
        <v>81</v>
      </c>
      <c r="C37" s="385"/>
      <c r="D37" s="603" t="e">
        <f>#N/A</f>
        <v>#N/A</v>
      </c>
      <c r="E37" s="603"/>
      <c r="F37" s="603"/>
      <c r="G37" s="603"/>
      <c r="H37" s="368"/>
      <c r="I37" s="600"/>
      <c r="J37" s="600"/>
      <c r="K37" s="600"/>
      <c r="L37" s="600"/>
      <c r="M37" s="600"/>
      <c r="N37" s="600"/>
    </row>
    <row r="38" spans="2:14" ht="21.95" customHeight="1">
      <c r="B38" s="384" t="s">
        <v>82</v>
      </c>
      <c r="C38" s="385"/>
      <c r="D38" s="603" t="e">
        <f>#N/A</f>
        <v>#N/A</v>
      </c>
      <c r="E38" s="603"/>
      <c r="F38" s="603"/>
      <c r="G38" s="603"/>
      <c r="H38" s="368"/>
      <c r="I38" s="600"/>
      <c r="J38" s="600"/>
      <c r="K38" s="600"/>
      <c r="L38" s="600"/>
      <c r="M38" s="600"/>
      <c r="N38" s="600"/>
    </row>
    <row r="39" spans="2:14" ht="21.95" customHeight="1">
      <c r="B39" s="384" t="s">
        <v>83</v>
      </c>
      <c r="C39" s="385"/>
      <c r="D39" s="603" t="e">
        <f>#N/A</f>
        <v>#N/A</v>
      </c>
      <c r="E39" s="603"/>
      <c r="F39" s="603"/>
      <c r="G39" s="603"/>
      <c r="H39" s="368"/>
      <c r="I39" s="600"/>
      <c r="J39" s="600"/>
      <c r="K39" s="600"/>
      <c r="L39" s="600"/>
      <c r="M39" s="600"/>
      <c r="N39" s="600"/>
    </row>
    <row r="40" spans="2:14" ht="21.95" customHeight="1">
      <c r="B40" s="384" t="s">
        <v>84</v>
      </c>
      <c r="C40" s="385"/>
      <c r="D40" s="603" t="e">
        <f>#N/A</f>
        <v>#N/A</v>
      </c>
      <c r="E40" s="603"/>
      <c r="F40" s="603"/>
      <c r="G40" s="603"/>
      <c r="H40" s="368"/>
      <c r="I40" s="600"/>
      <c r="J40" s="600"/>
      <c r="K40" s="600"/>
      <c r="L40" s="600"/>
      <c r="M40" s="600"/>
      <c r="N40" s="600"/>
    </row>
    <row r="41" spans="2:14" ht="21.95" customHeight="1">
      <c r="B41" s="384" t="s">
        <v>85</v>
      </c>
      <c r="C41" s="386"/>
      <c r="D41" s="603" t="e">
        <f>#N/A</f>
        <v>#N/A</v>
      </c>
      <c r="E41" s="603"/>
      <c r="F41" s="603"/>
      <c r="G41" s="603"/>
      <c r="H41" s="368"/>
      <c r="I41" s="604"/>
      <c r="J41" s="604"/>
      <c r="K41" s="604"/>
      <c r="L41" s="604"/>
      <c r="M41" s="604"/>
      <c r="N41" s="604"/>
    </row>
  </sheetData>
  <sheetProtection password="CFC9" sheet="1"/>
  <mergeCells count="65">
    <mergeCell ref="D41:G41"/>
    <mergeCell ref="I41:N41"/>
    <mergeCell ref="D39:G39"/>
    <mergeCell ref="I39:N39"/>
    <mergeCell ref="D40:G40"/>
    <mergeCell ref="I40:N40"/>
    <mergeCell ref="D37:G37"/>
    <mergeCell ref="I37:N37"/>
    <mergeCell ref="D38:G38"/>
    <mergeCell ref="I38:N38"/>
    <mergeCell ref="D35:G35"/>
    <mergeCell ref="I35:N35"/>
    <mergeCell ref="D36:G36"/>
    <mergeCell ref="I36:N36"/>
    <mergeCell ref="D33:G33"/>
    <mergeCell ref="I33:N33"/>
    <mergeCell ref="D34:G34"/>
    <mergeCell ref="I34:N34"/>
    <mergeCell ref="D31:G31"/>
    <mergeCell ref="I31:N31"/>
    <mergeCell ref="D32:G32"/>
    <mergeCell ref="I32:N32"/>
    <mergeCell ref="D29:G29"/>
    <mergeCell ref="I29:N29"/>
    <mergeCell ref="D30:G30"/>
    <mergeCell ref="I30:N30"/>
    <mergeCell ref="B26:N26"/>
    <mergeCell ref="B28:C28"/>
    <mergeCell ref="D28:G28"/>
    <mergeCell ref="I28:N28"/>
    <mergeCell ref="D23:G23"/>
    <mergeCell ref="I23:N23"/>
    <mergeCell ref="D24:G24"/>
    <mergeCell ref="I24:N24"/>
    <mergeCell ref="D21:G21"/>
    <mergeCell ref="I21:N21"/>
    <mergeCell ref="D22:G22"/>
    <mergeCell ref="I22:N22"/>
    <mergeCell ref="D19:G19"/>
    <mergeCell ref="I19:N19"/>
    <mergeCell ref="D20:G20"/>
    <mergeCell ref="I20:N20"/>
    <mergeCell ref="B16:N16"/>
    <mergeCell ref="B18:C18"/>
    <mergeCell ref="D18:G18"/>
    <mergeCell ref="I18:N18"/>
    <mergeCell ref="D13:G13"/>
    <mergeCell ref="I13:N13"/>
    <mergeCell ref="D14:G14"/>
    <mergeCell ref="I14:N14"/>
    <mergeCell ref="D11:G11"/>
    <mergeCell ref="I11:N11"/>
    <mergeCell ref="D12:G12"/>
    <mergeCell ref="I12:N12"/>
    <mergeCell ref="E5:K5"/>
    <mergeCell ref="E6:K6"/>
    <mergeCell ref="B8:N8"/>
    <mergeCell ref="B10:C10"/>
    <mergeCell ref="D10:G10"/>
    <mergeCell ref="I10:N10"/>
    <mergeCell ref="B2:N2"/>
    <mergeCell ref="C3:D3"/>
    <mergeCell ref="E3:K3"/>
    <mergeCell ref="C4:D4"/>
    <mergeCell ref="E4:K4"/>
  </mergeCells>
  <phoneticPr fontId="66"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7"/>
  </sheetPr>
  <dimension ref="A1:M43"/>
  <sheetViews>
    <sheetView showGridLines="0" topLeftCell="A4" zoomScale="70" zoomScaleNormal="70" zoomScaleSheetLayoutView="100" workbookViewId="0">
      <selection activeCell="R20" sqref="R20"/>
    </sheetView>
  </sheetViews>
  <sheetFormatPr baseColWidth="10" defaultColWidth="10.7109375"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13.42578125" customWidth="1"/>
  </cols>
  <sheetData>
    <row r="1" spans="1:13" ht="30.75" customHeight="1"/>
    <row r="2" spans="1:13" ht="27.75" customHeight="1">
      <c r="B2" s="551" t="str">
        <f>+"Cuadro de mando:  "&amp;"  "&amp;+'Introducción de datos'!C4&amp;" - "&amp;'Introducción de datos'!G6</f>
        <v>Cuadro de mando:    El Salvador - TB</v>
      </c>
      <c r="C2" s="551"/>
      <c r="D2" s="551"/>
      <c r="E2" s="551"/>
      <c r="F2" s="551"/>
      <c r="G2" s="551"/>
      <c r="H2" s="551"/>
      <c r="I2" s="551"/>
      <c r="J2" s="551"/>
      <c r="K2" s="551"/>
      <c r="L2" s="551"/>
    </row>
    <row r="3" spans="1:13">
      <c r="B3" s="286">
        <f>+'Introducción de datos'!G8</f>
        <v>0</v>
      </c>
      <c r="C3" s="547">
        <f>+'Introducción de datos'!I8</f>
        <v>0</v>
      </c>
      <c r="D3" s="547"/>
      <c r="E3" s="548"/>
      <c r="F3" s="548"/>
      <c r="G3" s="548"/>
      <c r="H3" s="548"/>
      <c r="I3" s="548"/>
      <c r="J3" s="549" t="str">
        <f>+'Introducción de datos'!B16</f>
        <v>Periodo:</v>
      </c>
      <c r="K3" s="549"/>
      <c r="L3" s="287" t="str">
        <f>+'Introducción de datos'!C16</f>
        <v>P3</v>
      </c>
      <c r="M3" s="33"/>
    </row>
    <row r="4" spans="1:13">
      <c r="B4" s="286" t="str">
        <f>+'Introducción de datos'!B12</f>
        <v>Ultima calificación:</v>
      </c>
      <c r="C4" s="605" t="str">
        <f>+'Introducción de datos'!C12</f>
        <v>A1</v>
      </c>
      <c r="D4" s="605"/>
      <c r="E4" s="548" t="str">
        <f>+'Introducción de datos'!C8</f>
        <v xml:space="preserve">Ministerio de Salud </v>
      </c>
      <c r="F4" s="548"/>
      <c r="G4" s="548"/>
      <c r="H4" s="548"/>
      <c r="I4" s="548"/>
      <c r="J4" s="549" t="str">
        <f>+'Introducción de datos'!D16</f>
        <v>Desde:</v>
      </c>
      <c r="K4" s="549"/>
      <c r="L4" s="288">
        <f>+'Introducción de datos'!E16</f>
        <v>44197</v>
      </c>
    </row>
    <row r="5" spans="1:13" ht="18.75" customHeight="1">
      <c r="B5" s="286"/>
      <c r="C5" s="286"/>
      <c r="D5" s="548" t="str">
        <f>+'Introducción de datos'!G4</f>
        <v>Financiamiento al PENM TB 2017 - 2021</v>
      </c>
      <c r="E5" s="548"/>
      <c r="F5" s="548"/>
      <c r="G5" s="548"/>
      <c r="H5" s="548"/>
      <c r="I5" s="548"/>
      <c r="J5" s="548"/>
      <c r="K5" s="286" t="str">
        <f>+'Introducción de datos'!F16</f>
        <v>Hasta:</v>
      </c>
      <c r="L5" s="288">
        <f>+'Introducción de datos'!G16</f>
        <v>44561</v>
      </c>
    </row>
    <row r="6" spans="1:13" ht="18.75">
      <c r="B6" s="67"/>
      <c r="C6" s="286"/>
      <c r="D6" s="289"/>
      <c r="E6" s="531" t="s">
        <v>232</v>
      </c>
      <c r="F6" s="531"/>
      <c r="G6" s="531"/>
      <c r="H6" s="531"/>
      <c r="I6" s="531"/>
    </row>
    <row r="7" spans="1:13" ht="18.75">
      <c r="E7" s="387"/>
      <c r="F7" s="387"/>
      <c r="G7" s="387"/>
      <c r="H7" s="387"/>
      <c r="I7" s="387"/>
    </row>
    <row r="8" spans="1:13" s="335" customFormat="1" ht="21" customHeight="1">
      <c r="B8" s="388" t="s">
        <v>233</v>
      </c>
      <c r="C8" s="388"/>
      <c r="D8" s="388"/>
      <c r="E8" s="388"/>
      <c r="F8" s="388"/>
      <c r="G8" s="388"/>
      <c r="H8" s="388"/>
      <c r="I8" s="388"/>
      <c r="J8" s="388"/>
      <c r="K8" s="388"/>
      <c r="L8" s="388"/>
    </row>
    <row r="9" spans="1:13" ht="6" customHeight="1">
      <c r="B9" s="164"/>
    </row>
    <row r="10" spans="1:13">
      <c r="B10" s="606"/>
      <c r="C10" s="606"/>
      <c r="D10" s="606"/>
      <c r="E10" s="606"/>
      <c r="F10" s="606"/>
      <c r="G10" s="606"/>
      <c r="H10" s="606"/>
      <c r="I10" s="606"/>
      <c r="J10" s="606"/>
      <c r="K10" s="606"/>
      <c r="L10" s="606"/>
    </row>
    <row r="11" spans="1:13">
      <c r="B11" s="606"/>
      <c r="C11" s="606"/>
      <c r="D11" s="606"/>
      <c r="E11" s="606"/>
      <c r="F11" s="606"/>
      <c r="G11" s="606"/>
      <c r="H11" s="606"/>
      <c r="I11" s="606"/>
      <c r="J11" s="606"/>
      <c r="K11" s="606"/>
      <c r="L11" s="606"/>
    </row>
    <row r="13" spans="1:13" ht="42" customHeight="1">
      <c r="A13" s="389"/>
      <c r="B13" s="607" t="s">
        <v>234</v>
      </c>
      <c r="C13" s="607"/>
      <c r="D13" s="607"/>
      <c r="E13" s="607"/>
      <c r="F13" s="390"/>
      <c r="G13" s="608" t="s">
        <v>235</v>
      </c>
      <c r="H13" s="608"/>
      <c r="I13" s="608"/>
      <c r="J13" s="391" t="s">
        <v>236</v>
      </c>
      <c r="K13" s="609" t="s">
        <v>237</v>
      </c>
      <c r="L13" s="609"/>
    </row>
    <row r="14" spans="1:13" ht="29.25" customHeight="1">
      <c r="A14" s="615" t="s">
        <v>105</v>
      </c>
      <c r="B14" s="616"/>
      <c r="C14" s="616"/>
      <c r="D14" s="616"/>
      <c r="E14" s="616"/>
      <c r="F14" s="73"/>
      <c r="G14" s="617"/>
      <c r="H14" s="617"/>
      <c r="I14" s="617"/>
      <c r="J14" s="618"/>
      <c r="K14" s="610"/>
      <c r="L14" s="610"/>
    </row>
    <row r="15" spans="1:13" ht="2.25" customHeight="1">
      <c r="A15" s="615"/>
      <c r="B15" s="215"/>
      <c r="C15" s="215"/>
      <c r="D15" s="215"/>
      <c r="E15" s="215"/>
      <c r="F15" s="73"/>
      <c r="G15" s="617"/>
      <c r="H15" s="617"/>
      <c r="I15" s="617"/>
      <c r="J15" s="618"/>
      <c r="K15" s="610"/>
      <c r="L15" s="610"/>
    </row>
    <row r="16" spans="1:13" ht="25.5" customHeight="1">
      <c r="A16" s="615"/>
      <c r="B16" s="611"/>
      <c r="C16" s="611"/>
      <c r="D16" s="611"/>
      <c r="E16" s="611"/>
      <c r="F16" s="73"/>
      <c r="G16" s="612"/>
      <c r="H16" s="612"/>
      <c r="I16" s="612"/>
      <c r="J16" s="613"/>
      <c r="K16" s="614"/>
      <c r="L16" s="614"/>
    </row>
    <row r="17" spans="1:12" ht="4.5" customHeight="1">
      <c r="A17" s="615"/>
      <c r="B17" s="611"/>
      <c r="C17" s="611"/>
      <c r="D17" s="611"/>
      <c r="E17" s="611"/>
      <c r="F17" s="73"/>
      <c r="G17" s="612"/>
      <c r="H17" s="612"/>
      <c r="I17" s="612"/>
      <c r="J17" s="613"/>
      <c r="K17" s="614"/>
      <c r="L17" s="614"/>
    </row>
    <row r="18" spans="1:12">
      <c r="A18" s="615"/>
      <c r="B18" s="611"/>
      <c r="C18" s="611"/>
      <c r="D18" s="611"/>
      <c r="E18" s="611"/>
      <c r="F18" s="73"/>
      <c r="G18" s="619"/>
      <c r="H18" s="619"/>
      <c r="I18" s="619"/>
      <c r="J18" s="620"/>
      <c r="K18" s="614"/>
      <c r="L18" s="614"/>
    </row>
    <row r="19" spans="1:12" ht="21" customHeight="1">
      <c r="A19" s="615"/>
      <c r="B19" s="611"/>
      <c r="C19" s="611"/>
      <c r="D19" s="611"/>
      <c r="E19" s="611"/>
      <c r="F19" s="73"/>
      <c r="G19" s="619"/>
      <c r="H19" s="619"/>
      <c r="I19" s="619"/>
      <c r="J19" s="620"/>
      <c r="K19" s="620"/>
      <c r="L19" s="614"/>
    </row>
    <row r="20" spans="1:12">
      <c r="A20" s="615"/>
      <c r="B20" s="611"/>
      <c r="C20" s="611"/>
      <c r="D20" s="611"/>
      <c r="E20" s="611"/>
      <c r="F20" s="73"/>
      <c r="G20" s="621"/>
      <c r="H20" s="621"/>
      <c r="I20" s="621"/>
      <c r="J20" s="620"/>
      <c r="K20" s="614"/>
      <c r="L20" s="614"/>
    </row>
    <row r="21" spans="1:12">
      <c r="A21" s="615"/>
      <c r="B21" s="611"/>
      <c r="C21" s="611"/>
      <c r="D21" s="611"/>
      <c r="E21" s="611"/>
      <c r="F21" s="73"/>
      <c r="G21" s="621"/>
      <c r="H21" s="621"/>
      <c r="I21" s="621"/>
      <c r="J21" s="620"/>
      <c r="K21" s="620"/>
      <c r="L21" s="614"/>
    </row>
    <row r="22" spans="1:12">
      <c r="A22" s="615"/>
      <c r="B22" s="611"/>
      <c r="C22" s="611"/>
      <c r="D22" s="611"/>
      <c r="E22" s="611"/>
      <c r="F22" s="73"/>
      <c r="G22" s="621"/>
      <c r="H22" s="621"/>
      <c r="I22" s="621"/>
      <c r="J22" s="620"/>
      <c r="K22" s="614"/>
      <c r="L22" s="614"/>
    </row>
    <row r="23" spans="1:12">
      <c r="A23" s="615"/>
      <c r="B23" s="611"/>
      <c r="C23" s="611"/>
      <c r="D23" s="611"/>
      <c r="E23" s="611"/>
      <c r="F23" s="73"/>
      <c r="G23" s="621"/>
      <c r="H23" s="621"/>
      <c r="I23" s="621"/>
      <c r="J23" s="620"/>
      <c r="K23" s="620"/>
      <c r="L23" s="614"/>
    </row>
    <row r="24" spans="1:12">
      <c r="A24" s="615"/>
      <c r="B24" s="622"/>
      <c r="C24" s="622"/>
      <c r="D24" s="622"/>
      <c r="E24" s="622"/>
      <c r="F24" s="73"/>
      <c r="G24" s="623"/>
      <c r="H24" s="623"/>
      <c r="I24" s="623"/>
      <c r="J24" s="624"/>
      <c r="K24" s="625"/>
      <c r="L24" s="625"/>
    </row>
    <row r="25" spans="1:12">
      <c r="A25" s="615"/>
      <c r="B25" s="622"/>
      <c r="C25" s="622"/>
      <c r="D25" s="622"/>
      <c r="E25" s="622"/>
      <c r="F25" s="73"/>
      <c r="G25" s="623"/>
      <c r="H25" s="623"/>
      <c r="I25" s="623"/>
      <c r="J25" s="624"/>
      <c r="K25" s="624"/>
      <c r="L25" s="625"/>
    </row>
    <row r="26" spans="1:12">
      <c r="A26" s="389"/>
      <c r="B26" s="389"/>
      <c r="C26" s="389"/>
      <c r="D26" s="389"/>
      <c r="E26" s="389"/>
      <c r="F26" s="389"/>
      <c r="G26" s="389"/>
      <c r="H26" s="389"/>
      <c r="I26" s="389"/>
      <c r="J26" s="389"/>
      <c r="K26" s="389"/>
      <c r="L26" s="389"/>
    </row>
    <row r="27" spans="1:12" ht="18.75">
      <c r="A27" s="389"/>
      <c r="B27" s="389"/>
      <c r="C27" s="389"/>
      <c r="D27" s="389"/>
      <c r="E27" s="392" t="s">
        <v>238</v>
      </c>
      <c r="F27" s="392"/>
      <c r="G27" s="392"/>
      <c r="H27" s="392"/>
      <c r="I27" s="392"/>
      <c r="J27" s="389"/>
      <c r="K27" s="389"/>
      <c r="L27" s="389"/>
    </row>
    <row r="28" spans="1:12" ht="6" customHeight="1">
      <c r="A28" s="389"/>
      <c r="B28" s="389"/>
      <c r="C28" s="389"/>
      <c r="D28" s="389"/>
      <c r="E28" s="393"/>
      <c r="F28" s="393"/>
      <c r="G28" s="393"/>
      <c r="H28" s="393"/>
      <c r="I28" s="393"/>
      <c r="J28" s="389"/>
      <c r="K28" s="389"/>
      <c r="L28" s="389"/>
    </row>
    <row r="29" spans="1:12" s="335" customFormat="1" ht="21" customHeight="1">
      <c r="A29" s="394"/>
      <c r="B29" s="388" t="s">
        <v>239</v>
      </c>
      <c r="C29" s="395"/>
      <c r="D29" s="395"/>
      <c r="E29" s="395"/>
      <c r="F29" s="395"/>
      <c r="G29" s="395"/>
      <c r="H29" s="395"/>
      <c r="I29" s="395"/>
      <c r="J29" s="395"/>
      <c r="K29" s="395"/>
      <c r="L29" s="395"/>
    </row>
    <row r="30" spans="1:12" ht="6" customHeight="1">
      <c r="A30" s="389"/>
      <c r="B30" s="396"/>
      <c r="C30" s="389"/>
      <c r="D30" s="389"/>
      <c r="E30" s="389"/>
      <c r="F30" s="389"/>
      <c r="G30" s="389"/>
      <c r="H30" s="389"/>
      <c r="I30" s="389"/>
      <c r="J30" s="389"/>
      <c r="K30" s="389"/>
      <c r="L30" s="389"/>
    </row>
    <row r="31" spans="1:12" ht="45" customHeight="1">
      <c r="A31" s="389"/>
      <c r="B31" s="607" t="s">
        <v>235</v>
      </c>
      <c r="C31" s="607"/>
      <c r="D31" s="607"/>
      <c r="E31" s="607"/>
      <c r="F31" s="390"/>
      <c r="G31" s="608" t="s">
        <v>240</v>
      </c>
      <c r="H31" s="608"/>
      <c r="I31" s="608"/>
      <c r="J31" s="391" t="s">
        <v>236</v>
      </c>
      <c r="K31" s="609" t="s">
        <v>237</v>
      </c>
      <c r="L31" s="609"/>
    </row>
    <row r="32" spans="1:12" ht="18.75" customHeight="1">
      <c r="A32" s="615" t="s">
        <v>241</v>
      </c>
      <c r="B32" s="626"/>
      <c r="C32" s="626"/>
      <c r="D32" s="626"/>
      <c r="E32" s="626"/>
      <c r="F32" s="73"/>
      <c r="G32" s="627"/>
      <c r="H32" s="627"/>
      <c r="I32" s="627"/>
      <c r="J32" s="628"/>
      <c r="K32" s="629"/>
      <c r="L32" s="629"/>
    </row>
    <row r="33" spans="1:12" ht="18.75" customHeight="1">
      <c r="A33" s="615"/>
      <c r="B33" s="626"/>
      <c r="C33" s="626"/>
      <c r="D33" s="626"/>
      <c r="E33" s="626"/>
      <c r="F33" s="73"/>
      <c r="G33" s="627"/>
      <c r="H33" s="627"/>
      <c r="I33" s="627"/>
      <c r="J33" s="628"/>
      <c r="K33" s="628"/>
      <c r="L33" s="629"/>
    </row>
    <row r="34" spans="1:12" ht="18.75" customHeight="1">
      <c r="A34" s="615"/>
      <c r="B34" s="630" t="str">
        <f>IF(Recomendaciones!I43="","",Recomendaciones!I43)</f>
        <v/>
      </c>
      <c r="C34" s="630"/>
      <c r="D34" s="630"/>
      <c r="E34" s="630"/>
      <c r="F34" s="73"/>
      <c r="G34" s="621"/>
      <c r="H34" s="621"/>
      <c r="I34" s="621"/>
      <c r="J34" s="620"/>
      <c r="K34" s="614"/>
      <c r="L34" s="614"/>
    </row>
    <row r="35" spans="1:12" ht="18.75" customHeight="1">
      <c r="A35" s="615"/>
      <c r="B35" s="630"/>
      <c r="C35" s="630"/>
      <c r="D35" s="630"/>
      <c r="E35" s="630"/>
      <c r="F35" s="73"/>
      <c r="G35" s="621"/>
      <c r="H35" s="621"/>
      <c r="I35" s="621"/>
      <c r="J35" s="620"/>
      <c r="K35" s="620"/>
      <c r="L35" s="614"/>
    </row>
    <row r="36" spans="1:12" ht="18.75" customHeight="1">
      <c r="A36" s="615"/>
      <c r="B36" s="630" t="str">
        <f>+IF(Recomendaciones!I53="","",Recomendaciones!I53)</f>
        <v/>
      </c>
      <c r="C36" s="630"/>
      <c r="D36" s="630"/>
      <c r="E36" s="630"/>
      <c r="F36" s="73"/>
      <c r="G36" s="621"/>
      <c r="H36" s="621"/>
      <c r="I36" s="621"/>
      <c r="J36" s="620"/>
      <c r="K36" s="614"/>
      <c r="L36" s="614"/>
    </row>
    <row r="37" spans="1:12" ht="18.75" customHeight="1">
      <c r="A37" s="615"/>
      <c r="B37" s="630"/>
      <c r="C37" s="630"/>
      <c r="D37" s="630"/>
      <c r="E37" s="630"/>
      <c r="F37" s="73"/>
      <c r="G37" s="621"/>
      <c r="H37" s="621"/>
      <c r="I37" s="621"/>
      <c r="J37" s="620"/>
      <c r="K37" s="620"/>
      <c r="L37" s="614"/>
    </row>
    <row r="38" spans="1:12" ht="18.75" customHeight="1">
      <c r="A38" s="615"/>
      <c r="B38" s="630"/>
      <c r="C38" s="630"/>
      <c r="D38" s="630"/>
      <c r="E38" s="630"/>
      <c r="F38" s="73"/>
      <c r="G38" s="621"/>
      <c r="H38" s="621"/>
      <c r="I38" s="621"/>
      <c r="J38" s="620"/>
      <c r="K38" s="614"/>
      <c r="L38" s="614"/>
    </row>
    <row r="39" spans="1:12" ht="18.75" customHeight="1">
      <c r="A39" s="615"/>
      <c r="B39" s="630"/>
      <c r="C39" s="630"/>
      <c r="D39" s="630"/>
      <c r="E39" s="630"/>
      <c r="F39" s="73"/>
      <c r="G39" s="621"/>
      <c r="H39" s="621"/>
      <c r="I39" s="621"/>
      <c r="J39" s="620"/>
      <c r="K39" s="620"/>
      <c r="L39" s="614"/>
    </row>
    <row r="40" spans="1:12" ht="18.75" customHeight="1">
      <c r="A40" s="615"/>
      <c r="B40" s="630"/>
      <c r="C40" s="630"/>
      <c r="D40" s="630"/>
      <c r="E40" s="630"/>
      <c r="F40" s="73"/>
      <c r="G40" s="621"/>
      <c r="H40" s="621"/>
      <c r="I40" s="621"/>
      <c r="J40" s="620"/>
      <c r="K40" s="614"/>
      <c r="L40" s="614"/>
    </row>
    <row r="41" spans="1:12" ht="18.75" customHeight="1">
      <c r="A41" s="615"/>
      <c r="B41" s="630"/>
      <c r="C41" s="630"/>
      <c r="D41" s="630"/>
      <c r="E41" s="630"/>
      <c r="F41" s="73"/>
      <c r="G41" s="621"/>
      <c r="H41" s="621"/>
      <c r="I41" s="621"/>
      <c r="J41" s="620"/>
      <c r="K41" s="620"/>
      <c r="L41" s="614"/>
    </row>
    <row r="42" spans="1:12" ht="18.75" customHeight="1">
      <c r="A42" s="615"/>
      <c r="B42" s="631"/>
      <c r="C42" s="631"/>
      <c r="D42" s="631"/>
      <c r="E42" s="631"/>
      <c r="F42" s="73"/>
      <c r="G42" s="623"/>
      <c r="H42" s="623"/>
      <c r="I42" s="623"/>
      <c r="J42" s="624"/>
      <c r="K42" s="625"/>
      <c r="L42" s="625"/>
    </row>
    <row r="43" spans="1:12" ht="18.75" customHeight="1">
      <c r="A43" s="615"/>
      <c r="B43" s="631"/>
      <c r="C43" s="631"/>
      <c r="D43" s="631"/>
      <c r="E43" s="631"/>
      <c r="F43" s="73"/>
      <c r="G43" s="623"/>
      <c r="H43" s="623"/>
      <c r="I43" s="623"/>
      <c r="J43" s="624"/>
      <c r="K43" s="624"/>
      <c r="L43" s="625"/>
    </row>
  </sheetData>
  <sheetProtection selectLockedCells="1" selectUnlockedCells="1"/>
  <mergeCells count="66">
    <mergeCell ref="B36:E37"/>
    <mergeCell ref="G36:I37"/>
    <mergeCell ref="J36:J37"/>
    <mergeCell ref="K36:L37"/>
    <mergeCell ref="B42:E43"/>
    <mergeCell ref="G42:I43"/>
    <mergeCell ref="J42:J43"/>
    <mergeCell ref="K42:L43"/>
    <mergeCell ref="B40:E41"/>
    <mergeCell ref="G40:I41"/>
    <mergeCell ref="J40:J41"/>
    <mergeCell ref="K40:L4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K18:L19"/>
    <mergeCell ref="B20:E21"/>
    <mergeCell ref="G20:I21"/>
    <mergeCell ref="J20:J21"/>
    <mergeCell ref="K20:L21"/>
    <mergeCell ref="K22:L23"/>
    <mergeCell ref="B24:E25"/>
    <mergeCell ref="G24:I25"/>
    <mergeCell ref="J24:J25"/>
    <mergeCell ref="K24:L25"/>
    <mergeCell ref="A14:A25"/>
    <mergeCell ref="B14:E14"/>
    <mergeCell ref="G14:I15"/>
    <mergeCell ref="J14:J15"/>
    <mergeCell ref="B18:E19"/>
    <mergeCell ref="G18:I19"/>
    <mergeCell ref="J18:J19"/>
    <mergeCell ref="B22:E23"/>
    <mergeCell ref="G22:I23"/>
    <mergeCell ref="J22:J23"/>
    <mergeCell ref="K14:L15"/>
    <mergeCell ref="B16:E17"/>
    <mergeCell ref="G16:I17"/>
    <mergeCell ref="J16:J17"/>
    <mergeCell ref="K16:L17"/>
    <mergeCell ref="E6:I6"/>
    <mergeCell ref="B10:L11"/>
    <mergeCell ref="B13:E13"/>
    <mergeCell ref="G13:I13"/>
    <mergeCell ref="K13:L13"/>
    <mergeCell ref="C4:D4"/>
    <mergeCell ref="E4:I4"/>
    <mergeCell ref="J4:K4"/>
    <mergeCell ref="D5:J5"/>
    <mergeCell ref="B2:L2"/>
    <mergeCell ref="C3:D3"/>
    <mergeCell ref="E3:I3"/>
    <mergeCell ref="J3:K3"/>
  </mergeCells>
  <phoneticPr fontId="66"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Template/>
  <TotalTime>574</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31</vt:i4>
      </vt:variant>
    </vt:vector>
  </HeadingPairs>
  <TitlesOfParts>
    <vt:vector size="41" baseType="lpstr">
      <vt:lpstr>Menú</vt:lpstr>
      <vt:lpstr>Lista de indicadores</vt:lpstr>
      <vt:lpstr>Introducción de datos</vt:lpstr>
      <vt:lpstr>Información de la subvención</vt:lpstr>
      <vt:lpstr>Financiamiento</vt:lpstr>
      <vt:lpstr>Gestión</vt:lpstr>
      <vt:lpstr>Programatico</vt:lpstr>
      <vt:lpstr>Recomendaciones</vt:lpstr>
      <vt:lpstr>Acciones</vt:lpstr>
      <vt:lpstr>Setup</vt:lpstr>
      <vt:lpstr>Acciones!__xlnm.Print_Area</vt:lpstr>
      <vt:lpstr>Financiamiento!__xlnm.Print_Area</vt:lpstr>
      <vt:lpstr>Gestión!__xlnm.Print_Area</vt:lpstr>
      <vt:lpstr>'Información de la subvención'!__xlnm.Print_Area</vt:lpstr>
      <vt:lpstr>'Introducción de datos'!__xlnm.Print_Area</vt:lpstr>
      <vt:lpstr>Programatico!__xlnm.Print_Area</vt:lpstr>
      <vt:lpstr>Acciones!Área_de_impresión</vt:lpstr>
      <vt:lpstr>Financiamiento!Área_de_impresión</vt:lpstr>
      <vt:lpstr>Gestión!Área_de_impresión</vt:lpstr>
      <vt:lpstr>'Información de la subvención'!Área_de_impresión</vt:lpstr>
      <vt:lpstr>'Introducción de datos'!Área_de_impresión</vt:lpstr>
      <vt:lpstr>Programatico!Área_de_impresión</vt:lpstr>
      <vt:lpstr>Ciudades</vt:lpstr>
      <vt:lpstr>Component</vt:lpstr>
      <vt:lpstr>Countries</vt:lpstr>
      <vt:lpstr>Currency</vt:lpstr>
      <vt:lpstr>LFA</vt:lpstr>
      <vt:lpstr>Medicaments</vt:lpstr>
      <vt:lpstr>PERIOD</vt:lpstr>
      <vt:lpstr>Phase</vt:lpstr>
      <vt:lpstr>PrintA</vt:lpstr>
      <vt:lpstr>PrintDataF</vt:lpstr>
      <vt:lpstr>PrintDataM</vt:lpstr>
      <vt:lpstr>Financiamiento!PrintF</vt:lpstr>
      <vt:lpstr>PrintGD</vt:lpstr>
      <vt:lpstr>Acciones!PrintM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gt;</dc:description>
  <cp:lastModifiedBy>gflores</cp:lastModifiedBy>
  <cp:revision>1</cp:revision>
  <cp:lastPrinted>2011-01-31T19:36:40Z</cp:lastPrinted>
  <dcterms:created xsi:type="dcterms:W3CDTF">2008-11-20T22:06:13Z</dcterms:created>
  <dcterms:modified xsi:type="dcterms:W3CDTF">2022-05-26T00:02:03Z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
    <vt:lpwstr>Document</vt:lpwstr>
  </property>
  <property fmtid="{D5CDD505-2E9C-101B-9397-08002B2CF9AE}" pid="4" name="ContentTypeId">
    <vt:lpwstr>0x0101004BF1F6075714FF459EA7921B9223C8F9</vt:lpwstr>
  </property>
  <property fmtid="{D5CDD505-2E9C-101B-9397-08002B2CF9AE}" pid="5" name="DocSecurity">
    <vt:i4>0</vt:i4>
  </property>
  <property fmtid="{D5CDD505-2E9C-101B-9397-08002B2CF9AE}" pid="6" name="EktCmsPath">
    <vt:lpwstr>&amp;</vt:lpwstr>
  </property>
  <property fmtid="{D5CDD505-2E9C-101B-9397-08002B2CF9AE}" pid="7" name="EktCmsSize">
    <vt:i4>856576</vt:i4>
  </property>
  <property fmtid="{D5CDD505-2E9C-101B-9397-08002B2CF9AE}" pid="8" name="EktContentLanguage">
    <vt:i4>1033</vt:i4>
  </property>
  <property fmtid="{D5CDD505-2E9C-101B-9397-08002B2CF9AE}" pid="9" name="EktContentSubType">
    <vt:i4>0</vt:i4>
  </property>
  <property fmtid="{D5CDD505-2E9C-101B-9397-08002B2CF9AE}" pid="10" name="EktContentType">
    <vt:i4>101</vt:i4>
  </property>
  <property fmtid="{D5CDD505-2E9C-101B-9397-08002B2CF9AE}" pid="11" name="EktDateCreated">
    <vt:filetime>2011-06-15T14:46:35Z</vt:filetime>
  </property>
  <property fmtid="{D5CDD505-2E9C-101B-9397-08002B2CF9AE}" pid="12" name="EktDateModified">
    <vt:filetime>2011-06-15T14:46:36Z</vt:filetime>
  </property>
  <property fmtid="{D5CDD505-2E9C-101B-9397-08002B2CF9AE}" pid="13" name="EktEDescription">
    <vt:lpwstr>Summary </vt:lpwstr>
  </property>
  <property fmtid="{D5CDD505-2E9C-101B-9397-08002B2CF9AE}" pid="14" name="EktExpiryType">
    <vt:i4>1</vt:i4>
  </property>
  <property fmtid="{D5CDD505-2E9C-101B-9397-08002B2CF9AE}" pid="15" name="EktFile_Size">
    <vt:lpwstr>819 KB</vt:lpwstr>
  </property>
  <property fmtid="{D5CDD505-2E9C-101B-9397-08002B2CF9AE}" pid="16" name="EktFile_Type">
    <vt:lpwstr>XLS</vt:lpwstr>
  </property>
  <property fmtid="{D5CDD505-2E9C-101B-9397-08002B2CF9AE}" pid="17" name="EktQuickLink">
    <vt:lpwstr>DownloadAsset.aspx?id=10409</vt:lpwstr>
  </property>
  <property fmtid="{D5CDD505-2E9C-101B-9397-08002B2CF9AE}" pid="18" name="EktSearchable">
    <vt:i4>1</vt:i4>
  </property>
  <property fmtid="{D5CDD505-2E9C-101B-9397-08002B2CF9AE}" pid="19" name="EktTaxCategory">
    <vt:lpwstr> #eksep# \Navigation\documents\ccm #eksep# </vt:lpwstr>
  </property>
  <property fmtid="{D5CDD505-2E9C-101B-9397-08002B2CF9AE}" pid="20" name="HyperlinksChanged">
    <vt:bool>false</vt:bool>
  </property>
  <property fmtid="{D5CDD505-2E9C-101B-9397-08002B2CF9AE}" pid="21" name="LinksUpToDate">
    <vt:bool>false</vt:bool>
  </property>
  <property fmtid="{D5CDD505-2E9C-101B-9397-08002B2CF9AE}" pid="22" name="Root_Map">
    <vt:lpwstr>C:\Documents and Settings\rfplain\Desktop\Root_Map.xsd</vt:lpwstr>
  </property>
  <property fmtid="{D5CDD505-2E9C-101B-9397-08002B2CF9AE}" pid="23" name="ScaleCrop">
    <vt:bool>false</vt:bool>
  </property>
  <property fmtid="{D5CDD505-2E9C-101B-9397-08002B2CF9AE}" pid="24" name="ShareDoc">
    <vt:bool>false</vt:bool>
  </property>
  <property fmtid="{D5CDD505-2E9C-101B-9397-08002B2CF9AE}" pid="25" name="ekttaxonomyenabled">
    <vt:i4>1</vt:i4>
  </property>
</Properties>
</file>